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showInkAnnotation="0" defaultThemeVersion="124226"/>
  <bookViews>
    <workbookView xWindow="10305" yWindow="45" windowWidth="10200" windowHeight="8115" tabRatio="844" activeTab="9"/>
  </bookViews>
  <sheets>
    <sheet name="Sales " sheetId="1" r:id="rId1"/>
    <sheet name="Trends" sheetId="7" r:id="rId2"/>
    <sheet name="Financial " sheetId="2" r:id="rId3"/>
    <sheet name="EBIDTA Var Analysis" sheetId="4" r:id="rId4"/>
    <sheet name="SYN " sheetId="6" state="hidden" r:id="rId5"/>
    <sheet name="NR " sheetId="12" r:id="rId6"/>
    <sheet name="Net NR" sheetId="15" r:id="rId7"/>
    <sheet name="GC" sheetId="13" r:id="rId8"/>
    <sheet name="ABP" sheetId="10" r:id="rId9"/>
    <sheet name="NR CoST Trends " sheetId="17" r:id="rId10"/>
    <sheet name="Price impact update" sheetId="16" r:id="rId11"/>
    <sheet name="recasting " sheetId="18" r:id="rId12"/>
  </sheets>
  <externalReferences>
    <externalReference r:id="rId13"/>
  </externalReferences>
  <definedNames>
    <definedName name="_xlnm.Criteria" localSheetId="6">[1]RP!#REF!</definedName>
    <definedName name="_xlnm.Criteria" localSheetId="9">[1]RP!#REF!</definedName>
    <definedName name="_xlnm.Criteria">[1]RP!#REF!</definedName>
    <definedName name="_xlnm.Database" localSheetId="6">[1]CERT!#REF!</definedName>
    <definedName name="_xlnm.Database" localSheetId="9">[1]CERT!#REF!</definedName>
    <definedName name="_xlnm.Database">[1]CERT!#REF!</definedName>
    <definedName name="_xlnm.Extract" localSheetId="6">[1]RP!#REF!</definedName>
    <definedName name="_xlnm.Extract" localSheetId="9">[1]RP!#REF!</definedName>
    <definedName name="_xlnm.Extract">[1]RP!#REF!</definedName>
    <definedName name="_xlnm.Print_Area" localSheetId="0">'Sales '!$B$1:$M$55</definedName>
    <definedName name="_xlnm.Recorder" localSheetId="6">#REF!</definedName>
    <definedName name="_xlnm.Recorder" localSheetId="9">#REF!</definedName>
    <definedName name="_xlnm.Recorder">#REF!</definedName>
  </definedNames>
  <calcPr calcId="145621"/>
</workbook>
</file>

<file path=xl/calcChain.xml><?xml version="1.0" encoding="utf-8"?>
<calcChain xmlns="http://schemas.openxmlformats.org/spreadsheetml/2006/main">
  <c r="H33" i="17" l="1"/>
  <c r="S33" i="17"/>
  <c r="R33" i="17"/>
  <c r="Q33" i="17"/>
  <c r="P33" i="17"/>
  <c r="O33" i="17"/>
  <c r="N33" i="17"/>
  <c r="M33" i="17"/>
  <c r="L33" i="17"/>
  <c r="K33" i="17"/>
  <c r="J33" i="17"/>
  <c r="I33" i="17"/>
  <c r="G33" i="17"/>
  <c r="F33" i="17"/>
  <c r="E33" i="17"/>
  <c r="D33" i="17"/>
  <c r="C33" i="17"/>
  <c r="S27" i="17"/>
  <c r="S22" i="17"/>
  <c r="S29" i="17"/>
  <c r="S17" i="17"/>
  <c r="S7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P30" i="17" l="1"/>
  <c r="S31" i="17"/>
  <c r="S30" i="17"/>
  <c r="R31" i="17"/>
  <c r="R30" i="17"/>
  <c r="R29" i="17"/>
  <c r="Q31" i="17"/>
  <c r="Q30" i="17"/>
  <c r="Q29" i="17"/>
  <c r="P31" i="17"/>
  <c r="P29" i="17"/>
  <c r="O25" i="17"/>
  <c r="S26" i="17"/>
  <c r="R26" i="17"/>
  <c r="Q26" i="17"/>
  <c r="P26" i="17"/>
  <c r="S25" i="17"/>
  <c r="R25" i="17"/>
  <c r="Q25" i="17"/>
  <c r="P25" i="17"/>
  <c r="S24" i="17"/>
  <c r="R24" i="17"/>
  <c r="Q24" i="17"/>
  <c r="P24" i="17"/>
  <c r="S21" i="17"/>
  <c r="R21" i="17"/>
  <c r="Q21" i="17"/>
  <c r="P21" i="17"/>
  <c r="S20" i="17"/>
  <c r="R20" i="17"/>
  <c r="Q20" i="17"/>
  <c r="P20" i="17"/>
  <c r="S19" i="17"/>
  <c r="R19" i="17"/>
  <c r="Q19" i="17"/>
  <c r="P19" i="17"/>
  <c r="S16" i="17"/>
  <c r="R16" i="17"/>
  <c r="Q16" i="17"/>
  <c r="P16" i="17"/>
  <c r="T16" i="17" s="1"/>
  <c r="S15" i="17"/>
  <c r="R15" i="17"/>
  <c r="Q15" i="17"/>
  <c r="P15" i="17"/>
  <c r="T15" i="17" s="1"/>
  <c r="S14" i="17"/>
  <c r="R14" i="17"/>
  <c r="Q14" i="17"/>
  <c r="P14" i="17"/>
  <c r="S11" i="17"/>
  <c r="R11" i="17"/>
  <c r="Q11" i="17"/>
  <c r="P11" i="17"/>
  <c r="T11" i="17" s="1"/>
  <c r="S10" i="17"/>
  <c r="R10" i="17"/>
  <c r="Q10" i="17"/>
  <c r="P10" i="17"/>
  <c r="S9" i="17"/>
  <c r="R9" i="17"/>
  <c r="Q9" i="17"/>
  <c r="P9" i="17"/>
  <c r="T9" i="17" s="1"/>
  <c r="T49" i="17"/>
  <c r="T48" i="17"/>
  <c r="T47" i="17"/>
  <c r="T46" i="17"/>
  <c r="T45" i="17"/>
  <c r="T44" i="17"/>
  <c r="T43" i="17"/>
  <c r="T42" i="17"/>
  <c r="T41" i="17"/>
  <c r="T40" i="17"/>
  <c r="T39" i="17"/>
  <c r="T38" i="17"/>
  <c r="T37" i="17"/>
  <c r="T36" i="17"/>
  <c r="T23" i="17"/>
  <c r="T18" i="17"/>
  <c r="T17" i="17"/>
  <c r="T14" i="17"/>
  <c r="T13" i="17"/>
  <c r="T12" i="17"/>
  <c r="T10" i="17"/>
  <c r="T8" i="17"/>
  <c r="T7" i="17"/>
  <c r="T6" i="17"/>
  <c r="T5" i="17"/>
  <c r="T4" i="17"/>
  <c r="S6" i="17"/>
  <c r="R6" i="17"/>
  <c r="Q6" i="17"/>
  <c r="P6" i="17"/>
  <c r="S5" i="17"/>
  <c r="R5" i="17"/>
  <c r="Q5" i="17"/>
  <c r="P5" i="17"/>
  <c r="S4" i="17"/>
  <c r="R4" i="17"/>
  <c r="Q4" i="17"/>
  <c r="P4" i="17"/>
  <c r="E233" i="7"/>
  <c r="G233" i="7"/>
  <c r="D233" i="7"/>
  <c r="F233" i="7"/>
  <c r="H233" i="7"/>
  <c r="O15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O10" i="17"/>
  <c r="O5" i="17"/>
  <c r="T24" i="17" l="1"/>
  <c r="H55" i="2" l="1"/>
  <c r="G55" i="2"/>
  <c r="E55" i="2"/>
  <c r="D55" i="2"/>
  <c r="DV26" i="13" l="1"/>
  <c r="DV25" i="13"/>
  <c r="DV24" i="13"/>
  <c r="DV23" i="13"/>
  <c r="DV22" i="13"/>
  <c r="DV16" i="13"/>
  <c r="DV14" i="13"/>
  <c r="DV13" i="13"/>
  <c r="DV12" i="13"/>
  <c r="DV10" i="13"/>
  <c r="DV9" i="13"/>
  <c r="DV8" i="13"/>
  <c r="DV7" i="13"/>
  <c r="DV6" i="13"/>
  <c r="EB26" i="13"/>
  <c r="EB25" i="13"/>
  <c r="EB24" i="13"/>
  <c r="EB23" i="13"/>
  <c r="EB22" i="13"/>
  <c r="EB16" i="13"/>
  <c r="EB15" i="13"/>
  <c r="EB14" i="13"/>
  <c r="EB13" i="13"/>
  <c r="EB12" i="13"/>
  <c r="EB10" i="13"/>
  <c r="EB9" i="13"/>
  <c r="EB8" i="13"/>
  <c r="EB7" i="13"/>
  <c r="EB6" i="13"/>
  <c r="EH26" i="13" l="1"/>
  <c r="EH25" i="13"/>
  <c r="EH23" i="13"/>
  <c r="EH22" i="13"/>
  <c r="EH18" i="13"/>
  <c r="EH19" i="13"/>
  <c r="EH16" i="13"/>
  <c r="EH15" i="13"/>
  <c r="EH14" i="13"/>
  <c r="EH13" i="13"/>
  <c r="EH12" i="13"/>
  <c r="EH10" i="13"/>
  <c r="EH9" i="13"/>
  <c r="EH8" i="13"/>
  <c r="EH7" i="13"/>
  <c r="EH6" i="13"/>
  <c r="EP81" i="13" l="1"/>
  <c r="EP80" i="13"/>
  <c r="EP79" i="13"/>
  <c r="EP78" i="13"/>
  <c r="EP77" i="13"/>
  <c r="EP76" i="13"/>
  <c r="EO95" i="13"/>
  <c r="EN95" i="13"/>
  <c r="EP63" i="13"/>
  <c r="EP62" i="13"/>
  <c r="EP61" i="13"/>
  <c r="EP60" i="13"/>
  <c r="EP59" i="13"/>
  <c r="EP58" i="13"/>
  <c r="EP57" i="13"/>
  <c r="EP56" i="13"/>
  <c r="EP55" i="13"/>
  <c r="EP54" i="13"/>
  <c r="EP53" i="13"/>
  <c r="EP52" i="13"/>
  <c r="EP51" i="13"/>
  <c r="EP50" i="13"/>
  <c r="EP49" i="13"/>
  <c r="EP48" i="13"/>
  <c r="EP47" i="13"/>
  <c r="EP46" i="13"/>
  <c r="EP45" i="13"/>
  <c r="EP44" i="13"/>
  <c r="EP43" i="13"/>
  <c r="EP42" i="13"/>
  <c r="EP41" i="13"/>
  <c r="EP40" i="13"/>
  <c r="EP39" i="13"/>
  <c r="EP38" i="13"/>
  <c r="EP37" i="13"/>
  <c r="EP36" i="13"/>
  <c r="EO65" i="13"/>
  <c r="EN65" i="13"/>
  <c r="EO27" i="13"/>
  <c r="EP26" i="13"/>
  <c r="EP25" i="13"/>
  <c r="EP23" i="13"/>
  <c r="EP22" i="13"/>
  <c r="EP21" i="13"/>
  <c r="EP20" i="13"/>
  <c r="EP19" i="13"/>
  <c r="EP18" i="13"/>
  <c r="EP17" i="13"/>
  <c r="EP16" i="13"/>
  <c r="EP15" i="13"/>
  <c r="EP14" i="13"/>
  <c r="EP13" i="13"/>
  <c r="EP12" i="13"/>
  <c r="EP11" i="13"/>
  <c r="EP10" i="13"/>
  <c r="EP9" i="13"/>
  <c r="EP8" i="13"/>
  <c r="EP7" i="13"/>
  <c r="EP6" i="13"/>
  <c r="EK95" i="13"/>
  <c r="EP94" i="13"/>
  <c r="EP93" i="13"/>
  <c r="EP92" i="13"/>
  <c r="EP91" i="13"/>
  <c r="EP90" i="13"/>
  <c r="EP89" i="13"/>
  <c r="EP88" i="13"/>
  <c r="EP87" i="13"/>
  <c r="EP86" i="13"/>
  <c r="EP85" i="13"/>
  <c r="EP84" i="13"/>
  <c r="EP83" i="13"/>
  <c r="EP82" i="13"/>
  <c r="EL80" i="13"/>
  <c r="EL78" i="13"/>
  <c r="EL76" i="13"/>
  <c r="EK74" i="13"/>
  <c r="EK65" i="13"/>
  <c r="EM65" i="13" s="1"/>
  <c r="EL62" i="13"/>
  <c r="EL60" i="13"/>
  <c r="EL58" i="13"/>
  <c r="EL56" i="13"/>
  <c r="EL54" i="13"/>
  <c r="EL52" i="13"/>
  <c r="EL50" i="13"/>
  <c r="EL48" i="13"/>
  <c r="EL46" i="13"/>
  <c r="EL44" i="13"/>
  <c r="EL42" i="13"/>
  <c r="EL40" i="13"/>
  <c r="EL38" i="13"/>
  <c r="EL36" i="13"/>
  <c r="EP35" i="13"/>
  <c r="EP75" i="13" s="1"/>
  <c r="EK34" i="13"/>
  <c r="EK27" i="13"/>
  <c r="EL25" i="13"/>
  <c r="EL23" i="13"/>
  <c r="EP95" i="13" l="1"/>
  <c r="EP65" i="13"/>
  <c r="EL6" i="13"/>
  <c r="EL8" i="13"/>
  <c r="EL10" i="13"/>
  <c r="EL12" i="13"/>
  <c r="EL14" i="13"/>
  <c r="EL16" i="13"/>
  <c r="EL18" i="13"/>
  <c r="EL27" i="13"/>
  <c r="EM29" i="13"/>
  <c r="EM97" i="13"/>
  <c r="EL22" i="13"/>
  <c r="EL24" i="13"/>
  <c r="EL26" i="13"/>
  <c r="EM27" i="13"/>
  <c r="EL37" i="13"/>
  <c r="EL65" i="13" s="1"/>
  <c r="EL39" i="13"/>
  <c r="EL41" i="13"/>
  <c r="EL43" i="13"/>
  <c r="EL45" i="13"/>
  <c r="EL47" i="13"/>
  <c r="EL49" i="13"/>
  <c r="EL51" i="13"/>
  <c r="EL53" i="13"/>
  <c r="EL55" i="13"/>
  <c r="EL57" i="13"/>
  <c r="EL59" i="13"/>
  <c r="EL61" i="13"/>
  <c r="EL63" i="13"/>
  <c r="EM67" i="13"/>
  <c r="EM95" i="13"/>
  <c r="EL7" i="13"/>
  <c r="EL9" i="13"/>
  <c r="EL11" i="13"/>
  <c r="EL13" i="13"/>
  <c r="EL15" i="13"/>
  <c r="EL17" i="13"/>
  <c r="EL77" i="13"/>
  <c r="EL79" i="13"/>
  <c r="EL81" i="13"/>
  <c r="DQ95" i="15" l="1"/>
  <c r="DR95" i="15"/>
  <c r="DR94" i="15"/>
  <c r="DR93" i="15"/>
  <c r="DR92" i="15"/>
  <c r="DR91" i="15"/>
  <c r="DR90" i="15"/>
  <c r="DR89" i="15"/>
  <c r="DR88" i="15"/>
  <c r="DR87" i="15"/>
  <c r="DR86" i="15"/>
  <c r="DR85" i="15"/>
  <c r="DR84" i="15"/>
  <c r="DR83" i="15"/>
  <c r="DR82" i="15"/>
  <c r="DR80" i="15"/>
  <c r="DR79" i="15"/>
  <c r="DR78" i="15"/>
  <c r="DR77" i="15"/>
  <c r="DR76" i="15"/>
  <c r="DR75" i="15"/>
  <c r="DQ65" i="15"/>
  <c r="DR61" i="15"/>
  <c r="DR62" i="15"/>
  <c r="DR63" i="15"/>
  <c r="DR64" i="15"/>
  <c r="DR60" i="15"/>
  <c r="DR59" i="15"/>
  <c r="DR58" i="15"/>
  <c r="DR57" i="15"/>
  <c r="DR56" i="15"/>
  <c r="DR55" i="15"/>
  <c r="DR54" i="15"/>
  <c r="DR53" i="15"/>
  <c r="DR52" i="15"/>
  <c r="DR51" i="15"/>
  <c r="DR50" i="15"/>
  <c r="DR49" i="15"/>
  <c r="DR48" i="15"/>
  <c r="DR47" i="15"/>
  <c r="DR46" i="15"/>
  <c r="DR45" i="15"/>
  <c r="DR44" i="15"/>
  <c r="DR43" i="15"/>
  <c r="DR42" i="15"/>
  <c r="DR41" i="15"/>
  <c r="DR40" i="15"/>
  <c r="DR39" i="15"/>
  <c r="DR38" i="15"/>
  <c r="DR37" i="15"/>
  <c r="DR36" i="15"/>
  <c r="DR35" i="15"/>
  <c r="DQ27" i="15"/>
  <c r="DR6" i="15"/>
  <c r="DR26" i="15"/>
  <c r="DR25" i="15"/>
  <c r="DR24" i="15"/>
  <c r="DR23" i="15"/>
  <c r="DR27" i="15" s="1"/>
  <c r="DR22" i="15"/>
  <c r="DR21" i="15"/>
  <c r="DR20" i="15"/>
  <c r="DR19" i="15"/>
  <c r="DR18" i="15"/>
  <c r="DR17" i="15"/>
  <c r="DR16" i="15"/>
  <c r="DR15" i="15"/>
  <c r="DR14" i="15"/>
  <c r="DR13" i="15"/>
  <c r="DR12" i="15"/>
  <c r="DR11" i="15"/>
  <c r="DR10" i="15"/>
  <c r="DR9" i="15"/>
  <c r="DR8" i="15"/>
  <c r="DR7" i="15"/>
  <c r="DP97" i="15"/>
  <c r="DP95" i="15"/>
  <c r="DN95" i="15"/>
  <c r="DO81" i="15"/>
  <c r="DO80" i="15"/>
  <c r="DO79" i="15"/>
  <c r="DO78" i="15"/>
  <c r="DO77" i="15"/>
  <c r="DO76" i="15"/>
  <c r="DN74" i="15"/>
  <c r="DN65" i="15"/>
  <c r="DP67" i="15" s="1"/>
  <c r="DO60" i="15"/>
  <c r="DO56" i="15"/>
  <c r="DO52" i="15"/>
  <c r="DO48" i="15"/>
  <c r="DO44" i="15"/>
  <c r="DO40" i="15"/>
  <c r="DO36" i="15"/>
  <c r="DN34" i="15"/>
  <c r="DN27" i="15"/>
  <c r="DP27" i="15" s="1"/>
  <c r="DO26" i="15"/>
  <c r="DO15" i="15"/>
  <c r="DO7" i="15"/>
  <c r="DR65" i="15" l="1"/>
  <c r="DO8" i="15"/>
  <c r="DO16" i="15"/>
  <c r="DO11" i="15"/>
  <c r="DO22" i="15"/>
  <c r="DP29" i="15"/>
  <c r="DO12" i="15"/>
  <c r="DO23" i="15"/>
  <c r="DO9" i="15"/>
  <c r="DO13" i="15"/>
  <c r="DO17" i="15"/>
  <c r="DO24" i="15"/>
  <c r="DO27" i="15"/>
  <c r="DO6" i="15"/>
  <c r="DO10" i="15"/>
  <c r="DO14" i="15"/>
  <c r="DO18" i="15"/>
  <c r="DO25" i="15"/>
  <c r="DO37" i="15"/>
  <c r="DO41" i="15"/>
  <c r="DO45" i="15"/>
  <c r="DO49" i="15"/>
  <c r="DO53" i="15"/>
  <c r="DO57" i="15"/>
  <c r="DO61" i="15"/>
  <c r="DO38" i="15"/>
  <c r="DO42" i="15"/>
  <c r="DO46" i="15"/>
  <c r="DO50" i="15"/>
  <c r="DO54" i="15"/>
  <c r="DO58" i="15"/>
  <c r="DO62" i="15"/>
  <c r="DP65" i="15"/>
  <c r="DO39" i="15"/>
  <c r="DO43" i="15"/>
  <c r="DO47" i="15"/>
  <c r="DO51" i="15"/>
  <c r="DO55" i="15"/>
  <c r="DO59" i="15"/>
  <c r="DO63" i="15"/>
  <c r="DO65" i="15" l="1"/>
  <c r="BW95" i="12" l="1"/>
  <c r="BY97" i="12" s="1"/>
  <c r="BW74" i="12"/>
  <c r="BW65" i="12"/>
  <c r="BY65" i="12" s="1"/>
  <c r="BW34" i="12"/>
  <c r="BW27" i="12"/>
  <c r="BY27" i="12" s="1"/>
  <c r="G43" i="2"/>
  <c r="I17" i="2"/>
  <c r="I18" i="2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BX59" i="12" l="1"/>
  <c r="BX43" i="12"/>
  <c r="BX38" i="12"/>
  <c r="BX48" i="12"/>
  <c r="BX54" i="12"/>
  <c r="BX39" i="12"/>
  <c r="BX44" i="12"/>
  <c r="BX50" i="12"/>
  <c r="BX55" i="12"/>
  <c r="BX60" i="12"/>
  <c r="BY67" i="12"/>
  <c r="BX40" i="12"/>
  <c r="BX46" i="12"/>
  <c r="BX51" i="12"/>
  <c r="BX56" i="12"/>
  <c r="BX62" i="12"/>
  <c r="BX36" i="12"/>
  <c r="BX42" i="12"/>
  <c r="BX47" i="12"/>
  <c r="BX52" i="12"/>
  <c r="BX58" i="12"/>
  <c r="BX63" i="12"/>
  <c r="BY29" i="12"/>
  <c r="BX7" i="12"/>
  <c r="BX15" i="12"/>
  <c r="BX8" i="12"/>
  <c r="BX16" i="12"/>
  <c r="BX11" i="12"/>
  <c r="BX22" i="12"/>
  <c r="BX12" i="12"/>
  <c r="BX26" i="12"/>
  <c r="BX77" i="12"/>
  <c r="BX78" i="12"/>
  <c r="BX81" i="12"/>
  <c r="BX37" i="12"/>
  <c r="BX41" i="12"/>
  <c r="BX45" i="12"/>
  <c r="BX49" i="12"/>
  <c r="BX53" i="12"/>
  <c r="BX57" i="12"/>
  <c r="BX61" i="12"/>
  <c r="BX23" i="12"/>
  <c r="BX9" i="12"/>
  <c r="BX13" i="12"/>
  <c r="BX17" i="12"/>
  <c r="BX24" i="12"/>
  <c r="BX27" i="12"/>
  <c r="BX79" i="12"/>
  <c r="BY95" i="12"/>
  <c r="BX6" i="12"/>
  <c r="BX10" i="12"/>
  <c r="BX14" i="12"/>
  <c r="BX18" i="12"/>
  <c r="BX25" i="12"/>
  <c r="BX76" i="12"/>
  <c r="BX80" i="12"/>
  <c r="BX65" i="12" l="1"/>
  <c r="AB37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I52" i="1"/>
  <c r="I46" i="1"/>
  <c r="I45" i="1"/>
  <c r="I44" i="1"/>
  <c r="I43" i="1"/>
  <c r="I42" i="1"/>
  <c r="I41" i="1"/>
  <c r="I40" i="1"/>
  <c r="I38" i="1"/>
  <c r="I37" i="1"/>
  <c r="E52" i="1"/>
  <c r="E46" i="1"/>
  <c r="E45" i="1"/>
  <c r="E44" i="1"/>
  <c r="E42" i="1"/>
  <c r="E41" i="1"/>
  <c r="E40" i="1"/>
  <c r="E38" i="1"/>
  <c r="E37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12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I27" i="1"/>
  <c r="I21" i="1"/>
  <c r="I20" i="1"/>
  <c r="I19" i="1"/>
  <c r="I18" i="1"/>
  <c r="I17" i="1"/>
  <c r="I16" i="1"/>
  <c r="I15" i="1"/>
  <c r="I13" i="1"/>
  <c r="I12" i="1"/>
  <c r="E27" i="1"/>
  <c r="E21" i="1"/>
  <c r="E20" i="1"/>
  <c r="E19" i="1"/>
  <c r="E18" i="1"/>
  <c r="E17" i="1"/>
  <c r="E16" i="1"/>
  <c r="E15" i="1"/>
  <c r="E13" i="1"/>
  <c r="E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2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N118" i="7" l="1"/>
  <c r="N6" i="7"/>
  <c r="EI80" i="13" l="1"/>
  <c r="EI79" i="13"/>
  <c r="EI78" i="13"/>
  <c r="EI77" i="13"/>
  <c r="EI63" i="13"/>
  <c r="EI62" i="13"/>
  <c r="EI61" i="13"/>
  <c r="EI60" i="13"/>
  <c r="EI59" i="13"/>
  <c r="EI58" i="13"/>
  <c r="EI57" i="13"/>
  <c r="EI56" i="13"/>
  <c r="EI55" i="13"/>
  <c r="EI54" i="13"/>
  <c r="EI53" i="13"/>
  <c r="EI52" i="13"/>
  <c r="EI51" i="13"/>
  <c r="EI50" i="13"/>
  <c r="EI49" i="13"/>
  <c r="EI48" i="13"/>
  <c r="EI47" i="13"/>
  <c r="EI46" i="13"/>
  <c r="EI45" i="13"/>
  <c r="EI44" i="13"/>
  <c r="EI43" i="13"/>
  <c r="EI42" i="13"/>
  <c r="EI41" i="13"/>
  <c r="EI40" i="13"/>
  <c r="EI39" i="13"/>
  <c r="EI38" i="13"/>
  <c r="EI37" i="13"/>
  <c r="EI36" i="13"/>
  <c r="EJ94" i="13"/>
  <c r="EJ93" i="13"/>
  <c r="EJ92" i="13"/>
  <c r="EJ91" i="13"/>
  <c r="EJ90" i="13"/>
  <c r="EJ89" i="13"/>
  <c r="EJ88" i="13"/>
  <c r="EJ87" i="13"/>
  <c r="EJ86" i="13"/>
  <c r="EJ85" i="13"/>
  <c r="EJ84" i="13"/>
  <c r="EJ83" i="13"/>
  <c r="EJ82" i="13"/>
  <c r="EJ81" i="13"/>
  <c r="EE74" i="13"/>
  <c r="M118" i="7" l="1"/>
  <c r="M6" i="7"/>
  <c r="EE34" i="13" l="1"/>
  <c r="EI7" i="13"/>
  <c r="EI8" i="13"/>
  <c r="EI9" i="13"/>
  <c r="EI10" i="13"/>
  <c r="EI11" i="13"/>
  <c r="EI12" i="13"/>
  <c r="EI13" i="13"/>
  <c r="EI14" i="13"/>
  <c r="EI15" i="13"/>
  <c r="EI16" i="13"/>
  <c r="EI17" i="13"/>
  <c r="EI18" i="13"/>
  <c r="EI19" i="13"/>
  <c r="EI20" i="13"/>
  <c r="EI21" i="13"/>
  <c r="EI22" i="13"/>
  <c r="EI23" i="13"/>
  <c r="EI24" i="13"/>
  <c r="EI25" i="13"/>
  <c r="EI26" i="13"/>
  <c r="EI6" i="13"/>
  <c r="DK77" i="15"/>
  <c r="EG77" i="13" s="1"/>
  <c r="DK78" i="15"/>
  <c r="EG78" i="13" s="1"/>
  <c r="DK79" i="15"/>
  <c r="EG79" i="13" s="1"/>
  <c r="DK80" i="15"/>
  <c r="EG80" i="13" s="1"/>
  <c r="DK81" i="15"/>
  <c r="DK76" i="15"/>
  <c r="DM76" i="15" s="1"/>
  <c r="DI77" i="15"/>
  <c r="EE77" i="13" s="1"/>
  <c r="DI78" i="15"/>
  <c r="EE78" i="13" s="1"/>
  <c r="DI79" i="15"/>
  <c r="EE79" i="13" s="1"/>
  <c r="DI80" i="15"/>
  <c r="EE80" i="13" s="1"/>
  <c r="DI81" i="15"/>
  <c r="DI76" i="15"/>
  <c r="DM94" i="15"/>
  <c r="DM93" i="15"/>
  <c r="DM92" i="15"/>
  <c r="DM91" i="15"/>
  <c r="DM90" i="15"/>
  <c r="DM89" i="15"/>
  <c r="DM88" i="15"/>
  <c r="DM87" i="15"/>
  <c r="DM86" i="15"/>
  <c r="DM85" i="15"/>
  <c r="DM84" i="15"/>
  <c r="DM83" i="15"/>
  <c r="DM82" i="15"/>
  <c r="DM75" i="15"/>
  <c r="DI74" i="15"/>
  <c r="DK37" i="15"/>
  <c r="EG37" i="13" s="1"/>
  <c r="DK38" i="15"/>
  <c r="EG38" i="13" s="1"/>
  <c r="DK39" i="15"/>
  <c r="EG39" i="13" s="1"/>
  <c r="DK40" i="15"/>
  <c r="EG40" i="13" s="1"/>
  <c r="DK41" i="15"/>
  <c r="EG41" i="13" s="1"/>
  <c r="DK42" i="15"/>
  <c r="EG42" i="13" s="1"/>
  <c r="DK43" i="15"/>
  <c r="EG43" i="13" s="1"/>
  <c r="DK44" i="15"/>
  <c r="EG44" i="13" s="1"/>
  <c r="DK45" i="15"/>
  <c r="EG45" i="13" s="1"/>
  <c r="DK46" i="15"/>
  <c r="EG46" i="13" s="1"/>
  <c r="DK47" i="15"/>
  <c r="EG47" i="13" s="1"/>
  <c r="DK48" i="15"/>
  <c r="EG48" i="13" s="1"/>
  <c r="DK49" i="15"/>
  <c r="EG49" i="13" s="1"/>
  <c r="DK50" i="15"/>
  <c r="EG50" i="13" s="1"/>
  <c r="DK51" i="15"/>
  <c r="EG51" i="13" s="1"/>
  <c r="DK52" i="15"/>
  <c r="EG52" i="13" s="1"/>
  <c r="DK53" i="15"/>
  <c r="EG53" i="13" s="1"/>
  <c r="DK54" i="15"/>
  <c r="EG54" i="13" s="1"/>
  <c r="DK55" i="15"/>
  <c r="EG55" i="13" s="1"/>
  <c r="DK56" i="15"/>
  <c r="EG56" i="13" s="1"/>
  <c r="DK57" i="15"/>
  <c r="EG57" i="13" s="1"/>
  <c r="DK58" i="15"/>
  <c r="EG58" i="13" s="1"/>
  <c r="DK59" i="15"/>
  <c r="EG59" i="13" s="1"/>
  <c r="DK60" i="15"/>
  <c r="EG60" i="13" s="1"/>
  <c r="DK61" i="15"/>
  <c r="EG61" i="13" s="1"/>
  <c r="DK62" i="15"/>
  <c r="EG62" i="13" s="1"/>
  <c r="DK63" i="15"/>
  <c r="EG63" i="13" s="1"/>
  <c r="DK64" i="15"/>
  <c r="DM64" i="15" s="1"/>
  <c r="DK36" i="15"/>
  <c r="EG36" i="13" s="1"/>
  <c r="DI37" i="15"/>
  <c r="EE37" i="13" s="1"/>
  <c r="DI38" i="15"/>
  <c r="EE38" i="13" s="1"/>
  <c r="DI39" i="15"/>
  <c r="EE39" i="13" s="1"/>
  <c r="DI40" i="15"/>
  <c r="EE40" i="13" s="1"/>
  <c r="DI41" i="15"/>
  <c r="EE41" i="13" s="1"/>
  <c r="DI42" i="15"/>
  <c r="EE42" i="13" s="1"/>
  <c r="DI43" i="15"/>
  <c r="EE43" i="13" s="1"/>
  <c r="DI44" i="15"/>
  <c r="EE44" i="13" s="1"/>
  <c r="DI45" i="15"/>
  <c r="EE45" i="13" s="1"/>
  <c r="DI46" i="15"/>
  <c r="EE46" i="13" s="1"/>
  <c r="DI47" i="15"/>
  <c r="EE47" i="13" s="1"/>
  <c r="DI48" i="15"/>
  <c r="EE48" i="13" s="1"/>
  <c r="DI49" i="15"/>
  <c r="EE49" i="13" s="1"/>
  <c r="DI50" i="15"/>
  <c r="EE50" i="13" s="1"/>
  <c r="DI51" i="15"/>
  <c r="EE51" i="13" s="1"/>
  <c r="DI52" i="15"/>
  <c r="EE52" i="13" s="1"/>
  <c r="DI53" i="15"/>
  <c r="EE53" i="13" s="1"/>
  <c r="DI54" i="15"/>
  <c r="EE54" i="13" s="1"/>
  <c r="DI55" i="15"/>
  <c r="EE55" i="13" s="1"/>
  <c r="DI56" i="15"/>
  <c r="EE56" i="13" s="1"/>
  <c r="DI57" i="15"/>
  <c r="EE57" i="13" s="1"/>
  <c r="DI58" i="15"/>
  <c r="EE58" i="13" s="1"/>
  <c r="DI59" i="15"/>
  <c r="EE59" i="13" s="1"/>
  <c r="DI60" i="15"/>
  <c r="EE60" i="13" s="1"/>
  <c r="DI61" i="15"/>
  <c r="EE61" i="13" s="1"/>
  <c r="DI62" i="15"/>
  <c r="EE62" i="13" s="1"/>
  <c r="DI63" i="15"/>
  <c r="EE63" i="13" s="1"/>
  <c r="DI64" i="15"/>
  <c r="DI36" i="15"/>
  <c r="EE36" i="13" s="1"/>
  <c r="DK7" i="15"/>
  <c r="EG7" i="13" s="1"/>
  <c r="DK8" i="15"/>
  <c r="EG8" i="13" s="1"/>
  <c r="DK9" i="15"/>
  <c r="EG9" i="13" s="1"/>
  <c r="DK10" i="15"/>
  <c r="EG10" i="13" s="1"/>
  <c r="DK11" i="15"/>
  <c r="EG11" i="13" s="1"/>
  <c r="DK12" i="15"/>
  <c r="EG12" i="13" s="1"/>
  <c r="DK13" i="15"/>
  <c r="EG13" i="13" s="1"/>
  <c r="DK14" i="15"/>
  <c r="EG14" i="13" s="1"/>
  <c r="DK15" i="15"/>
  <c r="EG15" i="13" s="1"/>
  <c r="DK16" i="15"/>
  <c r="EG16" i="13" s="1"/>
  <c r="DK17" i="15"/>
  <c r="EG17" i="13" s="1"/>
  <c r="DK18" i="15"/>
  <c r="EG18" i="13" s="1"/>
  <c r="DK19" i="15"/>
  <c r="EG19" i="13" s="1"/>
  <c r="DK20" i="15"/>
  <c r="EG20" i="13" s="1"/>
  <c r="DK21" i="15"/>
  <c r="EG21" i="13" s="1"/>
  <c r="DK22" i="15"/>
  <c r="EG22" i="13" s="1"/>
  <c r="DK23" i="15"/>
  <c r="EG23" i="13" s="1"/>
  <c r="DK24" i="15"/>
  <c r="EG24" i="13" s="1"/>
  <c r="DK25" i="15"/>
  <c r="EG25" i="13" s="1"/>
  <c r="DK26" i="15"/>
  <c r="EG26" i="13" s="1"/>
  <c r="DK6" i="15"/>
  <c r="EG6" i="13" s="1"/>
  <c r="DI7" i="15"/>
  <c r="EE7" i="13" s="1"/>
  <c r="DI8" i="15"/>
  <c r="EE8" i="13" s="1"/>
  <c r="DI9" i="15"/>
  <c r="EE9" i="13" s="1"/>
  <c r="DI10" i="15"/>
  <c r="EE10" i="13" s="1"/>
  <c r="DI11" i="15"/>
  <c r="EE11" i="13" s="1"/>
  <c r="DI12" i="15"/>
  <c r="EE12" i="13" s="1"/>
  <c r="DI13" i="15"/>
  <c r="EE13" i="13" s="1"/>
  <c r="DI14" i="15"/>
  <c r="EE14" i="13" s="1"/>
  <c r="DI15" i="15"/>
  <c r="EE15" i="13" s="1"/>
  <c r="DI16" i="15"/>
  <c r="EE16" i="13" s="1"/>
  <c r="DI17" i="15"/>
  <c r="EE17" i="13" s="1"/>
  <c r="DI18" i="15"/>
  <c r="EE18" i="13" s="1"/>
  <c r="DI19" i="15"/>
  <c r="EE19" i="13" s="1"/>
  <c r="DI20" i="15"/>
  <c r="EE20" i="13" s="1"/>
  <c r="DI21" i="15"/>
  <c r="EE21" i="13" s="1"/>
  <c r="DI22" i="15"/>
  <c r="EE22" i="13" s="1"/>
  <c r="DI23" i="15"/>
  <c r="EE23" i="13" s="1"/>
  <c r="DI24" i="15"/>
  <c r="EE24" i="13" s="1"/>
  <c r="DI25" i="15"/>
  <c r="EE25" i="13" s="1"/>
  <c r="DI26" i="15"/>
  <c r="EE26" i="13" s="1"/>
  <c r="DI6" i="15"/>
  <c r="EE6" i="13" s="1"/>
  <c r="DM35" i="15"/>
  <c r="DI34" i="15"/>
  <c r="DM43" i="15" l="1"/>
  <c r="DM77" i="15"/>
  <c r="DM49" i="15"/>
  <c r="EE95" i="13"/>
  <c r="EG95" i="13" s="1"/>
  <c r="DM79" i="15"/>
  <c r="DM45" i="15"/>
  <c r="DM78" i="15"/>
  <c r="EE65" i="13"/>
  <c r="EF53" i="13" s="1"/>
  <c r="EE27" i="13"/>
  <c r="DM80" i="15"/>
  <c r="DI95" i="15"/>
  <c r="DM42" i="15"/>
  <c r="DI65" i="15"/>
  <c r="DM26" i="15"/>
  <c r="DM25" i="15"/>
  <c r="DM24" i="15"/>
  <c r="DM23" i="15"/>
  <c r="DM22" i="15"/>
  <c r="DM21" i="15"/>
  <c r="DM20" i="15"/>
  <c r="DM19" i="15"/>
  <c r="DM18" i="15"/>
  <c r="DM17" i="15"/>
  <c r="DM16" i="15"/>
  <c r="DM15" i="15"/>
  <c r="DM14" i="15"/>
  <c r="DM13" i="15"/>
  <c r="DM12" i="15"/>
  <c r="DM11" i="15"/>
  <c r="DM10" i="15"/>
  <c r="DM9" i="15"/>
  <c r="DM8" i="15"/>
  <c r="DM7" i="15"/>
  <c r="DM6" i="15"/>
  <c r="BT74" i="12"/>
  <c r="BU37" i="12"/>
  <c r="BU38" i="12"/>
  <c r="BU39" i="12"/>
  <c r="BU40" i="12"/>
  <c r="BU41" i="12"/>
  <c r="BU42" i="12"/>
  <c r="BU43" i="12"/>
  <c r="BU44" i="12"/>
  <c r="BU45" i="12"/>
  <c r="BU46" i="12"/>
  <c r="BU47" i="12"/>
  <c r="BU48" i="12"/>
  <c r="BU49" i="12"/>
  <c r="BU50" i="12"/>
  <c r="BU51" i="12"/>
  <c r="BU52" i="12"/>
  <c r="BU53" i="12"/>
  <c r="BU54" i="12"/>
  <c r="BU55" i="12"/>
  <c r="BU56" i="12"/>
  <c r="BU57" i="12"/>
  <c r="BU58" i="12"/>
  <c r="BU59" i="12"/>
  <c r="BU60" i="12"/>
  <c r="BU61" i="12"/>
  <c r="BU62" i="12"/>
  <c r="BU63" i="12"/>
  <c r="BN65" i="12"/>
  <c r="BT34" i="12"/>
  <c r="BV29" i="12"/>
  <c r="BU18" i="12"/>
  <c r="EF79" i="13" l="1"/>
  <c r="EI95" i="13"/>
  <c r="EF78" i="13"/>
  <c r="EF80" i="13"/>
  <c r="EF77" i="13"/>
  <c r="EF63" i="13"/>
  <c r="EF62" i="13"/>
  <c r="EF93" i="13"/>
  <c r="EF91" i="13"/>
  <c r="EF89" i="13"/>
  <c r="EF87" i="13"/>
  <c r="EF85" i="13"/>
  <c r="EF83" i="13"/>
  <c r="EF94" i="13"/>
  <c r="EF92" i="13"/>
  <c r="EF90" i="13"/>
  <c r="EF88" i="13"/>
  <c r="EF86" i="13"/>
  <c r="EF84" i="13"/>
  <c r="EF82" i="13"/>
  <c r="EF61" i="13"/>
  <c r="EF39" i="13"/>
  <c r="EI65" i="13"/>
  <c r="EF43" i="13"/>
  <c r="EF46" i="13"/>
  <c r="EF44" i="13"/>
  <c r="EF60" i="13"/>
  <c r="EF50" i="13"/>
  <c r="EF57" i="13"/>
  <c r="EF47" i="13"/>
  <c r="EF59" i="13"/>
  <c r="EF48" i="13"/>
  <c r="EF36" i="13"/>
  <c r="EF56" i="13"/>
  <c r="EF49" i="13"/>
  <c r="EF45" i="13"/>
  <c r="EF51" i="13"/>
  <c r="EF52" i="13"/>
  <c r="EF42" i="13"/>
  <c r="EF58" i="13"/>
  <c r="EF55" i="13"/>
  <c r="EF37" i="13"/>
  <c r="EF38" i="13"/>
  <c r="EG65" i="13"/>
  <c r="EF40" i="13"/>
  <c r="EF54" i="13"/>
  <c r="EF41" i="13"/>
  <c r="EF27" i="13"/>
  <c r="EF26" i="13"/>
  <c r="EF24" i="13"/>
  <c r="EF22" i="13"/>
  <c r="EF16" i="13"/>
  <c r="EF14" i="13"/>
  <c r="EF12" i="13"/>
  <c r="EI27" i="13"/>
  <c r="EF20" i="13"/>
  <c r="EF18" i="13"/>
  <c r="EF10" i="13"/>
  <c r="EF8" i="13"/>
  <c r="EF6" i="13"/>
  <c r="EF25" i="13"/>
  <c r="EF15" i="13"/>
  <c r="EG27" i="13"/>
  <c r="EF17" i="13"/>
  <c r="EF7" i="13"/>
  <c r="EF19" i="13"/>
  <c r="EF9" i="13"/>
  <c r="EF21" i="13"/>
  <c r="EF11" i="13"/>
  <c r="EF23" i="13"/>
  <c r="EF13" i="13"/>
  <c r="DJ81" i="15"/>
  <c r="DJ78" i="15"/>
  <c r="DJ76" i="15"/>
  <c r="DL95" i="15"/>
  <c r="DK95" i="15"/>
  <c r="DJ80" i="15"/>
  <c r="DJ79" i="15"/>
  <c r="DJ77" i="15"/>
  <c r="DM95" i="15"/>
  <c r="DJ62" i="15"/>
  <c r="DJ64" i="15"/>
  <c r="DJ61" i="15"/>
  <c r="DJ63" i="15"/>
  <c r="DJ60" i="15"/>
  <c r="DJ55" i="15"/>
  <c r="DJ53" i="15"/>
  <c r="DJ51" i="15"/>
  <c r="DJ49" i="15"/>
  <c r="DJ47" i="15"/>
  <c r="DJ45" i="15"/>
  <c r="DJ43" i="15"/>
  <c r="DJ41" i="15"/>
  <c r="DJ39" i="15"/>
  <c r="DJ37" i="15"/>
  <c r="DJ59" i="15"/>
  <c r="DJ58" i="15"/>
  <c r="DJ57" i="15"/>
  <c r="DJ56" i="15"/>
  <c r="DJ54" i="15"/>
  <c r="DJ52" i="15"/>
  <c r="DJ50" i="15"/>
  <c r="DJ48" i="15"/>
  <c r="DJ46" i="15"/>
  <c r="DJ44" i="15"/>
  <c r="DJ42" i="15"/>
  <c r="DJ40" i="15"/>
  <c r="DJ38" i="15"/>
  <c r="DJ36" i="15"/>
  <c r="DK65" i="15"/>
  <c r="DI27" i="15"/>
  <c r="BT95" i="12"/>
  <c r="BV95" i="12" s="1"/>
  <c r="BT65" i="12"/>
  <c r="DJ94" i="15" l="1"/>
  <c r="DJ92" i="15"/>
  <c r="DJ90" i="15"/>
  <c r="DJ88" i="15"/>
  <c r="DJ86" i="15"/>
  <c r="DJ84" i="15"/>
  <c r="DJ82" i="15"/>
  <c r="DJ93" i="15"/>
  <c r="DJ89" i="15"/>
  <c r="DJ87" i="15"/>
  <c r="DJ83" i="15"/>
  <c r="DJ91" i="15"/>
  <c r="DJ85" i="15"/>
  <c r="EF95" i="13"/>
  <c r="EF65" i="13"/>
  <c r="DL96" i="15"/>
  <c r="DJ65" i="15"/>
  <c r="DJ27" i="15"/>
  <c r="DJ26" i="15"/>
  <c r="DJ25" i="15"/>
  <c r="DJ24" i="15"/>
  <c r="DJ23" i="15"/>
  <c r="DJ22" i="15"/>
  <c r="DJ21" i="15"/>
  <c r="DJ20" i="15"/>
  <c r="DJ19" i="15"/>
  <c r="DJ18" i="15"/>
  <c r="DJ17" i="15"/>
  <c r="DJ16" i="15"/>
  <c r="DK27" i="15"/>
  <c r="DJ10" i="15"/>
  <c r="DJ6" i="15"/>
  <c r="DL27" i="15"/>
  <c r="DJ14" i="15"/>
  <c r="DJ13" i="15"/>
  <c r="DJ12" i="15"/>
  <c r="DJ11" i="15"/>
  <c r="DJ9" i="15"/>
  <c r="DJ8" i="15"/>
  <c r="DJ7" i="15"/>
  <c r="DM27" i="15"/>
  <c r="BU81" i="12"/>
  <c r="BU80" i="12"/>
  <c r="BU79" i="12"/>
  <c r="BU76" i="12"/>
  <c r="BU77" i="12"/>
  <c r="BV97" i="12"/>
  <c r="BU78" i="12"/>
  <c r="BU36" i="12"/>
  <c r="BV67" i="12"/>
  <c r="BV65" i="12"/>
  <c r="DJ95" i="15" l="1"/>
  <c r="DL28" i="15"/>
  <c r="BU65" i="12"/>
  <c r="DM62" i="15" l="1"/>
  <c r="DM60" i="15"/>
  <c r="DM48" i="15"/>
  <c r="DM63" i="15"/>
  <c r="DM61" i="15"/>
  <c r="DM59" i="15"/>
  <c r="DM58" i="15"/>
  <c r="DM57" i="15"/>
  <c r="DM56" i="15"/>
  <c r="DM55" i="15"/>
  <c r="DM47" i="15"/>
  <c r="DM46" i="15"/>
  <c r="DM37" i="15"/>
  <c r="DM40" i="15"/>
  <c r="DM39" i="15"/>
  <c r="DM51" i="15"/>
  <c r="DM54" i="15"/>
  <c r="DM53" i="15"/>
  <c r="DM52" i="15"/>
  <c r="DM44" i="15"/>
  <c r="DM50" i="15"/>
  <c r="DM38" i="15"/>
  <c r="DM41" i="15"/>
  <c r="DM36" i="15"/>
  <c r="DL65" i="15"/>
  <c r="DL66" i="15" s="1"/>
  <c r="DM65" i="15" l="1"/>
  <c r="BT27" i="12" l="1"/>
  <c r="BU27" i="12" l="1"/>
  <c r="BU17" i="12"/>
  <c r="BU6" i="12"/>
  <c r="BU12" i="12"/>
  <c r="BU22" i="12"/>
  <c r="BU8" i="12"/>
  <c r="BU13" i="12"/>
  <c r="BU23" i="12"/>
  <c r="BV27" i="12"/>
  <c r="BU9" i="12"/>
  <c r="BU14" i="12"/>
  <c r="BU25" i="12"/>
  <c r="BU10" i="12"/>
  <c r="BU16" i="12"/>
  <c r="BU26" i="12"/>
  <c r="BU7" i="12"/>
  <c r="BU11" i="12"/>
  <c r="BU15" i="12"/>
  <c r="BU24" i="12"/>
  <c r="Q38" i="1" l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7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12" i="1"/>
  <c r="AD133" i="7" l="1"/>
  <c r="M133" i="7"/>
  <c r="M21" i="7"/>
  <c r="AF19" i="7" l="1"/>
  <c r="AF18" i="7"/>
  <c r="AF17" i="7"/>
  <c r="AF16" i="7"/>
  <c r="AF15" i="7"/>
  <c r="AF14" i="7"/>
  <c r="AF13" i="7"/>
  <c r="AF12" i="7"/>
  <c r="AF11" i="7"/>
  <c r="AF10" i="7"/>
  <c r="AF9" i="7"/>
  <c r="AF8" i="7"/>
  <c r="AF7" i="7"/>
  <c r="EC80" i="13" l="1"/>
  <c r="EC79" i="13"/>
  <c r="EC78" i="13"/>
  <c r="EC77" i="13"/>
  <c r="EC76" i="13"/>
  <c r="EC60" i="13"/>
  <c r="EC59" i="13"/>
  <c r="EC58" i="13"/>
  <c r="EC57" i="13"/>
  <c r="EC56" i="13"/>
  <c r="EC55" i="13"/>
  <c r="EC54" i="13"/>
  <c r="EC53" i="13"/>
  <c r="EC52" i="13"/>
  <c r="EC51" i="13"/>
  <c r="EC50" i="13"/>
  <c r="EC49" i="13"/>
  <c r="EC48" i="13"/>
  <c r="EC47" i="13"/>
  <c r="EC46" i="13"/>
  <c r="EC45" i="13"/>
  <c r="EC44" i="13"/>
  <c r="EC43" i="13"/>
  <c r="EC42" i="13"/>
  <c r="EC41" i="13"/>
  <c r="EC40" i="13"/>
  <c r="EC39" i="13"/>
  <c r="EC38" i="13"/>
  <c r="EC37" i="13"/>
  <c r="EC36" i="13"/>
  <c r="EC26" i="13"/>
  <c r="EC25" i="13"/>
  <c r="EC24" i="13"/>
  <c r="EC23" i="13"/>
  <c r="EC22" i="13"/>
  <c r="EC21" i="13"/>
  <c r="EC20" i="13"/>
  <c r="EC19" i="13"/>
  <c r="EC18" i="13"/>
  <c r="EC17" i="13"/>
  <c r="EC16" i="13"/>
  <c r="EC15" i="13"/>
  <c r="EC14" i="13"/>
  <c r="EC13" i="13"/>
  <c r="EC12" i="13"/>
  <c r="EC11" i="13"/>
  <c r="EC10" i="13"/>
  <c r="EC9" i="13"/>
  <c r="EC8" i="13"/>
  <c r="EC7" i="13"/>
  <c r="EC6" i="13"/>
  <c r="EB21" i="13"/>
  <c r="EH21" i="13" s="1"/>
  <c r="EJ21" i="13" s="1"/>
  <c r="EB20" i="13"/>
  <c r="EH20" i="13" s="1"/>
  <c r="EJ20" i="13" s="1"/>
  <c r="EB19" i="13"/>
  <c r="EJ19" i="13" s="1"/>
  <c r="EB18" i="13"/>
  <c r="EB17" i="13"/>
  <c r="EH17" i="13" s="1"/>
  <c r="EJ17" i="13" s="1"/>
  <c r="ED94" i="13"/>
  <c r="ED93" i="13"/>
  <c r="ED92" i="13"/>
  <c r="ED91" i="13"/>
  <c r="ED90" i="13"/>
  <c r="ED89" i="13"/>
  <c r="ED88" i="13"/>
  <c r="ED87" i="13"/>
  <c r="ED86" i="13"/>
  <c r="ED85" i="13"/>
  <c r="ED84" i="13"/>
  <c r="ED83" i="13"/>
  <c r="ED82" i="13"/>
  <c r="ED81" i="13"/>
  <c r="DY74" i="13"/>
  <c r="DY34" i="13"/>
  <c r="DF80" i="15" l="1"/>
  <c r="EA80" i="13" s="1"/>
  <c r="DF79" i="15"/>
  <c r="EA79" i="13" s="1"/>
  <c r="DF78" i="15"/>
  <c r="EA78" i="13" s="1"/>
  <c r="DF77" i="15"/>
  <c r="EA77" i="13" s="1"/>
  <c r="DF76" i="15"/>
  <c r="EA76" i="13" s="1"/>
  <c r="DD81" i="15"/>
  <c r="DD80" i="15"/>
  <c r="DY80" i="13" s="1"/>
  <c r="DD79" i="15"/>
  <c r="DY79" i="13" s="1"/>
  <c r="DD78" i="15"/>
  <c r="DY78" i="13" s="1"/>
  <c r="DD77" i="15"/>
  <c r="DY77" i="13" s="1"/>
  <c r="DD76" i="15"/>
  <c r="DY76" i="13" s="1"/>
  <c r="DF64" i="15"/>
  <c r="DH64" i="15" s="1"/>
  <c r="DD64" i="15"/>
  <c r="DF60" i="15"/>
  <c r="EA60" i="13" s="1"/>
  <c r="DD60" i="15"/>
  <c r="DY60" i="13" s="1"/>
  <c r="DF59" i="15"/>
  <c r="EA59" i="13" s="1"/>
  <c r="DD59" i="15"/>
  <c r="DY59" i="13" s="1"/>
  <c r="DF58" i="15"/>
  <c r="EA58" i="13" s="1"/>
  <c r="DD58" i="15"/>
  <c r="DY58" i="13" s="1"/>
  <c r="DF57" i="15"/>
  <c r="EA57" i="13" s="1"/>
  <c r="DD57" i="15"/>
  <c r="DY57" i="13" s="1"/>
  <c r="DF56" i="15"/>
  <c r="EA56" i="13" s="1"/>
  <c r="DD56" i="15"/>
  <c r="DY56" i="13" s="1"/>
  <c r="DF55" i="15"/>
  <c r="EA55" i="13" s="1"/>
  <c r="DD55" i="15"/>
  <c r="DY55" i="13" s="1"/>
  <c r="DF54" i="15"/>
  <c r="EA54" i="13" s="1"/>
  <c r="DD54" i="15"/>
  <c r="DY54" i="13" s="1"/>
  <c r="DF53" i="15"/>
  <c r="EA53" i="13" s="1"/>
  <c r="DD53" i="15"/>
  <c r="DY53" i="13" s="1"/>
  <c r="DF52" i="15"/>
  <c r="EA52" i="13" s="1"/>
  <c r="DD52" i="15"/>
  <c r="DY52" i="13" s="1"/>
  <c r="DF51" i="15"/>
  <c r="EA51" i="13" s="1"/>
  <c r="DD51" i="15"/>
  <c r="DY51" i="13" s="1"/>
  <c r="DF50" i="15"/>
  <c r="EA50" i="13" s="1"/>
  <c r="DD50" i="15"/>
  <c r="DY50" i="13" s="1"/>
  <c r="DF49" i="15"/>
  <c r="EA49" i="13" s="1"/>
  <c r="DD49" i="15"/>
  <c r="DY49" i="13" s="1"/>
  <c r="DF48" i="15"/>
  <c r="EA48" i="13" s="1"/>
  <c r="DD48" i="15"/>
  <c r="DY48" i="13" s="1"/>
  <c r="DF47" i="15"/>
  <c r="EA47" i="13" s="1"/>
  <c r="DD47" i="15"/>
  <c r="DF46" i="15"/>
  <c r="EA46" i="13" s="1"/>
  <c r="DD46" i="15"/>
  <c r="DY46" i="13" s="1"/>
  <c r="DF45" i="15"/>
  <c r="DD45" i="15"/>
  <c r="DY45" i="13" s="1"/>
  <c r="DF44" i="15"/>
  <c r="EA44" i="13" s="1"/>
  <c r="DD44" i="15"/>
  <c r="DF43" i="15"/>
  <c r="EA43" i="13" s="1"/>
  <c r="DD43" i="15"/>
  <c r="DY43" i="13" s="1"/>
  <c r="DF42" i="15"/>
  <c r="EA42" i="13" s="1"/>
  <c r="DD42" i="15"/>
  <c r="DF41" i="15"/>
  <c r="EA41" i="13" s="1"/>
  <c r="DD41" i="15"/>
  <c r="DY41" i="13" s="1"/>
  <c r="DF40" i="15"/>
  <c r="EA40" i="13" s="1"/>
  <c r="DD40" i="15"/>
  <c r="DY40" i="13" s="1"/>
  <c r="DF39" i="15"/>
  <c r="EA39" i="13" s="1"/>
  <c r="DD39" i="15"/>
  <c r="DF38" i="15"/>
  <c r="EA38" i="13" s="1"/>
  <c r="DD38" i="15"/>
  <c r="DY38" i="13" s="1"/>
  <c r="DF37" i="15"/>
  <c r="DD37" i="15"/>
  <c r="DF36" i="15"/>
  <c r="EA36" i="13" s="1"/>
  <c r="DD36" i="15"/>
  <c r="DY36" i="13" s="1"/>
  <c r="DD26" i="15"/>
  <c r="DY26" i="13" s="1"/>
  <c r="DD25" i="15"/>
  <c r="DY25" i="13" s="1"/>
  <c r="DD24" i="15"/>
  <c r="DY24" i="13" s="1"/>
  <c r="DD23" i="15"/>
  <c r="DY23" i="13" s="1"/>
  <c r="DD22" i="15"/>
  <c r="DY22" i="13" s="1"/>
  <c r="DD21" i="15"/>
  <c r="DY21" i="13" s="1"/>
  <c r="DD20" i="15"/>
  <c r="DY20" i="13" s="1"/>
  <c r="DD19" i="15"/>
  <c r="DY19" i="13" s="1"/>
  <c r="DD18" i="15"/>
  <c r="DY18" i="13" s="1"/>
  <c r="DD17" i="15"/>
  <c r="DY17" i="13" s="1"/>
  <c r="DD16" i="15"/>
  <c r="DY16" i="13" s="1"/>
  <c r="DD15" i="15"/>
  <c r="DY15" i="13" s="1"/>
  <c r="DD14" i="15"/>
  <c r="DY14" i="13" s="1"/>
  <c r="DD13" i="15"/>
  <c r="DY13" i="13" s="1"/>
  <c r="DD12" i="15"/>
  <c r="DY12" i="13" s="1"/>
  <c r="DD11" i="15"/>
  <c r="DY11" i="13" s="1"/>
  <c r="DD10" i="15"/>
  <c r="DY10" i="13" s="1"/>
  <c r="DD9" i="15"/>
  <c r="DY9" i="13" s="1"/>
  <c r="DD8" i="15"/>
  <c r="DY8" i="13" s="1"/>
  <c r="DD7" i="15"/>
  <c r="DY7" i="13" s="1"/>
  <c r="DF26" i="15"/>
  <c r="DF25" i="15"/>
  <c r="EA25" i="13" s="1"/>
  <c r="DF24" i="15"/>
  <c r="EA24" i="13" s="1"/>
  <c r="DF23" i="15"/>
  <c r="EA23" i="13" s="1"/>
  <c r="DF22" i="15"/>
  <c r="EA22" i="13" s="1"/>
  <c r="DF21" i="15"/>
  <c r="EA21" i="13" s="1"/>
  <c r="ED21" i="13" s="1"/>
  <c r="DF20" i="15"/>
  <c r="EA20" i="13" s="1"/>
  <c r="ED20" i="13" s="1"/>
  <c r="DF19" i="15"/>
  <c r="DF18" i="15"/>
  <c r="DF17" i="15"/>
  <c r="EA17" i="13" s="1"/>
  <c r="ED17" i="13" s="1"/>
  <c r="DF16" i="15"/>
  <c r="EA16" i="13" s="1"/>
  <c r="DF15" i="15"/>
  <c r="EA15" i="13" s="1"/>
  <c r="DF14" i="15"/>
  <c r="DF13" i="15"/>
  <c r="EA13" i="13" s="1"/>
  <c r="DF12" i="15"/>
  <c r="EA12" i="13" s="1"/>
  <c r="DF11" i="15"/>
  <c r="EA11" i="13" s="1"/>
  <c r="DF10" i="15"/>
  <c r="DF9" i="15"/>
  <c r="EA9" i="13" s="1"/>
  <c r="DF8" i="15"/>
  <c r="EA8" i="13" s="1"/>
  <c r="DF7" i="15"/>
  <c r="EA7" i="13" s="1"/>
  <c r="DF6" i="15"/>
  <c r="DD6" i="15"/>
  <c r="DY6" i="13" s="1"/>
  <c r="DH94" i="15"/>
  <c r="DH93" i="15"/>
  <c r="DH92" i="15"/>
  <c r="DH91" i="15"/>
  <c r="DH90" i="15"/>
  <c r="DH89" i="15"/>
  <c r="DH88" i="15"/>
  <c r="DH87" i="15"/>
  <c r="DH86" i="15"/>
  <c r="DH85" i="15"/>
  <c r="DH84" i="15"/>
  <c r="DH83" i="15"/>
  <c r="DH82" i="15"/>
  <c r="DD74" i="15"/>
  <c r="DH35" i="15"/>
  <c r="DH75" i="15" s="1"/>
  <c r="DD34" i="15"/>
  <c r="BO60" i="12"/>
  <c r="BO59" i="12"/>
  <c r="BO58" i="12"/>
  <c r="BO57" i="12"/>
  <c r="BO56" i="12"/>
  <c r="BO55" i="12"/>
  <c r="BO54" i="12"/>
  <c r="BO53" i="12"/>
  <c r="BO52" i="12"/>
  <c r="BO51" i="12"/>
  <c r="BO50" i="12"/>
  <c r="BO49" i="12"/>
  <c r="BO48" i="12"/>
  <c r="BO47" i="12"/>
  <c r="BO46" i="12"/>
  <c r="BO45" i="12"/>
  <c r="BO44" i="12"/>
  <c r="BO43" i="12"/>
  <c r="BO42" i="12"/>
  <c r="BO41" i="12"/>
  <c r="BO40" i="12"/>
  <c r="BO39" i="12"/>
  <c r="BO38" i="12"/>
  <c r="BO37" i="12"/>
  <c r="BO36" i="12"/>
  <c r="BL60" i="12"/>
  <c r="BL59" i="12"/>
  <c r="BL58" i="12"/>
  <c r="BL57" i="12"/>
  <c r="BL56" i="12"/>
  <c r="BL55" i="12"/>
  <c r="BL54" i="12"/>
  <c r="BL53" i="12"/>
  <c r="BL52" i="12"/>
  <c r="BL51" i="12"/>
  <c r="BL50" i="12"/>
  <c r="BL49" i="12"/>
  <c r="BL48" i="12"/>
  <c r="BL47" i="12"/>
  <c r="BL46" i="12"/>
  <c r="BL45" i="12"/>
  <c r="BL44" i="12"/>
  <c r="BL43" i="12"/>
  <c r="BL42" i="12"/>
  <c r="BL41" i="12"/>
  <c r="BL40" i="12"/>
  <c r="BL39" i="12"/>
  <c r="BL38" i="12"/>
  <c r="BL37" i="12"/>
  <c r="BL36" i="12"/>
  <c r="BS97" i="12"/>
  <c r="BP97" i="12"/>
  <c r="BM97" i="12"/>
  <c r="BJ97" i="12"/>
  <c r="BR81" i="12"/>
  <c r="BR80" i="12"/>
  <c r="BR79" i="12"/>
  <c r="BR78" i="12"/>
  <c r="BR77" i="12"/>
  <c r="BR76" i="12"/>
  <c r="BO81" i="12"/>
  <c r="BO80" i="12"/>
  <c r="BO79" i="12"/>
  <c r="BO78" i="12"/>
  <c r="BO77" i="12"/>
  <c r="BO76" i="12"/>
  <c r="BL81" i="12"/>
  <c r="BL80" i="12"/>
  <c r="BL79" i="12"/>
  <c r="BL78" i="12"/>
  <c r="BL77" i="12"/>
  <c r="BL76" i="12"/>
  <c r="BI81" i="12"/>
  <c r="BI80" i="12"/>
  <c r="BI79" i="12"/>
  <c r="BI78" i="12"/>
  <c r="BI77" i="12"/>
  <c r="BI76" i="12"/>
  <c r="BF81" i="12"/>
  <c r="BF80" i="12"/>
  <c r="BF79" i="12"/>
  <c r="BF78" i="12"/>
  <c r="BF77" i="12"/>
  <c r="BF76" i="12"/>
  <c r="BC81" i="12"/>
  <c r="BC80" i="12"/>
  <c r="BC79" i="12"/>
  <c r="BC78" i="12"/>
  <c r="BC77" i="12"/>
  <c r="BC76" i="12"/>
  <c r="AZ81" i="12"/>
  <c r="AZ80" i="12"/>
  <c r="AZ79" i="12"/>
  <c r="AZ78" i="12"/>
  <c r="AZ77" i="12"/>
  <c r="AZ76" i="12"/>
  <c r="AW81" i="12"/>
  <c r="AW80" i="12"/>
  <c r="AW79" i="12"/>
  <c r="AW78" i="12"/>
  <c r="AW77" i="12"/>
  <c r="AW76" i="12"/>
  <c r="AT81" i="12"/>
  <c r="AT80" i="12"/>
  <c r="AT79" i="12"/>
  <c r="AT78" i="12"/>
  <c r="AT77" i="12"/>
  <c r="AT76" i="12"/>
  <c r="AQ81" i="12"/>
  <c r="AQ80" i="12"/>
  <c r="AQ79" i="12"/>
  <c r="AQ78" i="12"/>
  <c r="AQ77" i="12"/>
  <c r="AQ76" i="12"/>
  <c r="AM81" i="12"/>
  <c r="AM80" i="12"/>
  <c r="AM79" i="12"/>
  <c r="AM78" i="12"/>
  <c r="AM77" i="12"/>
  <c r="AM76" i="12"/>
  <c r="AJ81" i="12"/>
  <c r="AJ80" i="12"/>
  <c r="AJ79" i="12"/>
  <c r="AJ78" i="12"/>
  <c r="AJ77" i="12"/>
  <c r="AJ76" i="12"/>
  <c r="AG81" i="12"/>
  <c r="AG80" i="12"/>
  <c r="AG79" i="12"/>
  <c r="AG78" i="12"/>
  <c r="AG77" i="12"/>
  <c r="AG76" i="12"/>
  <c r="AD81" i="12"/>
  <c r="AD80" i="12"/>
  <c r="AD79" i="12"/>
  <c r="AD78" i="12"/>
  <c r="AD77" i="12"/>
  <c r="AD76" i="12"/>
  <c r="AA81" i="12"/>
  <c r="AA80" i="12"/>
  <c r="AA79" i="12"/>
  <c r="AA78" i="12"/>
  <c r="AA77" i="12"/>
  <c r="AA76" i="12"/>
  <c r="X81" i="12"/>
  <c r="X80" i="12"/>
  <c r="X79" i="12"/>
  <c r="X78" i="12"/>
  <c r="X77" i="12"/>
  <c r="X76" i="12"/>
  <c r="U81" i="12"/>
  <c r="U80" i="12"/>
  <c r="U79" i="12"/>
  <c r="U78" i="12"/>
  <c r="U77" i="12"/>
  <c r="U76" i="12"/>
  <c r="R81" i="12"/>
  <c r="R80" i="12"/>
  <c r="R79" i="12"/>
  <c r="R78" i="12"/>
  <c r="R77" i="12"/>
  <c r="R76" i="12"/>
  <c r="O81" i="12"/>
  <c r="O80" i="12"/>
  <c r="O79" i="12"/>
  <c r="O78" i="12"/>
  <c r="O77" i="12"/>
  <c r="O76" i="12"/>
  <c r="L81" i="12"/>
  <c r="L80" i="12"/>
  <c r="L79" i="12"/>
  <c r="L78" i="12"/>
  <c r="L77" i="12"/>
  <c r="L76" i="12"/>
  <c r="I81" i="12"/>
  <c r="I80" i="12"/>
  <c r="I79" i="12"/>
  <c r="I78" i="12"/>
  <c r="I77" i="12"/>
  <c r="I76" i="12"/>
  <c r="F81" i="12"/>
  <c r="F80" i="12"/>
  <c r="F79" i="12"/>
  <c r="F78" i="12"/>
  <c r="F77" i="12"/>
  <c r="F76" i="12"/>
  <c r="BQ95" i="12"/>
  <c r="BS95" i="12" s="1"/>
  <c r="BQ74" i="12"/>
  <c r="BQ34" i="12"/>
  <c r="DH76" i="15" l="1"/>
  <c r="DH22" i="15"/>
  <c r="DH79" i="15"/>
  <c r="DH24" i="15"/>
  <c r="DH13" i="15"/>
  <c r="DH25" i="15"/>
  <c r="DH17" i="15"/>
  <c r="DH21" i="15"/>
  <c r="DH77" i="15"/>
  <c r="DH9" i="15"/>
  <c r="DH11" i="15"/>
  <c r="DH20" i="15"/>
  <c r="DH48" i="15"/>
  <c r="DH49" i="15"/>
  <c r="DH12" i="15"/>
  <c r="DH39" i="15"/>
  <c r="DH47" i="15"/>
  <c r="DH7" i="15"/>
  <c r="DH40" i="15"/>
  <c r="DH56" i="15"/>
  <c r="DH55" i="15"/>
  <c r="DH41" i="15"/>
  <c r="DH57" i="15"/>
  <c r="DH16" i="15"/>
  <c r="DH78" i="15"/>
  <c r="DH80" i="15"/>
  <c r="DH8" i="15"/>
  <c r="EA6" i="13"/>
  <c r="DH6" i="15"/>
  <c r="EA10" i="13"/>
  <c r="DH10" i="15"/>
  <c r="EA14" i="13"/>
  <c r="DH14" i="15"/>
  <c r="EA18" i="13"/>
  <c r="ED18" i="13" s="1"/>
  <c r="DH18" i="15"/>
  <c r="EA26" i="13"/>
  <c r="DH26" i="15"/>
  <c r="DY47" i="13"/>
  <c r="EA45" i="13"/>
  <c r="DH45" i="15"/>
  <c r="DY39" i="13"/>
  <c r="DY42" i="13"/>
  <c r="DY44" i="13"/>
  <c r="DY27" i="13"/>
  <c r="DZ10" i="13" s="1"/>
  <c r="EA37" i="13"/>
  <c r="DH37" i="15"/>
  <c r="BO65" i="12"/>
  <c r="DH53" i="15"/>
  <c r="DH50" i="15"/>
  <c r="DH58" i="15"/>
  <c r="DH44" i="15"/>
  <c r="DH52" i="15"/>
  <c r="DH60" i="15"/>
  <c r="DY95" i="13"/>
  <c r="DZ77" i="13" s="1"/>
  <c r="DH36" i="15"/>
  <c r="DH43" i="15"/>
  <c r="DH51" i="15"/>
  <c r="DH59" i="15"/>
  <c r="DH19" i="15"/>
  <c r="EA19" i="13"/>
  <c r="ED19" i="13" s="1"/>
  <c r="DH42" i="15"/>
  <c r="DD65" i="15"/>
  <c r="DE40" i="15" s="1"/>
  <c r="DY37" i="13"/>
  <c r="DH38" i="15"/>
  <c r="DH46" i="15"/>
  <c r="DH54" i="15"/>
  <c r="DH15" i="15"/>
  <c r="DH23" i="15"/>
  <c r="DD27" i="15"/>
  <c r="DE11" i="15" s="1"/>
  <c r="DD95" i="15"/>
  <c r="BR15" i="12"/>
  <c r="BQ27" i="12"/>
  <c r="BR7" i="12"/>
  <c r="BR11" i="12"/>
  <c r="BR13" i="12"/>
  <c r="BR9" i="12"/>
  <c r="BR12" i="12"/>
  <c r="BR8" i="12"/>
  <c r="BR10" i="12"/>
  <c r="BR14" i="12"/>
  <c r="BR6" i="12"/>
  <c r="BR16" i="12"/>
  <c r="BQ65" i="12"/>
  <c r="BR23" i="12"/>
  <c r="BR24" i="12"/>
  <c r="BR27" i="12"/>
  <c r="BR25" i="12"/>
  <c r="BS27" i="12"/>
  <c r="BR22" i="12"/>
  <c r="BR26" i="12"/>
  <c r="BS29" i="12"/>
  <c r="L6" i="7"/>
  <c r="L7" i="7"/>
  <c r="L118" i="7"/>
  <c r="DZ15" i="13" l="1"/>
  <c r="DZ25" i="13"/>
  <c r="DE45" i="15"/>
  <c r="DG65" i="15"/>
  <c r="DE41" i="15"/>
  <c r="DZ79" i="13"/>
  <c r="DE37" i="15"/>
  <c r="DZ21" i="13"/>
  <c r="DZ6" i="13"/>
  <c r="DZ16" i="13"/>
  <c r="DZ14" i="13"/>
  <c r="DF65" i="15"/>
  <c r="DE57" i="15"/>
  <c r="DZ17" i="13"/>
  <c r="DZ12" i="13"/>
  <c r="DZ11" i="13"/>
  <c r="DZ26" i="13"/>
  <c r="DZ20" i="13"/>
  <c r="DZ9" i="13"/>
  <c r="DZ23" i="13"/>
  <c r="DZ76" i="13"/>
  <c r="DZ22" i="13"/>
  <c r="DE42" i="15"/>
  <c r="DZ13" i="13"/>
  <c r="EC27" i="13"/>
  <c r="EI28" i="13" s="1"/>
  <c r="EI29" i="13" s="1"/>
  <c r="DZ7" i="13"/>
  <c r="DZ24" i="13"/>
  <c r="DZ8" i="13"/>
  <c r="DZ19" i="13"/>
  <c r="DZ18" i="13"/>
  <c r="DE47" i="15"/>
  <c r="DE53" i="15"/>
  <c r="EA27" i="13"/>
  <c r="EG28" i="13" s="1"/>
  <c r="EG29" i="13" s="1"/>
  <c r="DE60" i="15"/>
  <c r="DE50" i="15"/>
  <c r="DE78" i="15"/>
  <c r="DE81" i="15"/>
  <c r="DE77" i="15"/>
  <c r="DE80" i="15"/>
  <c r="DE51" i="15"/>
  <c r="DE54" i="15"/>
  <c r="DE46" i="15"/>
  <c r="DE38" i="15"/>
  <c r="DE59" i="15"/>
  <c r="DE43" i="15"/>
  <c r="DE55" i="15"/>
  <c r="DE58" i="15"/>
  <c r="DE79" i="15"/>
  <c r="DE56" i="15"/>
  <c r="DE36" i="15"/>
  <c r="DE94" i="15"/>
  <c r="DE90" i="15"/>
  <c r="DE86" i="15"/>
  <c r="DE82" i="15"/>
  <c r="DE92" i="15"/>
  <c r="DE88" i="15"/>
  <c r="DE83" i="15"/>
  <c r="DE93" i="15"/>
  <c r="DE89" i="15"/>
  <c r="DE85" i="15"/>
  <c r="DE84" i="15"/>
  <c r="DE91" i="15"/>
  <c r="DE87" i="15"/>
  <c r="DH65" i="15"/>
  <c r="DE76" i="15"/>
  <c r="DE49" i="15"/>
  <c r="DZ78" i="13"/>
  <c r="DE52" i="15"/>
  <c r="DY65" i="13"/>
  <c r="DZ47" i="13" s="1"/>
  <c r="DZ92" i="13"/>
  <c r="DZ88" i="13"/>
  <c r="DZ84" i="13"/>
  <c r="DZ94" i="13"/>
  <c r="DZ86" i="13"/>
  <c r="DZ89" i="13"/>
  <c r="DZ91" i="13"/>
  <c r="DZ87" i="13"/>
  <c r="DZ83" i="13"/>
  <c r="DZ90" i="13"/>
  <c r="DZ82" i="13"/>
  <c r="DZ93" i="13"/>
  <c r="DZ85" i="13"/>
  <c r="DZ27" i="13"/>
  <c r="DE44" i="15"/>
  <c r="DE39" i="15"/>
  <c r="DE64" i="15"/>
  <c r="EC95" i="13"/>
  <c r="EA95" i="13"/>
  <c r="DE48" i="15"/>
  <c r="DZ80" i="13"/>
  <c r="DH95" i="15"/>
  <c r="DE14" i="15"/>
  <c r="DE7" i="15"/>
  <c r="DG27" i="15"/>
  <c r="DE25" i="15"/>
  <c r="DE21" i="15"/>
  <c r="DE17" i="15"/>
  <c r="DE12" i="15"/>
  <c r="DE8" i="15"/>
  <c r="DE27" i="15"/>
  <c r="DH27" i="15"/>
  <c r="DE18" i="15"/>
  <c r="DE13" i="15"/>
  <c r="DE9" i="15"/>
  <c r="DF27" i="15"/>
  <c r="DE26" i="15"/>
  <c r="DE22" i="15"/>
  <c r="DE6" i="15"/>
  <c r="DE10" i="15"/>
  <c r="DG95" i="15"/>
  <c r="DF95" i="15"/>
  <c r="DE20" i="15"/>
  <c r="DE24" i="15"/>
  <c r="DE19" i="15"/>
  <c r="DE23" i="15"/>
  <c r="DE16" i="15"/>
  <c r="BS65" i="12"/>
  <c r="BR58" i="12"/>
  <c r="BR54" i="12"/>
  <c r="BR50" i="12"/>
  <c r="BR46" i="12"/>
  <c r="BR42" i="12"/>
  <c r="BR38" i="12"/>
  <c r="BR60" i="12"/>
  <c r="BR52" i="12"/>
  <c r="BR44" i="12"/>
  <c r="BR36" i="12"/>
  <c r="BR59" i="12"/>
  <c r="BR51" i="12"/>
  <c r="BR43" i="12"/>
  <c r="BR57" i="12"/>
  <c r="BR53" i="12"/>
  <c r="BR49" i="12"/>
  <c r="BR45" i="12"/>
  <c r="BR41" i="12"/>
  <c r="BR37" i="12"/>
  <c r="BR56" i="12"/>
  <c r="BR48" i="12"/>
  <c r="BR40" i="12"/>
  <c r="BR55" i="12"/>
  <c r="BR47" i="12"/>
  <c r="BR39" i="12"/>
  <c r="BS67" i="12"/>
  <c r="DG96" i="15" l="1"/>
  <c r="DG28" i="15"/>
  <c r="DM66" i="15"/>
  <c r="DG66" i="15"/>
  <c r="DM96" i="15"/>
  <c r="DZ44" i="13"/>
  <c r="DZ39" i="13"/>
  <c r="DM28" i="15"/>
  <c r="DZ95" i="13"/>
  <c r="EC65" i="13"/>
  <c r="DZ64" i="13"/>
  <c r="EA65" i="13"/>
  <c r="DZ50" i="13"/>
  <c r="DZ36" i="13"/>
  <c r="DZ57" i="13"/>
  <c r="DZ43" i="13"/>
  <c r="DZ51" i="13"/>
  <c r="DZ59" i="13"/>
  <c r="DZ55" i="13"/>
  <c r="DZ45" i="13"/>
  <c r="DZ48" i="13"/>
  <c r="DZ52" i="13"/>
  <c r="DZ58" i="13"/>
  <c r="DZ49" i="13"/>
  <c r="DZ53" i="13"/>
  <c r="DZ60" i="13"/>
  <c r="DZ41" i="13"/>
  <c r="DZ38" i="13"/>
  <c r="DZ46" i="13"/>
  <c r="DZ54" i="13"/>
  <c r="DZ40" i="13"/>
  <c r="DZ56" i="13"/>
  <c r="DZ42" i="13"/>
  <c r="DZ37" i="13"/>
  <c r="BR65" i="12"/>
  <c r="DE65" i="15"/>
  <c r="DE95" i="15"/>
  <c r="DZ65" i="13" l="1"/>
  <c r="D10" i="18" l="1"/>
  <c r="D12" i="18"/>
  <c r="D6" i="18"/>
  <c r="BW29" i="13" l="1"/>
  <c r="I249" i="7" l="1"/>
  <c r="F249" i="7"/>
  <c r="C249" i="7"/>
  <c r="DC94" i="15" l="1"/>
  <c r="DC93" i="15"/>
  <c r="DC92" i="15"/>
  <c r="DC91" i="15"/>
  <c r="DC90" i="15"/>
  <c r="DC89" i="15"/>
  <c r="DC88" i="15"/>
  <c r="DC87" i="15"/>
  <c r="DC86" i="15"/>
  <c r="DC85" i="15"/>
  <c r="DC84" i="15"/>
  <c r="DC83" i="15"/>
  <c r="DC82" i="15"/>
  <c r="DC79" i="15"/>
  <c r="DC77" i="15"/>
  <c r="DC76" i="15"/>
  <c r="CY74" i="15"/>
  <c r="DC64" i="15"/>
  <c r="DC59" i="15"/>
  <c r="DC57" i="15"/>
  <c r="DC56" i="15"/>
  <c r="DC53" i="15"/>
  <c r="DC52" i="15"/>
  <c r="DC51" i="15"/>
  <c r="DC50" i="15"/>
  <c r="DC49" i="15"/>
  <c r="DC48" i="15"/>
  <c r="DC47" i="15"/>
  <c r="DC45" i="15"/>
  <c r="DC43" i="15"/>
  <c r="DC41" i="15"/>
  <c r="DC40" i="15"/>
  <c r="DC37" i="15"/>
  <c r="DC36" i="15"/>
  <c r="DC35" i="15"/>
  <c r="DC75" i="15" s="1"/>
  <c r="CY34" i="15"/>
  <c r="DC26" i="15"/>
  <c r="DC25" i="15"/>
  <c r="DC23" i="15"/>
  <c r="DC21" i="15"/>
  <c r="DC19" i="15"/>
  <c r="DC18" i="15"/>
  <c r="DC14" i="15"/>
  <c r="DC13" i="15"/>
  <c r="DC12" i="15"/>
  <c r="DC11" i="15"/>
  <c r="DC10" i="15"/>
  <c r="DC9" i="15"/>
  <c r="DC8" i="15"/>
  <c r="DC6" i="15"/>
  <c r="DX94" i="13"/>
  <c r="DX93" i="13"/>
  <c r="DX92" i="13"/>
  <c r="DX91" i="13"/>
  <c r="DX90" i="13"/>
  <c r="DX89" i="13"/>
  <c r="DX88" i="13"/>
  <c r="DX87" i="13"/>
  <c r="DX86" i="13"/>
  <c r="DX85" i="13"/>
  <c r="DX84" i="13"/>
  <c r="DX83" i="13"/>
  <c r="DX82" i="13"/>
  <c r="DX81" i="13"/>
  <c r="DX80" i="13"/>
  <c r="DS74" i="13"/>
  <c r="DS65" i="13"/>
  <c r="DS34" i="13"/>
  <c r="DW16" i="13"/>
  <c r="BN74" i="12"/>
  <c r="BP67" i="12"/>
  <c r="BP65" i="12"/>
  <c r="BN34" i="12"/>
  <c r="BP29" i="12"/>
  <c r="BP27" i="12"/>
  <c r="BO27" i="12"/>
  <c r="BN27" i="12"/>
  <c r="BO26" i="12"/>
  <c r="BO25" i="12"/>
  <c r="BO24" i="12"/>
  <c r="BO23" i="12"/>
  <c r="BO22" i="12"/>
  <c r="BO16" i="12"/>
  <c r="BO14" i="12"/>
  <c r="BO13" i="12"/>
  <c r="BO12" i="12"/>
  <c r="BO11" i="12"/>
  <c r="BO10" i="12"/>
  <c r="BO9" i="12"/>
  <c r="BO8" i="12"/>
  <c r="BO7" i="12"/>
  <c r="BO6" i="12"/>
  <c r="DT59" i="13" l="1"/>
  <c r="DT55" i="13"/>
  <c r="DT51" i="13"/>
  <c r="DT47" i="13"/>
  <c r="DT43" i="13"/>
  <c r="DT39" i="13"/>
  <c r="DT58" i="13"/>
  <c r="DT54" i="13"/>
  <c r="DT50" i="13"/>
  <c r="DT46" i="13"/>
  <c r="DT42" i="13"/>
  <c r="DT38" i="13"/>
  <c r="DT64" i="13"/>
  <c r="DT57" i="13"/>
  <c r="DT53" i="13"/>
  <c r="DT49" i="13"/>
  <c r="DT45" i="13"/>
  <c r="DT41" i="13"/>
  <c r="DT37" i="13"/>
  <c r="DT60" i="13"/>
  <c r="DT56" i="13"/>
  <c r="DT52" i="13"/>
  <c r="DT48" i="13"/>
  <c r="DT44" i="13"/>
  <c r="DT40" i="13"/>
  <c r="DT36" i="13"/>
  <c r="DX18" i="13"/>
  <c r="DS27" i="13"/>
  <c r="DT7" i="13" s="1"/>
  <c r="DX20" i="13"/>
  <c r="DX6" i="13"/>
  <c r="DX7" i="13"/>
  <c r="DX17" i="13"/>
  <c r="DX19" i="13"/>
  <c r="DX21" i="13"/>
  <c r="CY27" i="15"/>
  <c r="CZ22" i="15" s="1"/>
  <c r="DC16" i="15"/>
  <c r="DC38" i="15"/>
  <c r="DC54" i="15"/>
  <c r="DC20" i="15"/>
  <c r="DC42" i="15"/>
  <c r="DC58" i="15"/>
  <c r="CY95" i="15"/>
  <c r="DC78" i="15"/>
  <c r="DC95" i="15" s="1"/>
  <c r="DC7" i="15"/>
  <c r="DC17" i="15"/>
  <c r="DC22" i="15"/>
  <c r="DC24" i="15"/>
  <c r="DC39" i="15"/>
  <c r="DC44" i="15"/>
  <c r="DC46" i="15"/>
  <c r="DC55" i="15"/>
  <c r="DC60" i="15"/>
  <c r="BN95" i="12"/>
  <c r="BP95" i="12" s="1"/>
  <c r="CZ17" i="15"/>
  <c r="CZ26" i="15"/>
  <c r="CZ10" i="15"/>
  <c r="DA95" i="15"/>
  <c r="CY65" i="15"/>
  <c r="DT11" i="13"/>
  <c r="DT21" i="13"/>
  <c r="DW65" i="13"/>
  <c r="DU65" i="13"/>
  <c r="DT93" i="13"/>
  <c r="DT85" i="13"/>
  <c r="DT83" i="13"/>
  <c r="DT25" i="13"/>
  <c r="DT92" i="13"/>
  <c r="DT88" i="13"/>
  <c r="DT84" i="13"/>
  <c r="DT23" i="13"/>
  <c r="DT6" i="13"/>
  <c r="DU27" i="13"/>
  <c r="DS95" i="13"/>
  <c r="CZ6" i="15" l="1"/>
  <c r="CZ24" i="15"/>
  <c r="CZ25" i="15"/>
  <c r="CZ16" i="15"/>
  <c r="DH96" i="15"/>
  <c r="CZ58" i="15"/>
  <c r="CZ54" i="15"/>
  <c r="CZ50" i="15"/>
  <c r="CZ46" i="15"/>
  <c r="CZ42" i="15"/>
  <c r="CZ38" i="15"/>
  <c r="CZ64" i="15"/>
  <c r="CZ57" i="15"/>
  <c r="CZ53" i="15"/>
  <c r="CZ49" i="15"/>
  <c r="CZ45" i="15"/>
  <c r="CZ41" i="15"/>
  <c r="CZ37" i="15"/>
  <c r="CZ60" i="15"/>
  <c r="CZ56" i="15"/>
  <c r="CZ52" i="15"/>
  <c r="CZ48" i="15"/>
  <c r="CZ44" i="15"/>
  <c r="CZ40" i="15"/>
  <c r="CZ36" i="15"/>
  <c r="CZ59" i="15"/>
  <c r="CZ55" i="15"/>
  <c r="CZ51" i="15"/>
  <c r="CZ47" i="15"/>
  <c r="CZ43" i="15"/>
  <c r="CZ39" i="15"/>
  <c r="CZ93" i="15"/>
  <c r="CZ89" i="15"/>
  <c r="CZ85" i="15"/>
  <c r="CZ92" i="15"/>
  <c r="CZ88" i="15"/>
  <c r="CZ84" i="15"/>
  <c r="CZ91" i="15"/>
  <c r="CZ87" i="15"/>
  <c r="CZ83" i="15"/>
  <c r="CZ94" i="15"/>
  <c r="CZ90" i="15"/>
  <c r="CZ86" i="15"/>
  <c r="CZ82" i="15"/>
  <c r="CZ19" i="15"/>
  <c r="CZ7" i="15"/>
  <c r="CZ8" i="15"/>
  <c r="DB27" i="15"/>
  <c r="DB28" i="15" s="1"/>
  <c r="CZ79" i="15"/>
  <c r="CZ78" i="15"/>
  <c r="CZ77" i="15"/>
  <c r="CZ76" i="15"/>
  <c r="CZ23" i="15"/>
  <c r="CZ11" i="15"/>
  <c r="CZ18" i="15"/>
  <c r="CZ12" i="15"/>
  <c r="DT27" i="13"/>
  <c r="DT94" i="13"/>
  <c r="DT91" i="13"/>
  <c r="DT9" i="13"/>
  <c r="DT13" i="13"/>
  <c r="DT19" i="13"/>
  <c r="DT14" i="13"/>
  <c r="DT86" i="13"/>
  <c r="DT8" i="13"/>
  <c r="DT89" i="13"/>
  <c r="DT17" i="13"/>
  <c r="DT78" i="13"/>
  <c r="DT77" i="13"/>
  <c r="DT76" i="13"/>
  <c r="DT79" i="13"/>
  <c r="DT18" i="13"/>
  <c r="DT65" i="13"/>
  <c r="DT10" i="13"/>
  <c r="DT82" i="13"/>
  <c r="DT90" i="13"/>
  <c r="DT12" i="13"/>
  <c r="DT87" i="13"/>
  <c r="DW27" i="13"/>
  <c r="DT24" i="13"/>
  <c r="DT16" i="13"/>
  <c r="DT26" i="13"/>
  <c r="DT22" i="13"/>
  <c r="EJ7" i="13"/>
  <c r="ED7" i="13"/>
  <c r="EJ6" i="13"/>
  <c r="ED6" i="13"/>
  <c r="DC27" i="15"/>
  <c r="DH28" i="15" s="1"/>
  <c r="DT20" i="13"/>
  <c r="DB95" i="15"/>
  <c r="DB96" i="15" s="1"/>
  <c r="DA27" i="15"/>
  <c r="CZ20" i="15"/>
  <c r="CZ14" i="15"/>
  <c r="CZ13" i="15"/>
  <c r="CZ27" i="15"/>
  <c r="CZ9" i="15"/>
  <c r="CZ21" i="15"/>
  <c r="DA65" i="15"/>
  <c r="DB65" i="15"/>
  <c r="DC65" i="15"/>
  <c r="DW95" i="13"/>
  <c r="DU95" i="13"/>
  <c r="DB66" i="15" l="1"/>
  <c r="CZ65" i="15"/>
  <c r="DH66" i="15"/>
  <c r="CZ95" i="15"/>
  <c r="DT95" i="13"/>
  <c r="N28" i="7"/>
  <c r="M28" i="7"/>
  <c r="L28" i="7"/>
  <c r="K28" i="7"/>
  <c r="AF119" i="7"/>
  <c r="K118" i="7"/>
  <c r="K6" i="7"/>
  <c r="K119" i="7"/>
  <c r="M6" i="17" l="1"/>
  <c r="J6" i="17"/>
  <c r="I6" i="17"/>
  <c r="H6" i="17"/>
  <c r="H31" i="17" s="1"/>
  <c r="G6" i="17"/>
  <c r="G31" i="17" s="1"/>
  <c r="F6" i="17"/>
  <c r="F31" i="17" s="1"/>
  <c r="E6" i="17"/>
  <c r="D6" i="17"/>
  <c r="D31" i="17" s="1"/>
  <c r="C6" i="17"/>
  <c r="C31" i="17" s="1"/>
  <c r="F26" i="17" l="1"/>
  <c r="C26" i="17"/>
  <c r="G26" i="17"/>
  <c r="D26" i="17"/>
  <c r="H26" i="17"/>
  <c r="M31" i="17"/>
  <c r="M26" i="17"/>
  <c r="E26" i="17"/>
  <c r="I26" i="17"/>
  <c r="E31" i="17"/>
  <c r="I31" i="17"/>
  <c r="M14" i="17" l="1"/>
  <c r="L14" i="17"/>
  <c r="K14" i="17"/>
  <c r="J14" i="17"/>
  <c r="I14" i="17"/>
  <c r="H14" i="17"/>
  <c r="G14" i="17"/>
  <c r="F14" i="17"/>
  <c r="E14" i="17"/>
  <c r="D14" i="17"/>
  <c r="C14" i="17"/>
  <c r="M11" i="17"/>
  <c r="M21" i="17" s="1"/>
  <c r="J11" i="17"/>
  <c r="J21" i="17" s="1"/>
  <c r="I11" i="17"/>
  <c r="I21" i="17" s="1"/>
  <c r="H11" i="17"/>
  <c r="H21" i="17" s="1"/>
  <c r="G11" i="17"/>
  <c r="G21" i="17" s="1"/>
  <c r="F11" i="17"/>
  <c r="F21" i="17" s="1"/>
  <c r="E11" i="17"/>
  <c r="E21" i="17" s="1"/>
  <c r="D11" i="17"/>
  <c r="D21" i="17" s="1"/>
  <c r="C11" i="17"/>
  <c r="C21" i="17" s="1"/>
  <c r="N9" i="17"/>
  <c r="M9" i="17"/>
  <c r="L9" i="17"/>
  <c r="K9" i="17"/>
  <c r="J9" i="17"/>
  <c r="I9" i="17"/>
  <c r="H9" i="17"/>
  <c r="G9" i="17"/>
  <c r="F9" i="17"/>
  <c r="E9" i="17"/>
  <c r="D9" i="17"/>
  <c r="C9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E19" i="17" l="1"/>
  <c r="I19" i="17"/>
  <c r="M19" i="17"/>
  <c r="F29" i="17"/>
  <c r="F24" i="17"/>
  <c r="J29" i="17"/>
  <c r="J24" i="17"/>
  <c r="N29" i="17"/>
  <c r="N24" i="17"/>
  <c r="C29" i="17"/>
  <c r="C24" i="17"/>
  <c r="G24" i="17"/>
  <c r="G29" i="17"/>
  <c r="K24" i="17"/>
  <c r="K29" i="17"/>
  <c r="O24" i="17"/>
  <c r="O29" i="17"/>
  <c r="F19" i="17"/>
  <c r="J19" i="17"/>
  <c r="N19" i="17"/>
  <c r="D29" i="17"/>
  <c r="D24" i="17"/>
  <c r="H29" i="17"/>
  <c r="H24" i="17"/>
  <c r="L29" i="17"/>
  <c r="L24" i="17"/>
  <c r="C19" i="17"/>
  <c r="G19" i="17"/>
  <c r="K19" i="17"/>
  <c r="E29" i="17"/>
  <c r="E24" i="17"/>
  <c r="I29" i="17"/>
  <c r="I24" i="17"/>
  <c r="M29" i="17"/>
  <c r="M24" i="17"/>
  <c r="D19" i="17"/>
  <c r="H19" i="17"/>
  <c r="L19" i="17"/>
  <c r="O9" i="17"/>
  <c r="O19" i="17" s="1"/>
  <c r="P17" i="1" l="1"/>
  <c r="AD52" i="1" l="1"/>
  <c r="AD46" i="1"/>
  <c r="AD45" i="1"/>
  <c r="AD44" i="1"/>
  <c r="AD43" i="1"/>
  <c r="AD42" i="1"/>
  <c r="AD41" i="1"/>
  <c r="AD40" i="1"/>
  <c r="AD38" i="1"/>
  <c r="AD37" i="1"/>
  <c r="AD27" i="1"/>
  <c r="AD21" i="1"/>
  <c r="AD20" i="1"/>
  <c r="AD19" i="1"/>
  <c r="AD18" i="1"/>
  <c r="AD17" i="1"/>
  <c r="AD16" i="1"/>
  <c r="AD15" i="1"/>
  <c r="AD13" i="1"/>
  <c r="AD12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F36" i="1"/>
  <c r="AE36" i="1"/>
  <c r="AD36" i="1"/>
  <c r="AC36" i="1"/>
  <c r="AB36" i="1"/>
  <c r="AA36" i="1"/>
  <c r="Z36" i="1"/>
  <c r="Z33" i="1"/>
  <c r="AD28" i="1" l="1"/>
  <c r="AD53" i="1"/>
  <c r="AA53" i="1"/>
  <c r="AA28" i="1"/>
  <c r="V52" i="1"/>
  <c r="V46" i="1"/>
  <c r="V45" i="1"/>
  <c r="V44" i="1"/>
  <c r="V42" i="1"/>
  <c r="V41" i="1"/>
  <c r="V40" i="1"/>
  <c r="V38" i="1"/>
  <c r="V37" i="1"/>
  <c r="V27" i="1" l="1"/>
  <c r="V21" i="1"/>
  <c r="V20" i="1"/>
  <c r="V19" i="1"/>
  <c r="V18" i="1"/>
  <c r="V17" i="1"/>
  <c r="V16" i="1"/>
  <c r="V15" i="1"/>
  <c r="V13" i="1"/>
  <c r="V12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27" i="1"/>
  <c r="P26" i="1"/>
  <c r="P25" i="1"/>
  <c r="P24" i="1"/>
  <c r="P23" i="1"/>
  <c r="P22" i="1"/>
  <c r="P21" i="1"/>
  <c r="P20" i="1"/>
  <c r="P19" i="1"/>
  <c r="P18" i="1"/>
  <c r="P16" i="1"/>
  <c r="P15" i="1"/>
  <c r="P14" i="1"/>
  <c r="P13" i="1"/>
  <c r="P12" i="1"/>
  <c r="T50" i="1"/>
  <c r="T49" i="1"/>
  <c r="U49" i="1" s="1"/>
  <c r="T48" i="1"/>
  <c r="T47" i="1"/>
  <c r="T44" i="1"/>
  <c r="T43" i="1"/>
  <c r="V53" i="1"/>
  <c r="X36" i="1"/>
  <c r="W36" i="1"/>
  <c r="V36" i="1"/>
  <c r="U36" i="1"/>
  <c r="T36" i="1"/>
  <c r="S36" i="1"/>
  <c r="R36" i="1"/>
  <c r="Q36" i="1"/>
  <c r="P36" i="1"/>
  <c r="O36" i="1"/>
  <c r="O33" i="1"/>
  <c r="S28" i="1"/>
  <c r="Q28" i="1"/>
  <c r="T27" i="1"/>
  <c r="T26" i="1"/>
  <c r="T25" i="1"/>
  <c r="T24" i="1"/>
  <c r="T23" i="1"/>
  <c r="T22" i="1"/>
  <c r="T21" i="1"/>
  <c r="T19" i="1"/>
  <c r="T18" i="1"/>
  <c r="T17" i="1"/>
  <c r="T16" i="1"/>
  <c r="T15" i="1"/>
  <c r="T14" i="1"/>
  <c r="W18" i="1" l="1"/>
  <c r="U47" i="1"/>
  <c r="U48" i="1"/>
  <c r="U43" i="1"/>
  <c r="U44" i="1"/>
  <c r="U50" i="1"/>
  <c r="X49" i="1"/>
  <c r="X47" i="1"/>
  <c r="X24" i="1"/>
  <c r="X26" i="1"/>
  <c r="W24" i="1"/>
  <c r="U25" i="1"/>
  <c r="P53" i="1"/>
  <c r="W47" i="1"/>
  <c r="W49" i="1"/>
  <c r="W26" i="1"/>
  <c r="X22" i="1"/>
  <c r="X18" i="1"/>
  <c r="X17" i="1"/>
  <c r="U23" i="1"/>
  <c r="W16" i="1"/>
  <c r="U27" i="1"/>
  <c r="U24" i="1"/>
  <c r="U22" i="1"/>
  <c r="X27" i="1"/>
  <c r="W27" i="1"/>
  <c r="U18" i="1"/>
  <c r="W22" i="1"/>
  <c r="X25" i="1"/>
  <c r="U26" i="1"/>
  <c r="W43" i="1"/>
  <c r="W48" i="1"/>
  <c r="P28" i="1"/>
  <c r="U19" i="1"/>
  <c r="X19" i="1"/>
  <c r="W21" i="1"/>
  <c r="U21" i="1"/>
  <c r="X14" i="1"/>
  <c r="U14" i="1"/>
  <c r="X44" i="1"/>
  <c r="W44" i="1"/>
  <c r="V28" i="1"/>
  <c r="W15" i="1"/>
  <c r="U16" i="1"/>
  <c r="X16" i="1"/>
  <c r="X21" i="1"/>
  <c r="W25" i="1"/>
  <c r="X43" i="1"/>
  <c r="X48" i="1"/>
  <c r="W50" i="1"/>
  <c r="T13" i="1"/>
  <c r="R28" i="1"/>
  <c r="X23" i="1"/>
  <c r="W14" i="1"/>
  <c r="U15" i="1"/>
  <c r="X15" i="1"/>
  <c r="W17" i="1"/>
  <c r="U17" i="1"/>
  <c r="W19" i="1"/>
  <c r="T20" i="1"/>
  <c r="W23" i="1"/>
  <c r="X50" i="1"/>
  <c r="T12" i="1"/>
  <c r="J28" i="7"/>
  <c r="I28" i="7"/>
  <c r="H28" i="7"/>
  <c r="G28" i="7"/>
  <c r="F28" i="7"/>
  <c r="E28" i="7"/>
  <c r="D28" i="7"/>
  <c r="C28" i="7"/>
  <c r="W12" i="1" l="1"/>
  <c r="U20" i="1"/>
  <c r="X20" i="1"/>
  <c r="W20" i="1"/>
  <c r="U12" i="1"/>
  <c r="X12" i="1"/>
  <c r="T28" i="1"/>
  <c r="U13" i="1"/>
  <c r="X13" i="1"/>
  <c r="W13" i="1"/>
  <c r="DR94" i="13"/>
  <c r="DR93" i="13"/>
  <c r="DR92" i="13"/>
  <c r="DR91" i="13"/>
  <c r="DR90" i="13"/>
  <c r="DR89" i="13"/>
  <c r="DR88" i="13"/>
  <c r="DR87" i="13"/>
  <c r="DR86" i="13"/>
  <c r="DR85" i="13"/>
  <c r="DR84" i="13"/>
  <c r="DR83" i="13"/>
  <c r="DR82" i="13"/>
  <c r="DR81" i="13"/>
  <c r="DR80" i="13"/>
  <c r="DM74" i="13"/>
  <c r="DR64" i="13"/>
  <c r="DM34" i="13"/>
  <c r="DR21" i="13"/>
  <c r="DR20" i="13"/>
  <c r="DR19" i="13"/>
  <c r="DR18" i="13"/>
  <c r="DR17" i="13"/>
  <c r="DR7" i="13"/>
  <c r="DR6" i="13"/>
  <c r="CX94" i="15"/>
  <c r="CX93" i="15"/>
  <c r="CX92" i="15"/>
  <c r="CX91" i="15"/>
  <c r="CX90" i="15"/>
  <c r="CX89" i="15"/>
  <c r="CX88" i="15"/>
  <c r="CX87" i="15"/>
  <c r="CX86" i="15"/>
  <c r="CX85" i="15"/>
  <c r="CX84" i="15"/>
  <c r="CX83" i="15"/>
  <c r="CX82" i="15"/>
  <c r="CT74" i="15"/>
  <c r="CX56" i="15"/>
  <c r="CX52" i="15"/>
  <c r="CX48" i="15"/>
  <c r="CX43" i="15"/>
  <c r="CX40" i="15"/>
  <c r="CX36" i="15"/>
  <c r="CX35" i="15"/>
  <c r="CX75" i="15" s="1"/>
  <c r="CT34" i="15"/>
  <c r="CX25" i="15"/>
  <c r="CX22" i="15"/>
  <c r="CX21" i="15"/>
  <c r="CX20" i="15"/>
  <c r="CX19" i="15"/>
  <c r="CX18" i="15"/>
  <c r="CX17" i="15"/>
  <c r="CX16" i="15"/>
  <c r="CX12" i="15"/>
  <c r="CX10" i="15"/>
  <c r="CX9" i="15"/>
  <c r="CX8" i="15"/>
  <c r="CX7" i="15"/>
  <c r="BM95" i="12"/>
  <c r="BK95" i="12"/>
  <c r="BK74" i="12"/>
  <c r="BM67" i="12"/>
  <c r="BM65" i="12"/>
  <c r="BK65" i="12"/>
  <c r="BK34" i="12"/>
  <c r="BK27" i="12"/>
  <c r="BL23" i="12"/>
  <c r="BL13" i="12"/>
  <c r="BL9" i="12"/>
  <c r="CX37" i="15" l="1"/>
  <c r="CX51" i="15"/>
  <c r="CX26" i="15"/>
  <c r="CX38" i="15"/>
  <c r="CX78" i="15"/>
  <c r="CX45" i="15"/>
  <c r="CX53" i="15"/>
  <c r="DM27" i="13"/>
  <c r="DN17" i="13" s="1"/>
  <c r="CX44" i="15"/>
  <c r="CX64" i="15"/>
  <c r="CT27" i="15"/>
  <c r="CX46" i="15"/>
  <c r="CX54" i="15"/>
  <c r="CX59" i="15"/>
  <c r="CX60" i="15"/>
  <c r="CX79" i="15"/>
  <c r="W28" i="1"/>
  <c r="CU17" i="15"/>
  <c r="CU21" i="15"/>
  <c r="CU26" i="15"/>
  <c r="DM95" i="13"/>
  <c r="DQ95" i="13" s="1"/>
  <c r="CX6" i="15"/>
  <c r="CX11" i="15"/>
  <c r="CX13" i="15"/>
  <c r="CU20" i="15"/>
  <c r="CX23" i="15"/>
  <c r="CX39" i="15"/>
  <c r="CX41" i="15"/>
  <c r="CX50" i="15"/>
  <c r="CX55" i="15"/>
  <c r="CX57" i="15"/>
  <c r="CX77" i="15"/>
  <c r="CU12" i="15"/>
  <c r="CU13" i="15"/>
  <c r="CX14" i="15"/>
  <c r="CU18" i="15"/>
  <c r="CU22" i="15"/>
  <c r="CU23" i="15"/>
  <c r="CX24" i="15"/>
  <c r="CX42" i="15"/>
  <c r="CX47" i="15"/>
  <c r="CX49" i="15"/>
  <c r="CX58" i="15"/>
  <c r="CX76" i="15"/>
  <c r="DM65" i="13"/>
  <c r="DO65" i="13" s="1"/>
  <c r="U28" i="1"/>
  <c r="X28" i="1"/>
  <c r="DQ27" i="13"/>
  <c r="DN20" i="13"/>
  <c r="CV27" i="15"/>
  <c r="CU24" i="15"/>
  <c r="CU14" i="15"/>
  <c r="CU10" i="15"/>
  <c r="CU6" i="15"/>
  <c r="CW27" i="15"/>
  <c r="CU16" i="15"/>
  <c r="CU7" i="15"/>
  <c r="CU27" i="15"/>
  <c r="CU25" i="15"/>
  <c r="CU11" i="15"/>
  <c r="CU9" i="15"/>
  <c r="CU19" i="15"/>
  <c r="CU8" i="15"/>
  <c r="CT65" i="15"/>
  <c r="CT95" i="15"/>
  <c r="BL6" i="12"/>
  <c r="BL10" i="12"/>
  <c r="BL14" i="12"/>
  <c r="BL24" i="12"/>
  <c r="BL27" i="12"/>
  <c r="BL7" i="12"/>
  <c r="BL11" i="12"/>
  <c r="BL16" i="12"/>
  <c r="BL25" i="12"/>
  <c r="BM27" i="12"/>
  <c r="BL8" i="12"/>
  <c r="BL12" i="12"/>
  <c r="BL22" i="12"/>
  <c r="BL26" i="12"/>
  <c r="BM29" i="12"/>
  <c r="CX95" i="15" l="1"/>
  <c r="DC96" i="15" s="1"/>
  <c r="CU76" i="15"/>
  <c r="CU79" i="15"/>
  <c r="CU78" i="15"/>
  <c r="CU77" i="15"/>
  <c r="CU60" i="15"/>
  <c r="CU56" i="15"/>
  <c r="CU52" i="15"/>
  <c r="CU48" i="15"/>
  <c r="CU44" i="15"/>
  <c r="CU40" i="15"/>
  <c r="CU36" i="15"/>
  <c r="CU59" i="15"/>
  <c r="CU55" i="15"/>
  <c r="CU51" i="15"/>
  <c r="CU47" i="15"/>
  <c r="CU43" i="15"/>
  <c r="CU39" i="15"/>
  <c r="CU58" i="15"/>
  <c r="CU54" i="15"/>
  <c r="CU50" i="15"/>
  <c r="CU46" i="15"/>
  <c r="CU42" i="15"/>
  <c r="CU38" i="15"/>
  <c r="CU64" i="15"/>
  <c r="CU57" i="15"/>
  <c r="CU53" i="15"/>
  <c r="CU49" i="15"/>
  <c r="CU45" i="15"/>
  <c r="CU41" i="15"/>
  <c r="CU37" i="15"/>
  <c r="CW28" i="15"/>
  <c r="CU94" i="15"/>
  <c r="CU90" i="15"/>
  <c r="CU86" i="15"/>
  <c r="CU82" i="15"/>
  <c r="CU93" i="15"/>
  <c r="CU89" i="15"/>
  <c r="CU85" i="15"/>
  <c r="CU92" i="15"/>
  <c r="CU88" i="15"/>
  <c r="CU84" i="15"/>
  <c r="CU91" i="15"/>
  <c r="CU87" i="15"/>
  <c r="CU83" i="15"/>
  <c r="DQ65" i="13"/>
  <c r="DN14" i="13"/>
  <c r="DN27" i="13"/>
  <c r="DN12" i="13"/>
  <c r="DN16" i="13"/>
  <c r="DN64" i="13"/>
  <c r="DN57" i="13"/>
  <c r="DN53" i="13"/>
  <c r="DN49" i="13"/>
  <c r="DN45" i="13"/>
  <c r="DN41" i="13"/>
  <c r="DN37" i="13"/>
  <c r="DN60" i="13"/>
  <c r="DN56" i="13"/>
  <c r="DN52" i="13"/>
  <c r="DN48" i="13"/>
  <c r="DN44" i="13"/>
  <c r="DN40" i="13"/>
  <c r="DN36" i="13"/>
  <c r="DN59" i="13"/>
  <c r="DN55" i="13"/>
  <c r="DN51" i="13"/>
  <c r="DN47" i="13"/>
  <c r="DN43" i="13"/>
  <c r="DN39" i="13"/>
  <c r="DN58" i="13"/>
  <c r="DN54" i="13"/>
  <c r="DN50" i="13"/>
  <c r="DN46" i="13"/>
  <c r="DN42" i="13"/>
  <c r="DN38" i="13"/>
  <c r="DN79" i="13"/>
  <c r="DN78" i="13"/>
  <c r="DN77" i="13"/>
  <c r="DN80" i="13"/>
  <c r="DN76" i="13"/>
  <c r="DN92" i="13"/>
  <c r="DN88" i="13"/>
  <c r="DN84" i="13"/>
  <c r="DN91" i="13"/>
  <c r="DN87" i="13"/>
  <c r="DN83" i="13"/>
  <c r="DN94" i="13"/>
  <c r="DN90" i="13"/>
  <c r="DN86" i="13"/>
  <c r="DN82" i="13"/>
  <c r="DN93" i="13"/>
  <c r="DN89" i="13"/>
  <c r="DN85" i="13"/>
  <c r="DN6" i="13"/>
  <c r="DN21" i="13"/>
  <c r="DN11" i="13"/>
  <c r="DN10" i="13"/>
  <c r="CX27" i="15"/>
  <c r="DN9" i="13"/>
  <c r="DN13" i="13"/>
  <c r="DN7" i="13"/>
  <c r="DN18" i="13"/>
  <c r="DN22" i="13"/>
  <c r="DO95" i="13"/>
  <c r="DN25" i="13"/>
  <c r="DN23" i="13"/>
  <c r="DO27" i="13"/>
  <c r="DN8" i="13"/>
  <c r="DN19" i="13"/>
  <c r="DN26" i="13"/>
  <c r="DN24" i="13"/>
  <c r="CX65" i="15"/>
  <c r="DC66" i="15" s="1"/>
  <c r="CW95" i="15"/>
  <c r="CV95" i="15"/>
  <c r="CW65" i="15"/>
  <c r="CW66" i="15" s="1"/>
  <c r="CV65" i="15"/>
  <c r="BL65" i="12"/>
  <c r="CW96" i="15" l="1"/>
  <c r="CU65" i="15"/>
  <c r="CU95" i="15"/>
  <c r="DN95" i="13"/>
  <c r="DN65" i="13"/>
  <c r="DC28" i="15"/>
  <c r="J125" i="7"/>
  <c r="J118" i="7"/>
  <c r="Q53" i="1" l="1"/>
  <c r="CC95" i="13"/>
  <c r="CE95" i="13" s="1"/>
  <c r="BW95" i="13"/>
  <c r="CA95" i="13" s="1"/>
  <c r="BQ95" i="13"/>
  <c r="BP95" i="13"/>
  <c r="BR95" i="13" s="1"/>
  <c r="BM95" i="13"/>
  <c r="BK95" i="13"/>
  <c r="BJ95" i="13"/>
  <c r="BN95" i="13" s="1"/>
  <c r="BG95" i="13"/>
  <c r="BE95" i="13"/>
  <c r="BD95" i="13"/>
  <c r="BF95" i="13" s="1"/>
  <c r="AY95" i="13"/>
  <c r="AX95" i="13"/>
  <c r="BB95" i="13" s="1"/>
  <c r="AS95" i="13"/>
  <c r="AR95" i="13"/>
  <c r="AT95" i="13" s="1"/>
  <c r="AM95" i="13"/>
  <c r="AL95" i="13"/>
  <c r="AP95" i="13" s="1"/>
  <c r="AG95" i="13"/>
  <c r="AF95" i="13"/>
  <c r="AH95" i="13" s="1"/>
  <c r="AA95" i="13"/>
  <c r="Z95" i="13"/>
  <c r="AD95" i="13" s="1"/>
  <c r="U95" i="13"/>
  <c r="T95" i="13"/>
  <c r="V95" i="13" s="1"/>
  <c r="O95" i="13"/>
  <c r="N95" i="13"/>
  <c r="R95" i="13" s="1"/>
  <c r="I95" i="13"/>
  <c r="H95" i="13"/>
  <c r="J95" i="13" s="1"/>
  <c r="B95" i="13"/>
  <c r="DL94" i="13"/>
  <c r="DF94" i="13"/>
  <c r="CZ94" i="13"/>
  <c r="CT94" i="13"/>
  <c r="CN94" i="13"/>
  <c r="CH94" i="13"/>
  <c r="CB94" i="13"/>
  <c r="BU94" i="13"/>
  <c r="BO94" i="13"/>
  <c r="BI94" i="13"/>
  <c r="BC94" i="13"/>
  <c r="AW94" i="13"/>
  <c r="AQ94" i="13"/>
  <c r="AK94" i="13"/>
  <c r="AE94" i="13"/>
  <c r="Y94" i="13"/>
  <c r="S94" i="13"/>
  <c r="M94" i="13"/>
  <c r="G94" i="13"/>
  <c r="DL93" i="13"/>
  <c r="DF93" i="13"/>
  <c r="CZ93" i="13"/>
  <c r="CT93" i="13"/>
  <c r="CN93" i="13"/>
  <c r="CH93" i="13"/>
  <c r="CB93" i="13"/>
  <c r="BU93" i="13"/>
  <c r="BO93" i="13"/>
  <c r="BI93" i="13"/>
  <c r="BC93" i="13"/>
  <c r="AW93" i="13"/>
  <c r="AQ93" i="13"/>
  <c r="AK93" i="13"/>
  <c r="AE93" i="13"/>
  <c r="Y93" i="13"/>
  <c r="S93" i="13"/>
  <c r="M93" i="13"/>
  <c r="G93" i="13"/>
  <c r="DL92" i="13"/>
  <c r="DF92" i="13"/>
  <c r="CZ92" i="13"/>
  <c r="CT92" i="13"/>
  <c r="CN92" i="13"/>
  <c r="CH92" i="13"/>
  <c r="CB92" i="13"/>
  <c r="BU92" i="13"/>
  <c r="BO92" i="13"/>
  <c r="BI92" i="13"/>
  <c r="BC92" i="13"/>
  <c r="AW92" i="13"/>
  <c r="AQ92" i="13"/>
  <c r="AK92" i="13"/>
  <c r="AE92" i="13"/>
  <c r="Y92" i="13"/>
  <c r="S92" i="13"/>
  <c r="M92" i="13"/>
  <c r="G92" i="13"/>
  <c r="DL91" i="13"/>
  <c r="DF91" i="13"/>
  <c r="CZ91" i="13"/>
  <c r="CT91" i="13"/>
  <c r="CN91" i="13"/>
  <c r="CH91" i="13"/>
  <c r="CB91" i="13"/>
  <c r="BU91" i="13"/>
  <c r="BO91" i="13"/>
  <c r="BI91" i="13"/>
  <c r="BC91" i="13"/>
  <c r="AW91" i="13"/>
  <c r="AQ91" i="13"/>
  <c r="AK91" i="13"/>
  <c r="AE91" i="13"/>
  <c r="Y91" i="13"/>
  <c r="S91" i="13"/>
  <c r="M91" i="13"/>
  <c r="G91" i="13"/>
  <c r="DL90" i="13"/>
  <c r="DF90" i="13"/>
  <c r="CZ90" i="13"/>
  <c r="CT90" i="13"/>
  <c r="CN90" i="13"/>
  <c r="CH90" i="13"/>
  <c r="CB90" i="13"/>
  <c r="BU90" i="13"/>
  <c r="BO90" i="13"/>
  <c r="BI90" i="13"/>
  <c r="BC90" i="13"/>
  <c r="AW90" i="13"/>
  <c r="AQ90" i="13"/>
  <c r="AK90" i="13"/>
  <c r="AE90" i="13"/>
  <c r="Y90" i="13"/>
  <c r="S90" i="13"/>
  <c r="M90" i="13"/>
  <c r="G90" i="13"/>
  <c r="DL89" i="13"/>
  <c r="DF89" i="13"/>
  <c r="CZ89" i="13"/>
  <c r="CT89" i="13"/>
  <c r="CN89" i="13"/>
  <c r="CH89" i="13"/>
  <c r="CB89" i="13"/>
  <c r="BU89" i="13"/>
  <c r="BO89" i="13"/>
  <c r="BI89" i="13"/>
  <c r="BC89" i="13"/>
  <c r="AW89" i="13"/>
  <c r="AQ89" i="13"/>
  <c r="AK89" i="13"/>
  <c r="AE89" i="13"/>
  <c r="Y89" i="13"/>
  <c r="S89" i="13"/>
  <c r="M89" i="13"/>
  <c r="G89" i="13"/>
  <c r="DL88" i="13"/>
  <c r="DF88" i="13"/>
  <c r="CZ88" i="13"/>
  <c r="CT88" i="13"/>
  <c r="CN88" i="13"/>
  <c r="CH88" i="13"/>
  <c r="CB88" i="13"/>
  <c r="BU88" i="13"/>
  <c r="BO88" i="13"/>
  <c r="BI88" i="13"/>
  <c r="BC88" i="13"/>
  <c r="AW88" i="13"/>
  <c r="AQ88" i="13"/>
  <c r="AK88" i="13"/>
  <c r="AE88" i="13"/>
  <c r="Y88" i="13"/>
  <c r="S88" i="13"/>
  <c r="M88" i="13"/>
  <c r="G88" i="13"/>
  <c r="DL87" i="13"/>
  <c r="DF87" i="13"/>
  <c r="CZ87" i="13"/>
  <c r="CT87" i="13"/>
  <c r="CN87" i="13"/>
  <c r="CH87" i="13"/>
  <c r="CB87" i="13"/>
  <c r="BU87" i="13"/>
  <c r="BO87" i="13"/>
  <c r="BI87" i="13"/>
  <c r="BC87" i="13"/>
  <c r="AW87" i="13"/>
  <c r="AQ87" i="13"/>
  <c r="AK87" i="13"/>
  <c r="AE87" i="13"/>
  <c r="Y87" i="13"/>
  <c r="S87" i="13"/>
  <c r="M87" i="13"/>
  <c r="G87" i="13"/>
  <c r="DL86" i="13"/>
  <c r="DF86" i="13"/>
  <c r="CZ86" i="13"/>
  <c r="CT86" i="13"/>
  <c r="CN86" i="13"/>
  <c r="CH86" i="13"/>
  <c r="CB86" i="13"/>
  <c r="BU86" i="13"/>
  <c r="BO86" i="13"/>
  <c r="BI86" i="13"/>
  <c r="BC86" i="13"/>
  <c r="AW86" i="13"/>
  <c r="AQ86" i="13"/>
  <c r="AK86" i="13"/>
  <c r="AE86" i="13"/>
  <c r="Y86" i="13"/>
  <c r="S86" i="13"/>
  <c r="M86" i="13"/>
  <c r="G86" i="13"/>
  <c r="DL85" i="13"/>
  <c r="DF85" i="13"/>
  <c r="CZ85" i="13"/>
  <c r="CT85" i="13"/>
  <c r="CN85" i="13"/>
  <c r="CH85" i="13"/>
  <c r="CB85" i="13"/>
  <c r="BU85" i="13"/>
  <c r="BO85" i="13"/>
  <c r="BI85" i="13"/>
  <c r="BC85" i="13"/>
  <c r="AW85" i="13"/>
  <c r="AQ85" i="13"/>
  <c r="AK85" i="13"/>
  <c r="AE85" i="13"/>
  <c r="Y85" i="13"/>
  <c r="S85" i="13"/>
  <c r="M85" i="13"/>
  <c r="G85" i="13"/>
  <c r="DL84" i="13"/>
  <c r="DF84" i="13"/>
  <c r="CZ84" i="13"/>
  <c r="CT84" i="13"/>
  <c r="CN84" i="13"/>
  <c r="CH84" i="13"/>
  <c r="CB84" i="13"/>
  <c r="BU84" i="13"/>
  <c r="BO84" i="13"/>
  <c r="BI84" i="13"/>
  <c r="BC84" i="13"/>
  <c r="AW84" i="13"/>
  <c r="AQ84" i="13"/>
  <c r="AK84" i="13"/>
  <c r="AE84" i="13"/>
  <c r="Y84" i="13"/>
  <c r="S84" i="13"/>
  <c r="M84" i="13"/>
  <c r="G84" i="13"/>
  <c r="DL83" i="13"/>
  <c r="DF83" i="13"/>
  <c r="CZ83" i="13"/>
  <c r="CT83" i="13"/>
  <c r="CN83" i="13"/>
  <c r="CH83" i="13"/>
  <c r="CB83" i="13"/>
  <c r="BU83" i="13"/>
  <c r="BO83" i="13"/>
  <c r="BI83" i="13"/>
  <c r="BC83" i="13"/>
  <c r="AW83" i="13"/>
  <c r="AQ83" i="13"/>
  <c r="AK83" i="13"/>
  <c r="AE83" i="13"/>
  <c r="Y83" i="13"/>
  <c r="S83" i="13"/>
  <c r="M83" i="13"/>
  <c r="G83" i="13"/>
  <c r="DL82" i="13"/>
  <c r="DF82" i="13"/>
  <c r="CZ82" i="13"/>
  <c r="CT82" i="13"/>
  <c r="CN82" i="13"/>
  <c r="CH82" i="13"/>
  <c r="CB82" i="13"/>
  <c r="BU82" i="13"/>
  <c r="BO82" i="13"/>
  <c r="BI82" i="13"/>
  <c r="BC82" i="13"/>
  <c r="AW82" i="13"/>
  <c r="AQ82" i="13"/>
  <c r="AK82" i="13"/>
  <c r="AE82" i="13"/>
  <c r="Y82" i="13"/>
  <c r="S82" i="13"/>
  <c r="M82" i="13"/>
  <c r="G82" i="13"/>
  <c r="DL81" i="13"/>
  <c r="DF81" i="13"/>
  <c r="CZ81" i="13"/>
  <c r="CT81" i="13"/>
  <c r="CN81" i="13"/>
  <c r="CH81" i="13"/>
  <c r="CB81" i="13"/>
  <c r="BU81" i="13"/>
  <c r="BO81" i="13"/>
  <c r="BI81" i="13"/>
  <c r="BC81" i="13"/>
  <c r="AW81" i="13"/>
  <c r="AQ81" i="13"/>
  <c r="AK81" i="13"/>
  <c r="AE81" i="13"/>
  <c r="Y81" i="13"/>
  <c r="S81" i="13"/>
  <c r="M81" i="13"/>
  <c r="G81" i="13"/>
  <c r="DL80" i="13"/>
  <c r="DF80" i="13"/>
  <c r="CZ80" i="13"/>
  <c r="CT80" i="13"/>
  <c r="CN80" i="13"/>
  <c r="CH80" i="13"/>
  <c r="CB80" i="13"/>
  <c r="BU80" i="13"/>
  <c r="BO80" i="13"/>
  <c r="BI80" i="13"/>
  <c r="BC80" i="13"/>
  <c r="AW80" i="13"/>
  <c r="AQ80" i="13"/>
  <c r="AK80" i="13"/>
  <c r="AE80" i="13"/>
  <c r="Y80" i="13"/>
  <c r="S80" i="13"/>
  <c r="M80" i="13"/>
  <c r="G80" i="13"/>
  <c r="DD79" i="13"/>
  <c r="DF79" i="13" s="1"/>
  <c r="CZ79" i="13"/>
  <c r="CR79" i="13"/>
  <c r="CN79" i="13"/>
  <c r="CH79" i="13"/>
  <c r="CB79" i="13"/>
  <c r="BU79" i="13"/>
  <c r="BO79" i="13"/>
  <c r="BI79" i="13"/>
  <c r="BC79" i="13"/>
  <c r="AW79" i="13"/>
  <c r="AQ79" i="13"/>
  <c r="AK79" i="13"/>
  <c r="AE79" i="13"/>
  <c r="Y79" i="13"/>
  <c r="S79" i="13"/>
  <c r="M79" i="13"/>
  <c r="G79" i="13"/>
  <c r="DD78" i="13"/>
  <c r="DJ78" i="13" s="1"/>
  <c r="CZ78" i="13"/>
  <c r="CR78" i="13"/>
  <c r="CT78" i="13" s="1"/>
  <c r="CN78" i="13"/>
  <c r="CH78" i="13"/>
  <c r="CB78" i="13"/>
  <c r="BX78" i="13"/>
  <c r="BU78" i="13"/>
  <c r="BO78" i="13"/>
  <c r="BI78" i="13"/>
  <c r="BC78" i="13"/>
  <c r="AW78" i="13"/>
  <c r="AQ78" i="13"/>
  <c r="AK78" i="13"/>
  <c r="AE78" i="13"/>
  <c r="Y78" i="13"/>
  <c r="S78" i="13"/>
  <c r="M78" i="13"/>
  <c r="G78" i="13"/>
  <c r="DD77" i="13"/>
  <c r="CZ77" i="13"/>
  <c r="CR77" i="13"/>
  <c r="CN77" i="13"/>
  <c r="CH77" i="13"/>
  <c r="CB77" i="13"/>
  <c r="BU77" i="13"/>
  <c r="BO77" i="13"/>
  <c r="BI77" i="13"/>
  <c r="BC77" i="13"/>
  <c r="AW77" i="13"/>
  <c r="AQ77" i="13"/>
  <c r="AK77" i="13"/>
  <c r="AE77" i="13"/>
  <c r="Y77" i="13"/>
  <c r="S77" i="13"/>
  <c r="M77" i="13"/>
  <c r="G77" i="13"/>
  <c r="DD76" i="13"/>
  <c r="CZ76" i="13"/>
  <c r="CR76" i="13"/>
  <c r="CT76" i="13" s="1"/>
  <c r="CN76" i="13"/>
  <c r="CH76" i="13"/>
  <c r="CB76" i="13"/>
  <c r="BX76" i="13"/>
  <c r="BU76" i="13"/>
  <c r="BO76" i="13"/>
  <c r="BI76" i="13"/>
  <c r="BC76" i="13"/>
  <c r="AW76" i="13"/>
  <c r="AQ76" i="13"/>
  <c r="AK76" i="13"/>
  <c r="AE76" i="13"/>
  <c r="Y76" i="13"/>
  <c r="S76" i="13"/>
  <c r="M76" i="13"/>
  <c r="G76" i="13"/>
  <c r="DG74" i="13"/>
  <c r="DA74" i="13"/>
  <c r="CU74" i="13"/>
  <c r="CO74" i="13"/>
  <c r="CI74" i="13"/>
  <c r="CC74" i="13"/>
  <c r="CC65" i="13"/>
  <c r="CD48" i="13" s="1"/>
  <c r="BW65" i="13"/>
  <c r="BX47" i="13" s="1"/>
  <c r="BP65" i="13"/>
  <c r="BQ53" i="13" s="1"/>
  <c r="BJ65" i="13"/>
  <c r="BN65" i="13" s="1"/>
  <c r="BD65" i="13"/>
  <c r="BE49" i="13" s="1"/>
  <c r="AX65" i="13"/>
  <c r="AY47" i="13" s="1"/>
  <c r="AR65" i="13"/>
  <c r="AT65" i="13" s="1"/>
  <c r="AL65" i="13"/>
  <c r="AM46" i="13" s="1"/>
  <c r="AF65" i="13"/>
  <c r="AG40" i="13" s="1"/>
  <c r="Z65" i="13"/>
  <c r="AA52" i="13" s="1"/>
  <c r="T65" i="13"/>
  <c r="U49" i="13" s="1"/>
  <c r="N65" i="13"/>
  <c r="O50" i="13" s="1"/>
  <c r="H65" i="13"/>
  <c r="I49" i="13" s="1"/>
  <c r="B65" i="13"/>
  <c r="C47" i="13" s="1"/>
  <c r="DL64" i="13"/>
  <c r="DF64" i="13"/>
  <c r="CZ64" i="13"/>
  <c r="CT64" i="13"/>
  <c r="CN64" i="13"/>
  <c r="CH64" i="13"/>
  <c r="CR60" i="13"/>
  <c r="CT60" i="13" s="1"/>
  <c r="CN60" i="13"/>
  <c r="CR59" i="13"/>
  <c r="CX59" i="13" s="1"/>
  <c r="DD59" i="13" s="1"/>
  <c r="DJ59" i="13" s="1"/>
  <c r="DP59" i="13" s="1"/>
  <c r="CN59" i="13"/>
  <c r="CR58" i="13"/>
  <c r="CX58" i="13" s="1"/>
  <c r="DD58" i="13" s="1"/>
  <c r="CN58" i="13"/>
  <c r="DD57" i="13"/>
  <c r="DF57" i="13" s="1"/>
  <c r="CZ57" i="13"/>
  <c r="CR57" i="13"/>
  <c r="CN57" i="13"/>
  <c r="CF57" i="13"/>
  <c r="CH57" i="13" s="1"/>
  <c r="DD56" i="13"/>
  <c r="DF56" i="13" s="1"/>
  <c r="CZ56" i="13"/>
  <c r="CR56" i="13"/>
  <c r="CN56" i="13"/>
  <c r="CH56" i="13"/>
  <c r="DD55" i="13"/>
  <c r="DJ55" i="13" s="1"/>
  <c r="DP55" i="13" s="1"/>
  <c r="CZ55" i="13"/>
  <c r="CL55" i="13"/>
  <c r="CF55" i="13"/>
  <c r="CH55" i="13" s="1"/>
  <c r="CR54" i="13"/>
  <c r="CX54" i="13" s="1"/>
  <c r="CN54" i="13"/>
  <c r="CF54" i="13"/>
  <c r="CH54" i="13" s="1"/>
  <c r="CB54" i="13"/>
  <c r="BU54" i="13"/>
  <c r="BO54" i="13"/>
  <c r="BI54" i="13"/>
  <c r="BC54" i="13"/>
  <c r="AW54" i="13"/>
  <c r="AQ54" i="13"/>
  <c r="AK54" i="13"/>
  <c r="AE54" i="13"/>
  <c r="Y54" i="13"/>
  <c r="S54" i="13"/>
  <c r="M54" i="13"/>
  <c r="G54" i="13"/>
  <c r="CR53" i="13"/>
  <c r="CX53" i="13" s="1"/>
  <c r="DD53" i="13" s="1"/>
  <c r="DJ53" i="13" s="1"/>
  <c r="DP53" i="13" s="1"/>
  <c r="CN53" i="13"/>
  <c r="CF53" i="13"/>
  <c r="CH53" i="13" s="1"/>
  <c r="CB53" i="13"/>
  <c r="BU53" i="13"/>
  <c r="BO53" i="13"/>
  <c r="BI53" i="13"/>
  <c r="BE53" i="13"/>
  <c r="BC53" i="13"/>
  <c r="AW53" i="13"/>
  <c r="AQ53" i="13"/>
  <c r="AK53" i="13"/>
  <c r="AE53" i="13"/>
  <c r="Y53" i="13"/>
  <c r="S53" i="13"/>
  <c r="O53" i="13"/>
  <c r="M53" i="13"/>
  <c r="G53" i="13"/>
  <c r="CR52" i="13"/>
  <c r="CT52" i="13" s="1"/>
  <c r="CN52" i="13"/>
  <c r="CF52" i="13"/>
  <c r="CH52" i="13" s="1"/>
  <c r="CB52" i="13"/>
  <c r="BU52" i="13"/>
  <c r="BO52" i="13"/>
  <c r="BI52" i="13"/>
  <c r="BC52" i="13"/>
  <c r="AW52" i="13"/>
  <c r="AS52" i="13"/>
  <c r="AQ52" i="13"/>
  <c r="AK52" i="13"/>
  <c r="AE52" i="13"/>
  <c r="Y52" i="13"/>
  <c r="S52" i="13"/>
  <c r="M52" i="13"/>
  <c r="G52" i="13"/>
  <c r="CR51" i="13"/>
  <c r="CX51" i="13" s="1"/>
  <c r="DD51" i="13" s="1"/>
  <c r="DJ51" i="13" s="1"/>
  <c r="DP51" i="13" s="1"/>
  <c r="CN51" i="13"/>
  <c r="CF51" i="13"/>
  <c r="CH51" i="13" s="1"/>
  <c r="CB51" i="13"/>
  <c r="BU51" i="13"/>
  <c r="BO51" i="13"/>
  <c r="BI51" i="13"/>
  <c r="BC51" i="13"/>
  <c r="AW51" i="13"/>
  <c r="AQ51" i="13"/>
  <c r="AK51" i="13"/>
  <c r="AG51" i="13"/>
  <c r="AE51" i="13"/>
  <c r="Y51" i="13"/>
  <c r="S51" i="13"/>
  <c r="O51" i="13"/>
  <c r="M51" i="13"/>
  <c r="G51" i="13"/>
  <c r="CR50" i="13"/>
  <c r="CT50" i="13" s="1"/>
  <c r="CN50" i="13"/>
  <c r="CF50" i="13"/>
  <c r="CH50" i="13" s="1"/>
  <c r="CB50" i="13"/>
  <c r="BU50" i="13"/>
  <c r="BQ50" i="13"/>
  <c r="BO50" i="13"/>
  <c r="BI50" i="13"/>
  <c r="BE50" i="13"/>
  <c r="BC50" i="13"/>
  <c r="AW50" i="13"/>
  <c r="AS50" i="13"/>
  <c r="AQ50" i="13"/>
  <c r="AK50" i="13"/>
  <c r="AE50" i="13"/>
  <c r="Y50" i="13"/>
  <c r="S50" i="13"/>
  <c r="M50" i="13"/>
  <c r="G50" i="13"/>
  <c r="DJ49" i="13"/>
  <c r="DP49" i="13" s="1"/>
  <c r="DF49" i="13"/>
  <c r="CZ49" i="13"/>
  <c r="CT49" i="13"/>
  <c r="CF49" i="13"/>
  <c r="CL49" i="13" s="1"/>
  <c r="CN49" i="13" s="1"/>
  <c r="CB49" i="13"/>
  <c r="BU49" i="13"/>
  <c r="BO49" i="13"/>
  <c r="BI49" i="13"/>
  <c r="BC49" i="13"/>
  <c r="AW49" i="13"/>
  <c r="AQ49" i="13"/>
  <c r="AK49" i="13"/>
  <c r="AE49" i="13"/>
  <c r="Y49" i="13"/>
  <c r="S49" i="13"/>
  <c r="O49" i="13"/>
  <c r="M49" i="13"/>
  <c r="G49" i="13"/>
  <c r="CR48" i="13"/>
  <c r="CX48" i="13" s="1"/>
  <c r="CN48" i="13"/>
  <c r="CF48" i="13"/>
  <c r="CH48" i="13" s="1"/>
  <c r="CB48" i="13"/>
  <c r="BU48" i="13"/>
  <c r="BO48" i="13"/>
  <c r="BI48" i="13"/>
  <c r="BC48" i="13"/>
  <c r="AW48" i="13"/>
  <c r="AQ48" i="13"/>
  <c r="AK48" i="13"/>
  <c r="AG48" i="13"/>
  <c r="AE48" i="13"/>
  <c r="Y48" i="13"/>
  <c r="S48" i="13"/>
  <c r="M48" i="13"/>
  <c r="G48" i="13"/>
  <c r="CR47" i="13"/>
  <c r="CX47" i="13" s="1"/>
  <c r="DD47" i="13" s="1"/>
  <c r="DF47" i="13" s="1"/>
  <c r="CN47" i="13"/>
  <c r="CF47" i="13"/>
  <c r="CH47" i="13" s="1"/>
  <c r="CB47" i="13"/>
  <c r="BU47" i="13"/>
  <c r="BO47" i="13"/>
  <c r="BI47" i="13"/>
  <c r="BE47" i="13"/>
  <c r="BC47" i="13"/>
  <c r="AW47" i="13"/>
  <c r="AQ47" i="13"/>
  <c r="AK47" i="13"/>
  <c r="AE47" i="13"/>
  <c r="Y47" i="13"/>
  <c r="S47" i="13"/>
  <c r="M47" i="13"/>
  <c r="G47" i="13"/>
  <c r="CR46" i="13"/>
  <c r="CN46" i="13"/>
  <c r="CF46" i="13"/>
  <c r="CH46" i="13" s="1"/>
  <c r="CB46" i="13"/>
  <c r="BU46" i="13"/>
  <c r="BO46" i="13"/>
  <c r="BI46" i="13"/>
  <c r="BC46" i="13"/>
  <c r="AW46" i="13"/>
  <c r="AQ46" i="13"/>
  <c r="AK46" i="13"/>
  <c r="AE46" i="13"/>
  <c r="Y46" i="13"/>
  <c r="S46" i="13"/>
  <c r="O46" i="13"/>
  <c r="M46" i="13"/>
  <c r="G46" i="13"/>
  <c r="DJ45" i="13"/>
  <c r="DP45" i="13" s="1"/>
  <c r="DF45" i="13"/>
  <c r="CZ45" i="13"/>
  <c r="CT45" i="13"/>
  <c r="CF45" i="13"/>
  <c r="CB45" i="13"/>
  <c r="BU45" i="13"/>
  <c r="BQ45" i="13"/>
  <c r="BO45" i="13"/>
  <c r="BI45" i="13"/>
  <c r="BC45" i="13"/>
  <c r="AW45" i="13"/>
  <c r="AQ45" i="13"/>
  <c r="AK45" i="13"/>
  <c r="AE45" i="13"/>
  <c r="Y45" i="13"/>
  <c r="S45" i="13"/>
  <c r="M45" i="13"/>
  <c r="G45" i="13"/>
  <c r="CR44" i="13"/>
  <c r="CX44" i="13" s="1"/>
  <c r="CZ44" i="13" s="1"/>
  <c r="CN44" i="13"/>
  <c r="CF44" i="13"/>
  <c r="CH44" i="13" s="1"/>
  <c r="CD44" i="13"/>
  <c r="CB44" i="13"/>
  <c r="BU44" i="13"/>
  <c r="BO44" i="13"/>
  <c r="BI44" i="13"/>
  <c r="BE44" i="13"/>
  <c r="BC44" i="13"/>
  <c r="AW44" i="13"/>
  <c r="AQ44" i="13"/>
  <c r="AK44" i="13"/>
  <c r="AE44" i="13"/>
  <c r="Y44" i="13"/>
  <c r="S44" i="13"/>
  <c r="M44" i="13"/>
  <c r="G44" i="13"/>
  <c r="DJ43" i="13"/>
  <c r="DP43" i="13" s="1"/>
  <c r="DF43" i="13"/>
  <c r="CZ43" i="13"/>
  <c r="CT43" i="13"/>
  <c r="CN43" i="13"/>
  <c r="CF43" i="13"/>
  <c r="CH43" i="13" s="1"/>
  <c r="CB43" i="13"/>
  <c r="BU43" i="13"/>
  <c r="BQ43" i="13"/>
  <c r="BO43" i="13"/>
  <c r="BI43" i="13"/>
  <c r="BE43" i="13"/>
  <c r="BC43" i="13"/>
  <c r="AW43" i="13"/>
  <c r="AQ43" i="13"/>
  <c r="AK43" i="13"/>
  <c r="AE43" i="13"/>
  <c r="Y43" i="13"/>
  <c r="S43" i="13"/>
  <c r="M43" i="13"/>
  <c r="G43" i="13"/>
  <c r="DJ42" i="13"/>
  <c r="DP42" i="13" s="1"/>
  <c r="DF42" i="13"/>
  <c r="CZ42" i="13"/>
  <c r="CT42" i="13"/>
  <c r="CF42" i="13"/>
  <c r="CD42" i="13"/>
  <c r="CB42" i="13"/>
  <c r="BU42" i="13"/>
  <c r="BO42" i="13"/>
  <c r="BI42" i="13"/>
  <c r="BC42" i="13"/>
  <c r="AW42" i="13"/>
  <c r="AS42" i="13"/>
  <c r="AQ42" i="13"/>
  <c r="AK42" i="13"/>
  <c r="AE42" i="13"/>
  <c r="Y42" i="13"/>
  <c r="S42" i="13"/>
  <c r="M42" i="13"/>
  <c r="G42" i="13"/>
  <c r="C42" i="13"/>
  <c r="CR41" i="13"/>
  <c r="CN41" i="13"/>
  <c r="CF41" i="13"/>
  <c r="CH41" i="13" s="1"/>
  <c r="CD41" i="13"/>
  <c r="CB41" i="13"/>
  <c r="BU41" i="13"/>
  <c r="BO41" i="13"/>
  <c r="BI41" i="13"/>
  <c r="BE41" i="13"/>
  <c r="BC41" i="13"/>
  <c r="AW41" i="13"/>
  <c r="AS41" i="13"/>
  <c r="AQ41" i="13"/>
  <c r="AK41" i="13"/>
  <c r="AE41" i="13"/>
  <c r="Y41" i="13"/>
  <c r="S41" i="13"/>
  <c r="O41" i="13"/>
  <c r="M41" i="13"/>
  <c r="I41" i="13"/>
  <c r="G41" i="13"/>
  <c r="CR40" i="13"/>
  <c r="CT40" i="13" s="1"/>
  <c r="CN40" i="13"/>
  <c r="CF40" i="13"/>
  <c r="CH40" i="13" s="1"/>
  <c r="CD40" i="13"/>
  <c r="CB40" i="13"/>
  <c r="BU40" i="13"/>
  <c r="BO40" i="13"/>
  <c r="BI40" i="13"/>
  <c r="BC40" i="13"/>
  <c r="AW40" i="13"/>
  <c r="AQ40" i="13"/>
  <c r="AK40" i="13"/>
  <c r="AE40" i="13"/>
  <c r="Y40" i="13"/>
  <c r="S40" i="13"/>
  <c r="M40" i="13"/>
  <c r="G40" i="13"/>
  <c r="CR39" i="13"/>
  <c r="CX39" i="13" s="1"/>
  <c r="CZ39" i="13" s="1"/>
  <c r="CN39" i="13"/>
  <c r="CF39" i="13"/>
  <c r="CH39" i="13" s="1"/>
  <c r="CB39" i="13"/>
  <c r="BU39" i="13"/>
  <c r="BO39" i="13"/>
  <c r="BI39" i="13"/>
  <c r="BC39" i="13"/>
  <c r="AW39" i="13"/>
  <c r="AQ39" i="13"/>
  <c r="AK39" i="13"/>
  <c r="AE39" i="13"/>
  <c r="Y39" i="13"/>
  <c r="S39" i="13"/>
  <c r="M39" i="13"/>
  <c r="G39" i="13"/>
  <c r="CR38" i="13"/>
  <c r="CN38" i="13"/>
  <c r="CF38" i="13"/>
  <c r="CH38" i="13" s="1"/>
  <c r="CB38" i="13"/>
  <c r="BU38" i="13"/>
  <c r="BO38" i="13"/>
  <c r="BI38" i="13"/>
  <c r="BC38" i="13"/>
  <c r="AW38" i="13"/>
  <c r="AS38" i="13"/>
  <c r="AQ38" i="13"/>
  <c r="AK38" i="13"/>
  <c r="AG38" i="13"/>
  <c r="AE38" i="13"/>
  <c r="Y38" i="13"/>
  <c r="S38" i="13"/>
  <c r="O38" i="13"/>
  <c r="M38" i="13"/>
  <c r="G38" i="13"/>
  <c r="CR37" i="13"/>
  <c r="CN37" i="13"/>
  <c r="CF37" i="13"/>
  <c r="CH37" i="13" s="1"/>
  <c r="CB37" i="13"/>
  <c r="BU37" i="13"/>
  <c r="BQ37" i="13"/>
  <c r="BO37" i="13"/>
  <c r="BI37" i="13"/>
  <c r="BE37" i="13"/>
  <c r="BC37" i="13"/>
  <c r="AW37" i="13"/>
  <c r="AS37" i="13"/>
  <c r="AQ37" i="13"/>
  <c r="AK37" i="13"/>
  <c r="AE37" i="13"/>
  <c r="Y37" i="13"/>
  <c r="U37" i="13"/>
  <c r="S37" i="13"/>
  <c r="M37" i="13"/>
  <c r="I37" i="13"/>
  <c r="G37" i="13"/>
  <c r="CR36" i="13"/>
  <c r="CN36" i="13"/>
  <c r="CF36" i="13"/>
  <c r="CH36" i="13" s="1"/>
  <c r="CB36" i="13"/>
  <c r="BU36" i="13"/>
  <c r="BO36" i="13"/>
  <c r="BK36" i="13"/>
  <c r="BI36" i="13"/>
  <c r="BC36" i="13"/>
  <c r="AW36" i="13"/>
  <c r="AS36" i="13"/>
  <c r="AQ36" i="13"/>
  <c r="AK36" i="13"/>
  <c r="AE36" i="13"/>
  <c r="Y36" i="13"/>
  <c r="U36" i="13"/>
  <c r="S36" i="13"/>
  <c r="M36" i="13"/>
  <c r="G36" i="13"/>
  <c r="DG34" i="13"/>
  <c r="DA34" i="13"/>
  <c r="CU34" i="13"/>
  <c r="CO34" i="13"/>
  <c r="CI34" i="13"/>
  <c r="CC34" i="13"/>
  <c r="CI27" i="13"/>
  <c r="CK27" i="13" s="1"/>
  <c r="CC27" i="13"/>
  <c r="CD21" i="13" s="1"/>
  <c r="BW27" i="13"/>
  <c r="BX13" i="13" s="1"/>
  <c r="BP27" i="13"/>
  <c r="BT27" i="13" s="1"/>
  <c r="BJ27" i="13"/>
  <c r="BN27" i="13" s="1"/>
  <c r="BD27" i="13"/>
  <c r="BF27" i="13" s="1"/>
  <c r="AX27" i="13"/>
  <c r="AR27" i="13"/>
  <c r="AV27" i="13" s="1"/>
  <c r="AL27" i="13"/>
  <c r="AP27" i="13" s="1"/>
  <c r="AF27" i="13"/>
  <c r="AH27" i="13" s="1"/>
  <c r="Z27" i="13"/>
  <c r="AA10" i="13" s="1"/>
  <c r="T27" i="13"/>
  <c r="U17" i="13" s="1"/>
  <c r="N27" i="13"/>
  <c r="R27" i="13" s="1"/>
  <c r="H27" i="13"/>
  <c r="J27" i="13" s="1"/>
  <c r="B27" i="13"/>
  <c r="D27" i="13" s="1"/>
  <c r="CJ26" i="13"/>
  <c r="CH26" i="13"/>
  <c r="CB26" i="13"/>
  <c r="BM26" i="13"/>
  <c r="BO26" i="13" s="1"/>
  <c r="BI26" i="13"/>
  <c r="BA26" i="13"/>
  <c r="BC26" i="13" s="1"/>
  <c r="AW26" i="13"/>
  <c r="AS26" i="13"/>
  <c r="AQ26" i="13"/>
  <c r="AK26" i="13"/>
  <c r="AE26" i="13"/>
  <c r="Y26" i="13"/>
  <c r="S26" i="13"/>
  <c r="M26" i="13"/>
  <c r="I26" i="13"/>
  <c r="G26" i="13"/>
  <c r="BK25" i="13"/>
  <c r="AU25" i="13"/>
  <c r="AQ25" i="13"/>
  <c r="W25" i="13"/>
  <c r="Y25" i="13" s="1"/>
  <c r="S25" i="13"/>
  <c r="M25" i="13"/>
  <c r="I25" i="13"/>
  <c r="G25" i="13"/>
  <c r="BQ24" i="13"/>
  <c r="BK24" i="13"/>
  <c r="AU24" i="13"/>
  <c r="AW24" i="13" s="1"/>
  <c r="AS24" i="13"/>
  <c r="AQ24" i="13"/>
  <c r="AG24" i="13"/>
  <c r="W24" i="13"/>
  <c r="S24" i="13"/>
  <c r="M24" i="13"/>
  <c r="I24" i="13"/>
  <c r="G24" i="13"/>
  <c r="AY23" i="13"/>
  <c r="W23" i="13"/>
  <c r="S23" i="13"/>
  <c r="M23" i="13"/>
  <c r="I23" i="13"/>
  <c r="G23" i="13"/>
  <c r="CN22" i="13"/>
  <c r="CH22" i="13"/>
  <c r="CD22" i="13"/>
  <c r="CB22" i="13"/>
  <c r="BG22" i="13"/>
  <c r="BM22" i="13" s="1"/>
  <c r="BC22" i="13"/>
  <c r="AW22" i="13"/>
  <c r="AQ22" i="13"/>
  <c r="AK22" i="13"/>
  <c r="AG22" i="13"/>
  <c r="AE22" i="13"/>
  <c r="Y22" i="13"/>
  <c r="S22" i="13"/>
  <c r="O22" i="13"/>
  <c r="M22" i="13"/>
  <c r="G22" i="13"/>
  <c r="C22" i="13"/>
  <c r="DL21" i="13"/>
  <c r="DF21" i="13"/>
  <c r="CZ21" i="13"/>
  <c r="CT21" i="13"/>
  <c r="CN21" i="13"/>
  <c r="CH21" i="13"/>
  <c r="CB21" i="13"/>
  <c r="BQ21" i="13"/>
  <c r="BG21" i="13"/>
  <c r="BC21" i="13"/>
  <c r="AW21" i="13"/>
  <c r="AQ21" i="13"/>
  <c r="AM21" i="13"/>
  <c r="AK21" i="13"/>
  <c r="AE21" i="13"/>
  <c r="Y21" i="13"/>
  <c r="S21" i="13"/>
  <c r="M21" i="13"/>
  <c r="I21" i="13"/>
  <c r="G21" i="13"/>
  <c r="DL20" i="13"/>
  <c r="DF20" i="13"/>
  <c r="CZ20" i="13"/>
  <c r="CT20" i="13"/>
  <c r="CN20" i="13"/>
  <c r="CH20" i="13"/>
  <c r="CB20" i="13"/>
  <c r="BQ20" i="13"/>
  <c r="BG20" i="13"/>
  <c r="BI20" i="13" s="1"/>
  <c r="BC20" i="13"/>
  <c r="AW20" i="13"/>
  <c r="AQ20" i="13"/>
  <c r="AK20" i="13"/>
  <c r="AG20" i="13"/>
  <c r="AE20" i="13"/>
  <c r="Y20" i="13"/>
  <c r="Q20" i="13"/>
  <c r="S20" i="13" s="1"/>
  <c r="O20" i="13"/>
  <c r="M20" i="13"/>
  <c r="G20" i="13"/>
  <c r="C20" i="13"/>
  <c r="DL19" i="13"/>
  <c r="DF19" i="13"/>
  <c r="CZ19" i="13"/>
  <c r="CT19" i="13"/>
  <c r="CN19" i="13"/>
  <c r="CH19" i="13"/>
  <c r="CB19" i="13"/>
  <c r="BQ19" i="13"/>
  <c r="BG19" i="13"/>
  <c r="BM19" i="13" s="1"/>
  <c r="BC19" i="13"/>
  <c r="AW19" i="13"/>
  <c r="AQ19" i="13"/>
  <c r="AK19" i="13"/>
  <c r="AE19" i="13"/>
  <c r="AA19" i="13"/>
  <c r="E19" i="13"/>
  <c r="DL18" i="13"/>
  <c r="DF18" i="13"/>
  <c r="CZ18" i="13"/>
  <c r="CT18" i="13"/>
  <c r="CN18" i="13"/>
  <c r="CH18" i="13"/>
  <c r="CB18" i="13"/>
  <c r="BQ18" i="13"/>
  <c r="BK18" i="13"/>
  <c r="BG18" i="13"/>
  <c r="BC18" i="13"/>
  <c r="AW18" i="13"/>
  <c r="AS18" i="13"/>
  <c r="AQ18" i="13"/>
  <c r="AK18" i="13"/>
  <c r="I18" i="13"/>
  <c r="E18" i="13"/>
  <c r="DL17" i="13"/>
  <c r="DF17" i="13"/>
  <c r="CZ17" i="13"/>
  <c r="CT17" i="13"/>
  <c r="CN17" i="13"/>
  <c r="CJ17" i="13"/>
  <c r="CH17" i="13"/>
  <c r="CB17" i="13"/>
  <c r="AS17" i="13"/>
  <c r="AG17" i="13"/>
  <c r="K17" i="13"/>
  <c r="Q17" i="13" s="1"/>
  <c r="S17" i="13" s="1"/>
  <c r="G17" i="13"/>
  <c r="CJ16" i="13"/>
  <c r="AU16" i="13"/>
  <c r="BA16" i="13" s="1"/>
  <c r="BG16" i="13" s="1"/>
  <c r="BI16" i="13" s="1"/>
  <c r="AS16" i="13"/>
  <c r="AQ16" i="13"/>
  <c r="AG16" i="13"/>
  <c r="I16" i="13"/>
  <c r="E16" i="13"/>
  <c r="BQ14" i="13"/>
  <c r="AU14" i="13"/>
  <c r="BA14" i="13" s="1"/>
  <c r="BC14" i="13" s="1"/>
  <c r="AQ14" i="13"/>
  <c r="AG14" i="13"/>
  <c r="U14" i="13"/>
  <c r="K14" i="13"/>
  <c r="Q14" i="13" s="1"/>
  <c r="S14" i="13" s="1"/>
  <c r="I14" i="13"/>
  <c r="G14" i="13"/>
  <c r="AS13" i="13"/>
  <c r="I13" i="13"/>
  <c r="E13" i="13"/>
  <c r="AY12" i="13"/>
  <c r="AU12" i="13"/>
  <c r="BA12" i="13" s="1"/>
  <c r="BG12" i="13" s="1"/>
  <c r="AQ12" i="13"/>
  <c r="K12" i="13"/>
  <c r="Q12" i="13" s="1"/>
  <c r="S12" i="13" s="1"/>
  <c r="G12" i="13"/>
  <c r="C12" i="13"/>
  <c r="DJ11" i="13"/>
  <c r="DP11" i="13" s="1"/>
  <c r="DF11" i="13"/>
  <c r="CZ11" i="13"/>
  <c r="CT11" i="13"/>
  <c r="CN11" i="13"/>
  <c r="CH11" i="13"/>
  <c r="CB11" i="13"/>
  <c r="BK11" i="13"/>
  <c r="AU11" i="13"/>
  <c r="BA11" i="13" s="1"/>
  <c r="BC11" i="13" s="1"/>
  <c r="AQ11" i="13"/>
  <c r="AA11" i="13"/>
  <c r="K11" i="13"/>
  <c r="Q11" i="13" s="1"/>
  <c r="I11" i="13"/>
  <c r="G11" i="13"/>
  <c r="BQ10" i="13"/>
  <c r="BK10" i="13"/>
  <c r="AU10" i="13"/>
  <c r="AW10" i="13" s="1"/>
  <c r="AQ10" i="13"/>
  <c r="K10" i="13"/>
  <c r="G10" i="13"/>
  <c r="C10" i="13"/>
  <c r="BK9" i="13"/>
  <c r="AU9" i="13"/>
  <c r="AQ9" i="13"/>
  <c r="AM9" i="13"/>
  <c r="AG9" i="13"/>
  <c r="Q9" i="13"/>
  <c r="M9" i="13"/>
  <c r="G9" i="13"/>
  <c r="C9" i="13"/>
  <c r="DD7" i="13"/>
  <c r="CZ7" i="13"/>
  <c r="BQ7" i="13"/>
  <c r="BK7" i="13"/>
  <c r="AU7" i="13"/>
  <c r="AW7" i="13" s="1"/>
  <c r="AS7" i="13"/>
  <c r="AQ7" i="13"/>
  <c r="AG7" i="13"/>
  <c r="W7" i="13"/>
  <c r="S7" i="13"/>
  <c r="O7" i="13"/>
  <c r="M7" i="13"/>
  <c r="I7" i="13"/>
  <c r="G7" i="13"/>
  <c r="C7" i="13"/>
  <c r="BQ6" i="13"/>
  <c r="AY6" i="13"/>
  <c r="AU6" i="13"/>
  <c r="AQ6" i="13"/>
  <c r="AK6" i="13"/>
  <c r="AG6" i="13"/>
  <c r="AE6" i="13"/>
  <c r="Y6" i="13"/>
  <c r="S6" i="13"/>
  <c r="M6" i="13"/>
  <c r="I6" i="13"/>
  <c r="G6" i="13"/>
  <c r="B1" i="13"/>
  <c r="C1" i="13" s="1"/>
  <c r="D1" i="13" s="1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AM1" i="13" s="1"/>
  <c r="AN1" i="13" s="1"/>
  <c r="AO1" i="13" s="1"/>
  <c r="AP1" i="13" s="1"/>
  <c r="AQ1" i="13" s="1"/>
  <c r="AR1" i="13" s="1"/>
  <c r="AS1" i="13" s="1"/>
  <c r="AT1" i="13" s="1"/>
  <c r="AU1" i="13" s="1"/>
  <c r="AV1" i="13" s="1"/>
  <c r="AW1" i="13" s="1"/>
  <c r="AX1" i="13" s="1"/>
  <c r="AY1" i="13" s="1"/>
  <c r="AZ1" i="13" s="1"/>
  <c r="BA1" i="13" s="1"/>
  <c r="BB1" i="13" s="1"/>
  <c r="BC1" i="13" s="1"/>
  <c r="BD1" i="13" s="1"/>
  <c r="BE1" i="13" s="1"/>
  <c r="BF1" i="13" s="1"/>
  <c r="BG1" i="13" s="1"/>
  <c r="BH1" i="13" s="1"/>
  <c r="BI1" i="13" s="1"/>
  <c r="BJ1" i="13" s="1"/>
  <c r="BK1" i="13" s="1"/>
  <c r="BL1" i="13" s="1"/>
  <c r="BM1" i="13" s="1"/>
  <c r="BN1" i="13" s="1"/>
  <c r="BO1" i="13" s="1"/>
  <c r="BP1" i="13" s="1"/>
  <c r="BQ1" i="13" s="1"/>
  <c r="BR1" i="13" s="1"/>
  <c r="BS1" i="13" s="1"/>
  <c r="BT1" i="13" s="1"/>
  <c r="BU1" i="13" s="1"/>
  <c r="BV1" i="13" s="1"/>
  <c r="BW1" i="13" s="1"/>
  <c r="BX1" i="13" s="1"/>
  <c r="BY1" i="13" s="1"/>
  <c r="BZ1" i="13" s="1"/>
  <c r="CA1" i="13" s="1"/>
  <c r="CB1" i="13" s="1"/>
  <c r="CC1" i="13" s="1"/>
  <c r="CD1" i="13" s="1"/>
  <c r="CE1" i="13" s="1"/>
  <c r="CF1" i="13" s="1"/>
  <c r="CG1" i="13" s="1"/>
  <c r="CH1" i="13" s="1"/>
  <c r="CI1" i="13" s="1"/>
  <c r="CJ1" i="13" s="1"/>
  <c r="CK1" i="13" s="1"/>
  <c r="CL1" i="13" s="1"/>
  <c r="CM1" i="13" s="1"/>
  <c r="CN1" i="13" s="1"/>
  <c r="CO1" i="13" s="1"/>
  <c r="CP1" i="13" s="1"/>
  <c r="CQ1" i="13" s="1"/>
  <c r="CR1" i="13" s="1"/>
  <c r="CS1" i="13" s="1"/>
  <c r="CT1" i="13" s="1"/>
  <c r="CU1" i="13" s="1"/>
  <c r="CV1" i="13" s="1"/>
  <c r="CW1" i="13" s="1"/>
  <c r="CX1" i="13" s="1"/>
  <c r="CY1" i="13" s="1"/>
  <c r="CZ1" i="13" s="1"/>
  <c r="DA1" i="13" s="1"/>
  <c r="DB1" i="13" s="1"/>
  <c r="DC1" i="13" s="1"/>
  <c r="DD1" i="13" s="1"/>
  <c r="DE1" i="13" s="1"/>
  <c r="DF1" i="13" s="1"/>
  <c r="CQ81" i="15"/>
  <c r="CQ80" i="15"/>
  <c r="CQ79" i="15"/>
  <c r="CS79" i="15" s="1"/>
  <c r="CQ78" i="15"/>
  <c r="CS78" i="15" s="1"/>
  <c r="CQ77" i="15"/>
  <c r="CQ76" i="15"/>
  <c r="CS76" i="15" s="1"/>
  <c r="CO81" i="15"/>
  <c r="CO80" i="15"/>
  <c r="CO79" i="15"/>
  <c r="CO78" i="15"/>
  <c r="CO77" i="15"/>
  <c r="CO76" i="15"/>
  <c r="CQ64" i="15"/>
  <c r="CO64" i="15"/>
  <c r="CQ60" i="15"/>
  <c r="CO60" i="15"/>
  <c r="CQ59" i="15"/>
  <c r="CS59" i="15" s="1"/>
  <c r="CO59" i="15"/>
  <c r="CQ58" i="15"/>
  <c r="CS58" i="15" s="1"/>
  <c r="CO58" i="15"/>
  <c r="CQ57" i="15"/>
  <c r="CS57" i="15" s="1"/>
  <c r="CO57" i="15"/>
  <c r="CQ56" i="15"/>
  <c r="CS56" i="15" s="1"/>
  <c r="CO56" i="15"/>
  <c r="CQ55" i="15"/>
  <c r="CS55" i="15" s="1"/>
  <c r="CO55" i="15"/>
  <c r="CQ54" i="15"/>
  <c r="CS54" i="15" s="1"/>
  <c r="CO54" i="15"/>
  <c r="CQ53" i="15"/>
  <c r="CS53" i="15" s="1"/>
  <c r="CO53" i="15"/>
  <c r="CQ52" i="15"/>
  <c r="CS52" i="15" s="1"/>
  <c r="CO52" i="15"/>
  <c r="CQ51" i="15"/>
  <c r="CS51" i="15" s="1"/>
  <c r="CO51" i="15"/>
  <c r="CQ50" i="15"/>
  <c r="CS50" i="15" s="1"/>
  <c r="CO50" i="15"/>
  <c r="CQ49" i="15"/>
  <c r="CS49" i="15" s="1"/>
  <c r="CO49" i="15"/>
  <c r="CQ48" i="15"/>
  <c r="CS48" i="15" s="1"/>
  <c r="CO48" i="15"/>
  <c r="CQ47" i="15"/>
  <c r="CS47" i="15" s="1"/>
  <c r="CO47" i="15"/>
  <c r="CQ46" i="15"/>
  <c r="CS46" i="15" s="1"/>
  <c r="CO46" i="15"/>
  <c r="CQ45" i="15"/>
  <c r="CS45" i="15" s="1"/>
  <c r="CO45" i="15"/>
  <c r="CQ44" i="15"/>
  <c r="CS44" i="15" s="1"/>
  <c r="CO44" i="15"/>
  <c r="CQ43" i="15"/>
  <c r="CS43" i="15" s="1"/>
  <c r="CO43" i="15"/>
  <c r="CQ42" i="15"/>
  <c r="CS42" i="15" s="1"/>
  <c r="CO42" i="15"/>
  <c r="CQ41" i="15"/>
  <c r="CS41" i="15" s="1"/>
  <c r="CO41" i="15"/>
  <c r="CQ40" i="15"/>
  <c r="CS40" i="15" s="1"/>
  <c r="CO40" i="15"/>
  <c r="CQ39" i="15"/>
  <c r="CS39" i="15" s="1"/>
  <c r="CO39" i="15"/>
  <c r="CQ38" i="15"/>
  <c r="CS38" i="15" s="1"/>
  <c r="CO38" i="15"/>
  <c r="CQ37" i="15"/>
  <c r="CS37" i="15" s="1"/>
  <c r="CO37" i="15"/>
  <c r="CQ36" i="15"/>
  <c r="CS36" i="15" s="1"/>
  <c r="CO36" i="15"/>
  <c r="CQ26" i="15"/>
  <c r="CS26" i="15" s="1"/>
  <c r="CO26" i="15"/>
  <c r="CQ25" i="15"/>
  <c r="CS25" i="15" s="1"/>
  <c r="CO25" i="15"/>
  <c r="CQ24" i="15"/>
  <c r="CS24" i="15" s="1"/>
  <c r="CO24" i="15"/>
  <c r="CQ23" i="15"/>
  <c r="CS23" i="15" s="1"/>
  <c r="CO23" i="15"/>
  <c r="CQ22" i="15"/>
  <c r="CO22" i="15"/>
  <c r="CQ21" i="15"/>
  <c r="CS21" i="15" s="1"/>
  <c r="CO21" i="15"/>
  <c r="CQ20" i="15"/>
  <c r="CS20" i="15" s="1"/>
  <c r="CO20" i="15"/>
  <c r="CQ19" i="15"/>
  <c r="CS19" i="15" s="1"/>
  <c r="CO19" i="15"/>
  <c r="CQ18" i="15"/>
  <c r="CS18" i="15" s="1"/>
  <c r="CO18" i="15"/>
  <c r="CQ17" i="15"/>
  <c r="CS17" i="15" s="1"/>
  <c r="CO17" i="15"/>
  <c r="CQ16" i="15"/>
  <c r="CS16" i="15" s="1"/>
  <c r="CO16" i="15"/>
  <c r="CQ14" i="15"/>
  <c r="CS14" i="15" s="1"/>
  <c r="CO14" i="15"/>
  <c r="CQ13" i="15"/>
  <c r="CS13" i="15" s="1"/>
  <c r="CO13" i="15"/>
  <c r="CQ12" i="15"/>
  <c r="CS12" i="15" s="1"/>
  <c r="CO12" i="15"/>
  <c r="CQ11" i="15"/>
  <c r="CS11" i="15" s="1"/>
  <c r="CO11" i="15"/>
  <c r="CQ10" i="15"/>
  <c r="CS10" i="15" s="1"/>
  <c r="CO10" i="15"/>
  <c r="CQ9" i="15"/>
  <c r="CS9" i="15" s="1"/>
  <c r="CO9" i="15"/>
  <c r="CQ8" i="15"/>
  <c r="CS8" i="15" s="1"/>
  <c r="CO8" i="15"/>
  <c r="CQ7" i="15"/>
  <c r="CS7" i="15" s="1"/>
  <c r="CO7" i="15"/>
  <c r="CQ6" i="15"/>
  <c r="CS6" i="15" s="1"/>
  <c r="CO6" i="15"/>
  <c r="CS94" i="15"/>
  <c r="CS93" i="15"/>
  <c r="CS92" i="15"/>
  <c r="CS91" i="15"/>
  <c r="CS90" i="15"/>
  <c r="CS89" i="15"/>
  <c r="CS88" i="15"/>
  <c r="CS87" i="15"/>
  <c r="CS86" i="15"/>
  <c r="CS85" i="15"/>
  <c r="CS84" i="15"/>
  <c r="CS83" i="15"/>
  <c r="CS82" i="15"/>
  <c r="CS77" i="15"/>
  <c r="CO74" i="15"/>
  <c r="CS60" i="15"/>
  <c r="CS35" i="15"/>
  <c r="CS75" i="15" s="1"/>
  <c r="CO34" i="15"/>
  <c r="CS22" i="15"/>
  <c r="BJ95" i="12"/>
  <c r="BH95" i="12"/>
  <c r="BH74" i="12"/>
  <c r="BJ67" i="12"/>
  <c r="BJ65" i="12"/>
  <c r="BH65" i="12"/>
  <c r="BI60" i="12"/>
  <c r="BI59" i="12"/>
  <c r="BI57" i="12"/>
  <c r="BI56" i="12"/>
  <c r="BI55" i="12"/>
  <c r="BI53" i="12"/>
  <c r="BI52" i="12"/>
  <c r="BI51" i="12"/>
  <c r="BI48" i="12"/>
  <c r="BI47" i="12"/>
  <c r="BI46" i="12"/>
  <c r="BI44" i="12"/>
  <c r="BI43" i="12"/>
  <c r="BI42" i="12"/>
  <c r="BI40" i="12"/>
  <c r="BI39" i="12"/>
  <c r="BI38" i="12"/>
  <c r="BI36" i="12"/>
  <c r="BH34" i="12"/>
  <c r="BJ29" i="12"/>
  <c r="BH27" i="12"/>
  <c r="BJ27" i="12" s="1"/>
  <c r="BI26" i="12"/>
  <c r="BI23" i="12"/>
  <c r="BI22" i="12"/>
  <c r="BI13" i="12"/>
  <c r="BI12" i="12"/>
  <c r="BI9" i="12"/>
  <c r="BI8" i="12"/>
  <c r="AM6" i="13" l="1"/>
  <c r="O9" i="13"/>
  <c r="O10" i="13"/>
  <c r="AM11" i="13"/>
  <c r="O12" i="13"/>
  <c r="AM13" i="13"/>
  <c r="AM25" i="13"/>
  <c r="AM27" i="13"/>
  <c r="U41" i="13"/>
  <c r="CD7" i="13"/>
  <c r="AM10" i="13"/>
  <c r="AM12" i="13"/>
  <c r="BK12" i="13"/>
  <c r="CD14" i="13"/>
  <c r="O16" i="13"/>
  <c r="BK17" i="13"/>
  <c r="O18" i="13"/>
  <c r="CD19" i="13"/>
  <c r="CD20" i="13"/>
  <c r="BK23" i="13"/>
  <c r="C25" i="13"/>
  <c r="O25" i="13"/>
  <c r="BX39" i="13"/>
  <c r="C6" i="13"/>
  <c r="O6" i="13"/>
  <c r="AS6" i="13"/>
  <c r="CJ6" i="13"/>
  <c r="AA7" i="13"/>
  <c r="I9" i="13"/>
  <c r="BE9" i="13"/>
  <c r="I10" i="13"/>
  <c r="C11" i="13"/>
  <c r="O11" i="13"/>
  <c r="AS11" i="13"/>
  <c r="I12" i="13"/>
  <c r="BQ13" i="13"/>
  <c r="O14" i="13"/>
  <c r="AS14" i="13"/>
  <c r="C16" i="13"/>
  <c r="BQ16" i="13"/>
  <c r="O17" i="13"/>
  <c r="BQ17" i="13"/>
  <c r="O19" i="13"/>
  <c r="AM19" i="13"/>
  <c r="AS20" i="13"/>
  <c r="BK20" i="13"/>
  <c r="AS22" i="13"/>
  <c r="BK22" i="13"/>
  <c r="I27" i="13"/>
  <c r="BQ27" i="13"/>
  <c r="AS39" i="13"/>
  <c r="BK39" i="13"/>
  <c r="AS44" i="13"/>
  <c r="AS46" i="13"/>
  <c r="AM47" i="13"/>
  <c r="AS48" i="13"/>
  <c r="AV65" i="13"/>
  <c r="BX77" i="13"/>
  <c r="BZ95" i="13"/>
  <c r="BK45" i="13"/>
  <c r="AS49" i="13"/>
  <c r="AS51" i="13"/>
  <c r="I53" i="13"/>
  <c r="X65" i="13"/>
  <c r="AP65" i="13"/>
  <c r="AP66" i="13" s="1"/>
  <c r="BX79" i="13"/>
  <c r="CJ11" i="13"/>
  <c r="BQ22" i="13"/>
  <c r="AM23" i="13"/>
  <c r="BQ23" i="13"/>
  <c r="BQ25" i="13"/>
  <c r="BQ26" i="13"/>
  <c r="BR27" i="13"/>
  <c r="AM38" i="13"/>
  <c r="AM39" i="13"/>
  <c r="C41" i="13"/>
  <c r="C43" i="13"/>
  <c r="C44" i="13"/>
  <c r="C45" i="13"/>
  <c r="U45" i="13"/>
  <c r="AM48" i="13"/>
  <c r="BQ48" i="13"/>
  <c r="BQ49" i="13"/>
  <c r="AM51" i="13"/>
  <c r="AM52" i="13"/>
  <c r="AY52" i="13"/>
  <c r="BQ52" i="13"/>
  <c r="U53" i="13"/>
  <c r="BK6" i="13"/>
  <c r="AM7" i="13"/>
  <c r="BE7" i="13"/>
  <c r="CJ7" i="13"/>
  <c r="AS9" i="13"/>
  <c r="BQ9" i="13"/>
  <c r="AS10" i="13"/>
  <c r="CJ10" i="13"/>
  <c r="BQ11" i="13"/>
  <c r="AS12" i="13"/>
  <c r="BQ12" i="13"/>
  <c r="O13" i="13"/>
  <c r="BK13" i="13"/>
  <c r="AM14" i="13"/>
  <c r="BK14" i="13"/>
  <c r="AM16" i="13"/>
  <c r="BK16" i="13"/>
  <c r="I17" i="13"/>
  <c r="AM17" i="13"/>
  <c r="AM18" i="13"/>
  <c r="I19" i="13"/>
  <c r="AG19" i="13"/>
  <c r="AS19" i="13"/>
  <c r="BK19" i="13"/>
  <c r="I20" i="13"/>
  <c r="AM20" i="13"/>
  <c r="C21" i="13"/>
  <c r="O21" i="13"/>
  <c r="AG21" i="13"/>
  <c r="AS21" i="13"/>
  <c r="BK21" i="13"/>
  <c r="I22" i="13"/>
  <c r="AM22" i="13"/>
  <c r="C23" i="13"/>
  <c r="O23" i="13"/>
  <c r="AS23" i="13"/>
  <c r="CJ23" i="13"/>
  <c r="O24" i="13"/>
  <c r="AM24" i="13"/>
  <c r="BE24" i="13"/>
  <c r="AS25" i="13"/>
  <c r="CJ25" i="13"/>
  <c r="AM26" i="13"/>
  <c r="O27" i="13"/>
  <c r="AS27" i="13"/>
  <c r="BK27" i="13"/>
  <c r="BQ36" i="13"/>
  <c r="CD38" i="13"/>
  <c r="C39" i="13"/>
  <c r="BE39" i="13"/>
  <c r="BQ39" i="13"/>
  <c r="CD39" i="13"/>
  <c r="C40" i="13"/>
  <c r="AS40" i="13"/>
  <c r="AA43" i="13"/>
  <c r="AS43" i="13"/>
  <c r="AS45" i="13"/>
  <c r="AS47" i="13"/>
  <c r="BE48" i="13"/>
  <c r="I50" i="13"/>
  <c r="CD51" i="13"/>
  <c r="C52" i="13"/>
  <c r="AS53" i="13"/>
  <c r="CD53" i="13"/>
  <c r="CD76" i="13"/>
  <c r="CD77" i="13"/>
  <c r="CD78" i="13"/>
  <c r="CD79" i="13"/>
  <c r="Q95" i="13"/>
  <c r="CF95" i="13"/>
  <c r="CJ12" i="13"/>
  <c r="AA13" i="13"/>
  <c r="C36" i="13"/>
  <c r="C53" i="13"/>
  <c r="AA6" i="13"/>
  <c r="BE10" i="13"/>
  <c r="M11" i="13"/>
  <c r="CJ13" i="13"/>
  <c r="AA18" i="13"/>
  <c r="CJ18" i="13"/>
  <c r="CJ19" i="13"/>
  <c r="CJ20" i="13"/>
  <c r="CJ21" i="13"/>
  <c r="CJ22" i="13"/>
  <c r="CJ27" i="13"/>
  <c r="O39" i="13"/>
  <c r="AG39" i="13"/>
  <c r="O42" i="13"/>
  <c r="BQ42" i="13"/>
  <c r="O43" i="13"/>
  <c r="CD43" i="13"/>
  <c r="O45" i="13"/>
  <c r="CD45" i="13"/>
  <c r="BQ46" i="13"/>
  <c r="O47" i="13"/>
  <c r="AG47" i="13"/>
  <c r="BQ47" i="13"/>
  <c r="CD47" i="13"/>
  <c r="CD49" i="13"/>
  <c r="AG50" i="13"/>
  <c r="CD50" i="13"/>
  <c r="C51" i="13"/>
  <c r="BQ51" i="13"/>
  <c r="P65" i="13"/>
  <c r="BR65" i="13"/>
  <c r="CE65" i="13"/>
  <c r="AA20" i="13"/>
  <c r="AA21" i="13"/>
  <c r="AA22" i="13"/>
  <c r="AA23" i="13"/>
  <c r="R65" i="13"/>
  <c r="BT65" i="13"/>
  <c r="W95" i="13"/>
  <c r="AO95" i="13"/>
  <c r="CJ9" i="13"/>
  <c r="BX11" i="13"/>
  <c r="CJ14" i="13"/>
  <c r="BX16" i="13"/>
  <c r="CJ24" i="13"/>
  <c r="AA25" i="13"/>
  <c r="O36" i="13"/>
  <c r="CD36" i="13"/>
  <c r="C37" i="13"/>
  <c r="O37" i="13"/>
  <c r="CD37" i="13"/>
  <c r="C38" i="13"/>
  <c r="BQ38" i="13"/>
  <c r="O40" i="13"/>
  <c r="BQ40" i="13"/>
  <c r="BQ41" i="13"/>
  <c r="BK42" i="13"/>
  <c r="O44" i="13"/>
  <c r="BQ44" i="13"/>
  <c r="C46" i="13"/>
  <c r="BK47" i="13"/>
  <c r="C49" i="13"/>
  <c r="O52" i="13"/>
  <c r="CX60" i="13"/>
  <c r="CZ60" i="13" s="1"/>
  <c r="AI95" i="13"/>
  <c r="BB27" i="13"/>
  <c r="AY27" i="13"/>
  <c r="AY16" i="13"/>
  <c r="AY26" i="13"/>
  <c r="AY24" i="13"/>
  <c r="AY18" i="13"/>
  <c r="AY17" i="13"/>
  <c r="AY14" i="13"/>
  <c r="AY9" i="13"/>
  <c r="CR55" i="13"/>
  <c r="CT55" i="13" s="1"/>
  <c r="CN55" i="13"/>
  <c r="AY53" i="13"/>
  <c r="AY42" i="13"/>
  <c r="AY41" i="13"/>
  <c r="AY37" i="13"/>
  <c r="AY36" i="13"/>
  <c r="AY49" i="13"/>
  <c r="AY45" i="13"/>
  <c r="AY44" i="13"/>
  <c r="AY43" i="13"/>
  <c r="DF77" i="13"/>
  <c r="DJ77" i="13"/>
  <c r="DP77" i="13" s="1"/>
  <c r="BC16" i="13"/>
  <c r="K18" i="13"/>
  <c r="G18" i="13"/>
  <c r="AY19" i="13"/>
  <c r="AY20" i="13"/>
  <c r="BX25" i="13"/>
  <c r="CD27" i="13"/>
  <c r="CD26" i="13"/>
  <c r="CD25" i="13"/>
  <c r="CD17" i="13"/>
  <c r="CD13" i="13"/>
  <c r="CD23" i="13"/>
  <c r="CD18" i="13"/>
  <c r="CD16" i="13"/>
  <c r="CD12" i="13"/>
  <c r="CD6" i="13"/>
  <c r="AY51" i="13"/>
  <c r="DJ79" i="13"/>
  <c r="U6" i="13"/>
  <c r="AY7" i="13"/>
  <c r="U9" i="13"/>
  <c r="CD11" i="13"/>
  <c r="BE14" i="13"/>
  <c r="BE17" i="13"/>
  <c r="G19" i="13"/>
  <c r="K19" i="13"/>
  <c r="Q19" i="13" s="1"/>
  <c r="AY25" i="13"/>
  <c r="BS26" i="13"/>
  <c r="BU26" i="13" s="1"/>
  <c r="F27" i="13"/>
  <c r="C27" i="13"/>
  <c r="C24" i="13"/>
  <c r="C18" i="13"/>
  <c r="C17" i="13"/>
  <c r="C13" i="13"/>
  <c r="C26" i="13"/>
  <c r="C19" i="13"/>
  <c r="C14" i="13"/>
  <c r="AJ27" i="13"/>
  <c r="AG27" i="13"/>
  <c r="AG26" i="13"/>
  <c r="AG18" i="13"/>
  <c r="AG13" i="13"/>
  <c r="AG12" i="13"/>
  <c r="AG10" i="13"/>
  <c r="AG25" i="13"/>
  <c r="AG23" i="13"/>
  <c r="AG11" i="13"/>
  <c r="CE27" i="13"/>
  <c r="AM40" i="13"/>
  <c r="AY40" i="13"/>
  <c r="U42" i="13"/>
  <c r="I44" i="13"/>
  <c r="U44" i="13"/>
  <c r="U46" i="13"/>
  <c r="AY46" i="13"/>
  <c r="AG49" i="13"/>
  <c r="AG45" i="13"/>
  <c r="AG44" i="13"/>
  <c r="AG43" i="13"/>
  <c r="AH65" i="13"/>
  <c r="AG53" i="13"/>
  <c r="AG42" i="13"/>
  <c r="AG41" i="13"/>
  <c r="AG37" i="13"/>
  <c r="AG36" i="13"/>
  <c r="BK50" i="13"/>
  <c r="BL65" i="13"/>
  <c r="BK53" i="13"/>
  <c r="BK52" i="13"/>
  <c r="BK46" i="13"/>
  <c r="BK41" i="13"/>
  <c r="BK40" i="13"/>
  <c r="BK38" i="13"/>
  <c r="BK37" i="13"/>
  <c r="BK51" i="13"/>
  <c r="BK49" i="13"/>
  <c r="BK48" i="13"/>
  <c r="BK44" i="13"/>
  <c r="BK43" i="13"/>
  <c r="K95" i="13"/>
  <c r="BS95" i="13"/>
  <c r="V27" i="13"/>
  <c r="U27" i="13"/>
  <c r="U26" i="13"/>
  <c r="U19" i="13"/>
  <c r="U11" i="13"/>
  <c r="U24" i="13"/>
  <c r="U18" i="13"/>
  <c r="U13" i="13"/>
  <c r="U12" i="13"/>
  <c r="U10" i="13"/>
  <c r="U7" i="13"/>
  <c r="BY27" i="13"/>
  <c r="BX18" i="13"/>
  <c r="BX27" i="13"/>
  <c r="BX26" i="13"/>
  <c r="BX24" i="13"/>
  <c r="BX17" i="13"/>
  <c r="BX14" i="13"/>
  <c r="BX10" i="13"/>
  <c r="BX9" i="13"/>
  <c r="DJ76" i="13"/>
  <c r="DF76" i="13"/>
  <c r="DP78" i="13"/>
  <c r="DL78" i="13"/>
  <c r="AY11" i="13"/>
  <c r="K13" i="13"/>
  <c r="Q13" i="13" s="1"/>
  <c r="S13" i="13" s="1"/>
  <c r="G13" i="13"/>
  <c r="AY21" i="13"/>
  <c r="AY22" i="13"/>
  <c r="AD27" i="13"/>
  <c r="AA24" i="13"/>
  <c r="AA14" i="13"/>
  <c r="AA9" i="13"/>
  <c r="AA27" i="13"/>
  <c r="AA26" i="13"/>
  <c r="AA17" i="13"/>
  <c r="AA16" i="13"/>
  <c r="BH27" i="13"/>
  <c r="BE26" i="13"/>
  <c r="BE25" i="13"/>
  <c r="BE18" i="13"/>
  <c r="BE13" i="13"/>
  <c r="BE11" i="13"/>
  <c r="BE27" i="13"/>
  <c r="BE23" i="13"/>
  <c r="BE16" i="13"/>
  <c r="BE12" i="13"/>
  <c r="BE6" i="13"/>
  <c r="CT36" i="13"/>
  <c r="CX36" i="13"/>
  <c r="CZ36" i="13" s="1"/>
  <c r="CX38" i="13"/>
  <c r="DD38" i="13" s="1"/>
  <c r="DJ38" i="13" s="1"/>
  <c r="DP38" i="13" s="1"/>
  <c r="DV38" i="13" s="1"/>
  <c r="CT38" i="13"/>
  <c r="BX6" i="13"/>
  <c r="BA7" i="13"/>
  <c r="BC7" i="13" s="1"/>
  <c r="BX7" i="13"/>
  <c r="CD9" i="13"/>
  <c r="AY10" i="13"/>
  <c r="CD10" i="13"/>
  <c r="AA12" i="13"/>
  <c r="BX12" i="13"/>
  <c r="AY13" i="13"/>
  <c r="U16" i="13"/>
  <c r="BE19" i="13"/>
  <c r="BX19" i="13"/>
  <c r="U20" i="13"/>
  <c r="BE20" i="13"/>
  <c r="BX20" i="13"/>
  <c r="U21" i="13"/>
  <c r="BE21" i="13"/>
  <c r="BX21" i="13"/>
  <c r="U22" i="13"/>
  <c r="BE22" i="13"/>
  <c r="BX22" i="13"/>
  <c r="U23" i="13"/>
  <c r="BX23" i="13"/>
  <c r="CD24" i="13"/>
  <c r="U25" i="13"/>
  <c r="AY38" i="13"/>
  <c r="AY39" i="13"/>
  <c r="CX46" i="13"/>
  <c r="DD46" i="13" s="1"/>
  <c r="DF46" i="13" s="1"/>
  <c r="CT46" i="13"/>
  <c r="I47" i="13"/>
  <c r="I43" i="13"/>
  <c r="I39" i="13"/>
  <c r="U52" i="13"/>
  <c r="U47" i="13"/>
  <c r="U43" i="13"/>
  <c r="U40" i="13"/>
  <c r="U39" i="13"/>
  <c r="U38" i="13"/>
  <c r="V65" i="13"/>
  <c r="U51" i="13"/>
  <c r="U50" i="13"/>
  <c r="U48" i="13"/>
  <c r="AM50" i="13"/>
  <c r="AN65" i="13"/>
  <c r="AM53" i="13"/>
  <c r="AM42" i="13"/>
  <c r="AM41" i="13"/>
  <c r="AM37" i="13"/>
  <c r="AM36" i="13"/>
  <c r="AM49" i="13"/>
  <c r="AM45" i="13"/>
  <c r="AM44" i="13"/>
  <c r="AM43" i="13"/>
  <c r="BX53" i="13"/>
  <c r="BX52" i="13"/>
  <c r="BX46" i="13"/>
  <c r="BX41" i="13"/>
  <c r="BX37" i="13"/>
  <c r="BX49" i="13"/>
  <c r="BX44" i="13"/>
  <c r="BX43" i="13"/>
  <c r="F95" i="13"/>
  <c r="E95" i="13"/>
  <c r="AU95" i="13"/>
  <c r="BA10" i="13"/>
  <c r="BG10" i="13" s="1"/>
  <c r="BI10" i="13" s="1"/>
  <c r="O26" i="13"/>
  <c r="BK26" i="13"/>
  <c r="P27" i="13"/>
  <c r="AT27" i="13"/>
  <c r="AC95" i="13"/>
  <c r="BA95" i="13"/>
  <c r="AV66" i="13"/>
  <c r="S95" i="13"/>
  <c r="AQ95" i="13"/>
  <c r="BO95" i="13"/>
  <c r="AE65" i="13"/>
  <c r="AQ65" i="13"/>
  <c r="DJ56" i="13"/>
  <c r="DP56" i="13" s="1"/>
  <c r="DV56" i="13" s="1"/>
  <c r="DJ57" i="13"/>
  <c r="DP57" i="13" s="1"/>
  <c r="DV57" i="13" s="1"/>
  <c r="BA24" i="13"/>
  <c r="BC24" i="13" s="1"/>
  <c r="CX40" i="13"/>
  <c r="CZ40" i="13" s="1"/>
  <c r="BC65" i="13"/>
  <c r="DD39" i="13"/>
  <c r="DJ39" i="13" s="1"/>
  <c r="DL53" i="13"/>
  <c r="CT54" i="13"/>
  <c r="AW16" i="13"/>
  <c r="G65" i="13"/>
  <c r="DL42" i="13"/>
  <c r="DL45" i="13"/>
  <c r="CH49" i="13"/>
  <c r="CT51" i="13"/>
  <c r="DV59" i="13"/>
  <c r="DR59" i="13"/>
  <c r="CZ48" i="13"/>
  <c r="DD48" i="13"/>
  <c r="DJ48" i="13" s="1"/>
  <c r="DP48" i="13" s="1"/>
  <c r="DD54" i="13"/>
  <c r="CZ54" i="13"/>
  <c r="DD44" i="13"/>
  <c r="DF44" i="13" s="1"/>
  <c r="CX50" i="13"/>
  <c r="BI19" i="13"/>
  <c r="BM20" i="13"/>
  <c r="BO20" i="13" s="1"/>
  <c r="BI22" i="13"/>
  <c r="M65" i="13"/>
  <c r="Y65" i="13"/>
  <c r="DV42" i="13"/>
  <c r="DR42" i="13"/>
  <c r="CT44" i="13"/>
  <c r="DV45" i="13"/>
  <c r="DR45" i="13"/>
  <c r="DJ47" i="13"/>
  <c r="DP47" i="13" s="1"/>
  <c r="CT48" i="13"/>
  <c r="DL49" i="13"/>
  <c r="DV51" i="13"/>
  <c r="DR51" i="13"/>
  <c r="CX52" i="13"/>
  <c r="DD52" i="13" s="1"/>
  <c r="DV53" i="13"/>
  <c r="DR53" i="13"/>
  <c r="CT58" i="13"/>
  <c r="CT59" i="13"/>
  <c r="DV49" i="13"/>
  <c r="DR49" i="13"/>
  <c r="DV55" i="13"/>
  <c r="DR55" i="13"/>
  <c r="CT39" i="13"/>
  <c r="DV43" i="13"/>
  <c r="DR43" i="13"/>
  <c r="DL55" i="13"/>
  <c r="BI12" i="13"/>
  <c r="BM12" i="13"/>
  <c r="BO12" i="13" s="1"/>
  <c r="DV11" i="13"/>
  <c r="EB11" i="13" s="1"/>
  <c r="DR11" i="13"/>
  <c r="BM16" i="13"/>
  <c r="BO16" i="13" s="1"/>
  <c r="AW12" i="13"/>
  <c r="AW14" i="13"/>
  <c r="BG14" i="13"/>
  <c r="BI14" i="13" s="1"/>
  <c r="M17" i="13"/>
  <c r="W17" i="13"/>
  <c r="AC25" i="13"/>
  <c r="AE25" i="13" s="1"/>
  <c r="BG11" i="13"/>
  <c r="BM11" i="13" s="1"/>
  <c r="DL11" i="13"/>
  <c r="CO95" i="15"/>
  <c r="CP76" i="15" s="1"/>
  <c r="CU65" i="13"/>
  <c r="CW65" i="13" s="1"/>
  <c r="DL51" i="13"/>
  <c r="DF59" i="13"/>
  <c r="DA95" i="13"/>
  <c r="DB79" i="13" s="1"/>
  <c r="CT79" i="13"/>
  <c r="DL43" i="13"/>
  <c r="CU27" i="13"/>
  <c r="CV6" i="13" s="1"/>
  <c r="K16" i="13"/>
  <c r="G16" i="13"/>
  <c r="BI21" i="13"/>
  <c r="BM21" i="13"/>
  <c r="BO22" i="13"/>
  <c r="BS22" i="13"/>
  <c r="BU22" i="13" s="1"/>
  <c r="Y24" i="13"/>
  <c r="AC24" i="13"/>
  <c r="AW6" i="13"/>
  <c r="BA6" i="13"/>
  <c r="AW9" i="13"/>
  <c r="BA9" i="13"/>
  <c r="DJ7" i="13"/>
  <c r="DL7" i="13" s="1"/>
  <c r="DF7" i="13"/>
  <c r="S11" i="13"/>
  <c r="W11" i="13"/>
  <c r="W12" i="13"/>
  <c r="W14" i="13"/>
  <c r="DG27" i="13"/>
  <c r="DK27" i="13" s="1"/>
  <c r="CO27" i="13"/>
  <c r="CP7" i="13" s="1"/>
  <c r="Y7" i="13"/>
  <c r="S9" i="13"/>
  <c r="M10" i="13"/>
  <c r="AW11" i="13"/>
  <c r="M12" i="13"/>
  <c r="BC12" i="13"/>
  <c r="E27" i="13"/>
  <c r="M13" i="13"/>
  <c r="M14" i="13"/>
  <c r="CZ51" i="13"/>
  <c r="DA27" i="13"/>
  <c r="AC7" i="13"/>
  <c r="W9" i="13"/>
  <c r="Q10" i="13"/>
  <c r="M18" i="13"/>
  <c r="BI18" i="13"/>
  <c r="BM18" i="13"/>
  <c r="AC23" i="13"/>
  <c r="Y23" i="13"/>
  <c r="CL42" i="13"/>
  <c r="CN42" i="13" s="1"/>
  <c r="CH42" i="13"/>
  <c r="AC65" i="13"/>
  <c r="AA54" i="13"/>
  <c r="AD65" i="13"/>
  <c r="AB65" i="13"/>
  <c r="AA50" i="13"/>
  <c r="AA48" i="13"/>
  <c r="AA45" i="13"/>
  <c r="AA40" i="13"/>
  <c r="AA36" i="13"/>
  <c r="AA51" i="13"/>
  <c r="AA42" i="13"/>
  <c r="AA38" i="13"/>
  <c r="AA53" i="13"/>
  <c r="AA41" i="13"/>
  <c r="AA39" i="13"/>
  <c r="AA37" i="13"/>
  <c r="AA47" i="13"/>
  <c r="AA46" i="13"/>
  <c r="AA44" i="13"/>
  <c r="AA49" i="13"/>
  <c r="BO19" i="13"/>
  <c r="BS19" i="13"/>
  <c r="BU19" i="13" s="1"/>
  <c r="AW25" i="13"/>
  <c r="BA25" i="13"/>
  <c r="DJ58" i="13"/>
  <c r="DP58" i="13" s="1"/>
  <c r="DF58" i="13"/>
  <c r="BO65" i="13"/>
  <c r="CO65" i="13"/>
  <c r="CP36" i="13" s="1"/>
  <c r="DA65" i="13"/>
  <c r="CL45" i="13"/>
  <c r="CN45" i="13" s="1"/>
  <c r="CH45" i="13"/>
  <c r="S65" i="13"/>
  <c r="BI65" i="13"/>
  <c r="BU65" i="13"/>
  <c r="CI65" i="13"/>
  <c r="CZ38" i="13"/>
  <c r="CZ47" i="13"/>
  <c r="I54" i="13"/>
  <c r="K65" i="13"/>
  <c r="L65" i="13"/>
  <c r="I52" i="13"/>
  <c r="I46" i="13"/>
  <c r="J65" i="13"/>
  <c r="I51" i="13"/>
  <c r="I42" i="13"/>
  <c r="I38" i="13"/>
  <c r="I48" i="13"/>
  <c r="I45" i="13"/>
  <c r="I40" i="13"/>
  <c r="I36" i="13"/>
  <c r="AK65" i="13"/>
  <c r="AW65" i="13"/>
  <c r="DD36" i="13"/>
  <c r="DJ36" i="13" s="1"/>
  <c r="CX37" i="13"/>
  <c r="DD37" i="13" s="1"/>
  <c r="DJ37" i="13" s="1"/>
  <c r="CT37" i="13"/>
  <c r="DD40" i="13"/>
  <c r="DJ40" i="13" s="1"/>
  <c r="DP40" i="13" s="1"/>
  <c r="CX41" i="13"/>
  <c r="DD41" i="13" s="1"/>
  <c r="DJ41" i="13" s="1"/>
  <c r="CT41" i="13"/>
  <c r="CZ53" i="13"/>
  <c r="BE54" i="13"/>
  <c r="BG65" i="13"/>
  <c r="BH65" i="13"/>
  <c r="BE52" i="13"/>
  <c r="BE46" i="13"/>
  <c r="BZ65" i="13"/>
  <c r="CB65" i="13"/>
  <c r="BX54" i="13"/>
  <c r="CA65" i="13"/>
  <c r="BY65" i="13"/>
  <c r="BX50" i="13"/>
  <c r="BX48" i="13"/>
  <c r="L27" i="13"/>
  <c r="X27" i="13"/>
  <c r="AB27" i="13"/>
  <c r="AN27" i="13"/>
  <c r="AZ27" i="13"/>
  <c r="BL27" i="13"/>
  <c r="CD94" i="13"/>
  <c r="CD92" i="13"/>
  <c r="CD90" i="13"/>
  <c r="CD88" i="13"/>
  <c r="CD86" i="13"/>
  <c r="CD84" i="13"/>
  <c r="CD82" i="13"/>
  <c r="CD93" i="13"/>
  <c r="CD91" i="13"/>
  <c r="CD89" i="13"/>
  <c r="CD87" i="13"/>
  <c r="CD85" i="13"/>
  <c r="CD83" i="13"/>
  <c r="CG27" i="13"/>
  <c r="BE36" i="13"/>
  <c r="BX38" i="13"/>
  <c r="BE40" i="13"/>
  <c r="BX42" i="13"/>
  <c r="BE45" i="13"/>
  <c r="CT47" i="13"/>
  <c r="BX51" i="13"/>
  <c r="DF51" i="13"/>
  <c r="E65" i="13"/>
  <c r="C95" i="13"/>
  <c r="C65" i="13"/>
  <c r="C54" i="13"/>
  <c r="F65" i="13"/>
  <c r="D65" i="13"/>
  <c r="C50" i="13"/>
  <c r="C48" i="13"/>
  <c r="BF65" i="13"/>
  <c r="CD54" i="13"/>
  <c r="CF65" i="13"/>
  <c r="CD56" i="13"/>
  <c r="CG65" i="13"/>
  <c r="CD57" i="13"/>
  <c r="CD55" i="13"/>
  <c r="CD52" i="13"/>
  <c r="CD46" i="13"/>
  <c r="BX93" i="13"/>
  <c r="BX91" i="13"/>
  <c r="BX89" i="13"/>
  <c r="BX87" i="13"/>
  <c r="BX85" i="13"/>
  <c r="BX83" i="13"/>
  <c r="BX94" i="13"/>
  <c r="BX92" i="13"/>
  <c r="BX90" i="13"/>
  <c r="BX88" i="13"/>
  <c r="BX86" i="13"/>
  <c r="BX84" i="13"/>
  <c r="BX82" i="13"/>
  <c r="CA27" i="13"/>
  <c r="CJ93" i="13"/>
  <c r="CJ91" i="13"/>
  <c r="CJ89" i="13"/>
  <c r="CJ87" i="13"/>
  <c r="CJ85" i="13"/>
  <c r="CJ83" i="13"/>
  <c r="CJ94" i="13"/>
  <c r="CJ92" i="13"/>
  <c r="CJ90" i="13"/>
  <c r="CJ88" i="13"/>
  <c r="CJ86" i="13"/>
  <c r="CJ84" i="13"/>
  <c r="CJ82" i="13"/>
  <c r="CM27" i="13"/>
  <c r="BX36" i="13"/>
  <c r="DG65" i="13"/>
  <c r="BE38" i="13"/>
  <c r="BX40" i="13"/>
  <c r="BE42" i="13"/>
  <c r="BX45" i="13"/>
  <c r="BE51" i="13"/>
  <c r="CT53" i="13"/>
  <c r="CZ59" i="13"/>
  <c r="AG54" i="13"/>
  <c r="AI65" i="13"/>
  <c r="AJ65" i="13"/>
  <c r="AG52" i="13"/>
  <c r="AG46" i="13"/>
  <c r="BA65" i="13"/>
  <c r="AY54" i="13"/>
  <c r="BB65" i="13"/>
  <c r="AZ65" i="13"/>
  <c r="AY50" i="13"/>
  <c r="AY48" i="13"/>
  <c r="G95" i="13"/>
  <c r="AE95" i="13"/>
  <c r="BC95" i="13"/>
  <c r="CI95" i="13"/>
  <c r="CJ76" i="13" s="1"/>
  <c r="DG95" i="13"/>
  <c r="DH76" i="13" s="1"/>
  <c r="M95" i="13"/>
  <c r="AK95" i="13"/>
  <c r="BI95" i="13"/>
  <c r="CB95" i="13"/>
  <c r="O48" i="13"/>
  <c r="DF53" i="13"/>
  <c r="DF55" i="13"/>
  <c r="CT56" i="13"/>
  <c r="U54" i="13"/>
  <c r="W65" i="13"/>
  <c r="AS54" i="13"/>
  <c r="AU65" i="13"/>
  <c r="BQ54" i="13"/>
  <c r="BS65" i="13"/>
  <c r="CT57" i="13"/>
  <c r="CZ58" i="13"/>
  <c r="DL59" i="13"/>
  <c r="Q65" i="13"/>
  <c r="O54" i="13"/>
  <c r="AO65" i="13"/>
  <c r="AM54" i="13"/>
  <c r="BM65" i="13"/>
  <c r="BK54" i="13"/>
  <c r="CO95" i="13"/>
  <c r="CP78" i="13" s="1"/>
  <c r="CU95" i="13"/>
  <c r="CV79" i="13" s="1"/>
  <c r="Y95" i="13"/>
  <c r="AW95" i="13"/>
  <c r="BU95" i="13"/>
  <c r="CH95" i="13"/>
  <c r="CT77" i="13"/>
  <c r="DF78" i="13"/>
  <c r="D95" i="13"/>
  <c r="L95" i="13"/>
  <c r="P95" i="13"/>
  <c r="X95" i="13"/>
  <c r="AB95" i="13"/>
  <c r="AJ95" i="13"/>
  <c r="AN95" i="13"/>
  <c r="AP96" i="13" s="1"/>
  <c r="AV95" i="13"/>
  <c r="AV96" i="13" s="1"/>
  <c r="AZ95" i="13"/>
  <c r="BB96" i="13" s="1"/>
  <c r="BH95" i="13"/>
  <c r="BL95" i="13"/>
  <c r="BT95" i="13"/>
  <c r="BY95" i="13"/>
  <c r="CG95" i="13"/>
  <c r="CO65" i="15"/>
  <c r="CS65" i="15" s="1"/>
  <c r="CX66" i="15" s="1"/>
  <c r="CS95" i="15"/>
  <c r="CX96" i="15" s="1"/>
  <c r="CO27" i="15"/>
  <c r="BI6" i="12"/>
  <c r="BI10" i="12"/>
  <c r="BI14" i="12"/>
  <c r="BI24" i="12"/>
  <c r="BI27" i="12"/>
  <c r="BI7" i="12"/>
  <c r="BI11" i="12"/>
  <c r="BI16" i="12"/>
  <c r="BI25" i="12"/>
  <c r="BI37" i="12"/>
  <c r="BI41" i="12"/>
  <c r="BI45" i="12"/>
  <c r="BI50" i="12"/>
  <c r="BI54" i="12"/>
  <c r="BI58" i="12"/>
  <c r="CV14" i="13" l="1"/>
  <c r="DD60" i="13"/>
  <c r="DJ60" i="13" s="1"/>
  <c r="CV11" i="13"/>
  <c r="G27" i="13"/>
  <c r="DR57" i="13"/>
  <c r="DF38" i="13"/>
  <c r="DR38" i="13"/>
  <c r="DL77" i="13"/>
  <c r="BG7" i="13"/>
  <c r="DL56" i="13"/>
  <c r="CP21" i="13"/>
  <c r="DE95" i="13"/>
  <c r="AS65" i="13"/>
  <c r="CP17" i="13"/>
  <c r="BI11" i="13"/>
  <c r="W13" i="13"/>
  <c r="Y13" i="13" s="1"/>
  <c r="BQ65" i="13"/>
  <c r="CP24" i="13"/>
  <c r="DJ44" i="13"/>
  <c r="DL38" i="13"/>
  <c r="BG24" i="13"/>
  <c r="BK65" i="13"/>
  <c r="K27" i="13"/>
  <c r="DP79" i="13"/>
  <c r="DL79" i="13"/>
  <c r="DB77" i="13"/>
  <c r="CV23" i="13"/>
  <c r="U65" i="13"/>
  <c r="AY65" i="13"/>
  <c r="CZ46" i="13"/>
  <c r="M19" i="13"/>
  <c r="BC10" i="13"/>
  <c r="DJ46" i="13"/>
  <c r="DP46" i="13" s="1"/>
  <c r="DV78" i="13"/>
  <c r="DR78" i="13"/>
  <c r="DV77" i="13"/>
  <c r="DR77" i="13"/>
  <c r="DC65" i="13"/>
  <c r="DB59" i="13"/>
  <c r="DB55" i="13"/>
  <c r="DB51" i="13"/>
  <c r="DB47" i="13"/>
  <c r="DB43" i="13"/>
  <c r="DB39" i="13"/>
  <c r="DB58" i="13"/>
  <c r="DB54" i="13"/>
  <c r="DB50" i="13"/>
  <c r="DB46" i="13"/>
  <c r="DB42" i="13"/>
  <c r="DB38" i="13"/>
  <c r="DB64" i="13"/>
  <c r="DB57" i="13"/>
  <c r="DB53" i="13"/>
  <c r="DB49" i="13"/>
  <c r="DB45" i="13"/>
  <c r="DB41" i="13"/>
  <c r="DB37" i="13"/>
  <c r="DB60" i="13"/>
  <c r="DB56" i="13"/>
  <c r="DB52" i="13"/>
  <c r="DB48" i="13"/>
  <c r="DB44" i="13"/>
  <c r="DB40" i="13"/>
  <c r="DB36" i="13"/>
  <c r="DP76" i="13"/>
  <c r="DL76" i="13"/>
  <c r="BM10" i="13"/>
  <c r="BO10" i="13" s="1"/>
  <c r="CV13" i="13"/>
  <c r="DH78" i="13"/>
  <c r="AM65" i="13"/>
  <c r="DB76" i="13"/>
  <c r="DI65" i="13"/>
  <c r="DH64" i="13"/>
  <c r="DH57" i="13"/>
  <c r="DH53" i="13"/>
  <c r="DH49" i="13"/>
  <c r="DH45" i="13"/>
  <c r="DH41" i="13"/>
  <c r="DH37" i="13"/>
  <c r="DH60" i="13"/>
  <c r="DH56" i="13"/>
  <c r="DH52" i="13"/>
  <c r="DH48" i="13"/>
  <c r="DH44" i="13"/>
  <c r="DH40" i="13"/>
  <c r="DH36" i="13"/>
  <c r="DH59" i="13"/>
  <c r="DH55" i="13"/>
  <c r="DH51" i="13"/>
  <c r="DH47" i="13"/>
  <c r="DH43" i="13"/>
  <c r="DH39" i="13"/>
  <c r="DH58" i="13"/>
  <c r="DH54" i="13"/>
  <c r="DH50" i="13"/>
  <c r="DH46" i="13"/>
  <c r="DH42" i="13"/>
  <c r="DH38" i="13"/>
  <c r="I65" i="13"/>
  <c r="Q18" i="13"/>
  <c r="S18" i="13" s="1"/>
  <c r="CV9" i="13"/>
  <c r="CY65" i="13"/>
  <c r="CV64" i="13"/>
  <c r="CV57" i="13"/>
  <c r="CV53" i="13"/>
  <c r="CV49" i="13"/>
  <c r="CV45" i="13"/>
  <c r="CV41" i="13"/>
  <c r="CV37" i="13"/>
  <c r="CV60" i="13"/>
  <c r="CV56" i="13"/>
  <c r="CV52" i="13"/>
  <c r="CV48" i="13"/>
  <c r="CV44" i="13"/>
  <c r="CV40" i="13"/>
  <c r="CV36" i="13"/>
  <c r="CV59" i="13"/>
  <c r="CV55" i="13"/>
  <c r="CV51" i="13"/>
  <c r="CV47" i="13"/>
  <c r="CV43" i="13"/>
  <c r="CV39" i="13"/>
  <c r="CV58" i="13"/>
  <c r="CV54" i="13"/>
  <c r="CV50" i="13"/>
  <c r="CV46" i="13"/>
  <c r="CV42" i="13"/>
  <c r="CV38" i="13"/>
  <c r="DL58" i="13"/>
  <c r="CH65" i="13"/>
  <c r="DL40" i="13"/>
  <c r="DL57" i="13"/>
  <c r="DF39" i="13"/>
  <c r="DR56" i="13"/>
  <c r="CZ52" i="13"/>
  <c r="DF37" i="13"/>
  <c r="BM14" i="13"/>
  <c r="BO14" i="13" s="1"/>
  <c r="DL47" i="13"/>
  <c r="EB53" i="13"/>
  <c r="EH53" i="13" s="1"/>
  <c r="DX53" i="13"/>
  <c r="DX45" i="13"/>
  <c r="EB45" i="13"/>
  <c r="EH45" i="13" s="1"/>
  <c r="DL48" i="13"/>
  <c r="DL36" i="13"/>
  <c r="DP36" i="13"/>
  <c r="CL65" i="13"/>
  <c r="DF48" i="13"/>
  <c r="DJ52" i="13"/>
  <c r="DF52" i="13"/>
  <c r="EB38" i="13"/>
  <c r="EH38" i="13" s="1"/>
  <c r="DX38" i="13"/>
  <c r="O65" i="13"/>
  <c r="BX95" i="13"/>
  <c r="CD65" i="13"/>
  <c r="DV58" i="13"/>
  <c r="DR58" i="13"/>
  <c r="BS20" i="13"/>
  <c r="BU20" i="13" s="1"/>
  <c r="DL44" i="13"/>
  <c r="DP44" i="13"/>
  <c r="BS12" i="13"/>
  <c r="BU12" i="13" s="1"/>
  <c r="BS16" i="13"/>
  <c r="BZ16" i="13" s="1"/>
  <c r="EB56" i="13"/>
  <c r="EH56" i="13" s="1"/>
  <c r="EH63" i="13" s="1"/>
  <c r="EJ63" i="13" s="1"/>
  <c r="DX56" i="13"/>
  <c r="EB49" i="13"/>
  <c r="EH49" i="13" s="1"/>
  <c r="DX49" i="13"/>
  <c r="DV47" i="13"/>
  <c r="DR47" i="13"/>
  <c r="DD50" i="13"/>
  <c r="CZ50" i="13"/>
  <c r="EB57" i="13"/>
  <c r="EH57" i="13" s="1"/>
  <c r="EH61" i="13" s="1"/>
  <c r="EJ61" i="13" s="1"/>
  <c r="DX57" i="13"/>
  <c r="EB55" i="13"/>
  <c r="EH55" i="13" s="1"/>
  <c r="EH62" i="13" s="1"/>
  <c r="EJ62" i="13" s="1"/>
  <c r="DX55" i="13"/>
  <c r="DV48" i="13"/>
  <c r="DR48" i="13"/>
  <c r="CD95" i="13"/>
  <c r="DV40" i="13"/>
  <c r="DR40" i="13"/>
  <c r="DF40" i="13"/>
  <c r="AG65" i="13"/>
  <c r="DL41" i="13"/>
  <c r="DP41" i="13"/>
  <c r="DL37" i="13"/>
  <c r="DP37" i="13"/>
  <c r="DL39" i="13"/>
  <c r="DP39" i="13"/>
  <c r="DF41" i="13"/>
  <c r="EH11" i="13"/>
  <c r="EJ11" i="13" s="1"/>
  <c r="ED11" i="13"/>
  <c r="EB43" i="13"/>
  <c r="EH43" i="13" s="1"/>
  <c r="DX43" i="13"/>
  <c r="EB51" i="13"/>
  <c r="EH51" i="13" s="1"/>
  <c r="DX51" i="13"/>
  <c r="EB42" i="13"/>
  <c r="EH42" i="13" s="1"/>
  <c r="DX42" i="13"/>
  <c r="DJ54" i="13"/>
  <c r="DF54" i="13"/>
  <c r="EB59" i="13"/>
  <c r="EH59" i="13" s="1"/>
  <c r="DX59" i="13"/>
  <c r="CQ95" i="15"/>
  <c r="CR95" i="15"/>
  <c r="CP77" i="15"/>
  <c r="CP58" i="15"/>
  <c r="CP42" i="15"/>
  <c r="CP59" i="15"/>
  <c r="CR65" i="15"/>
  <c r="CP56" i="15"/>
  <c r="CP48" i="15"/>
  <c r="CP40" i="15"/>
  <c r="CP57" i="15"/>
  <c r="CP39" i="15"/>
  <c r="CP55" i="15"/>
  <c r="CP41" i="15"/>
  <c r="CP93" i="15"/>
  <c r="CP89" i="15"/>
  <c r="CP85" i="15"/>
  <c r="CP87" i="15"/>
  <c r="CP90" i="15"/>
  <c r="CP82" i="15"/>
  <c r="CP92" i="15"/>
  <c r="CP88" i="15"/>
  <c r="CP84" i="15"/>
  <c r="CP91" i="15"/>
  <c r="CP83" i="15"/>
  <c r="CP94" i="15"/>
  <c r="CP86" i="15"/>
  <c r="CQ65" i="15"/>
  <c r="CP79" i="15"/>
  <c r="CP54" i="15"/>
  <c r="CP46" i="15"/>
  <c r="CP38" i="15"/>
  <c r="CP53" i="15"/>
  <c r="CP78" i="15"/>
  <c r="CP51" i="15"/>
  <c r="CP37" i="15"/>
  <c r="CP50" i="15"/>
  <c r="CP43" i="15"/>
  <c r="CP45" i="15"/>
  <c r="BI65" i="12"/>
  <c r="CP60" i="15"/>
  <c r="CP52" i="15"/>
  <c r="CP44" i="15"/>
  <c r="CP36" i="15"/>
  <c r="CP49" i="15"/>
  <c r="CP64" i="15"/>
  <c r="CP47" i="15"/>
  <c r="AI25" i="13"/>
  <c r="AK25" i="13" s="1"/>
  <c r="Y17" i="13"/>
  <c r="AC17" i="13"/>
  <c r="DX11" i="13"/>
  <c r="CV77" i="13"/>
  <c r="CV26" i="13"/>
  <c r="DC95" i="13"/>
  <c r="DF95" i="13"/>
  <c r="CP10" i="13"/>
  <c r="CP76" i="13"/>
  <c r="CP58" i="13"/>
  <c r="CJ46" i="13"/>
  <c r="CV22" i="13"/>
  <c r="CV18" i="13"/>
  <c r="CP59" i="13"/>
  <c r="CP38" i="13"/>
  <c r="DE65" i="13"/>
  <c r="DB18" i="13"/>
  <c r="DB21" i="13"/>
  <c r="CP48" i="13"/>
  <c r="CT65" i="13"/>
  <c r="CP40" i="13"/>
  <c r="CV25" i="13"/>
  <c r="CV17" i="13"/>
  <c r="CV16" i="13"/>
  <c r="CV21" i="13"/>
  <c r="CP49" i="13"/>
  <c r="DB12" i="13"/>
  <c r="CP52" i="13"/>
  <c r="CP64" i="13"/>
  <c r="CP46" i="13"/>
  <c r="CR65" i="13"/>
  <c r="CP60" i="13"/>
  <c r="CP54" i="13"/>
  <c r="CP51" i="13"/>
  <c r="CP55" i="13"/>
  <c r="DH16" i="13"/>
  <c r="DD95" i="13"/>
  <c r="DB78" i="13"/>
  <c r="AE7" i="13"/>
  <c r="AI7" i="13"/>
  <c r="DF60" i="13"/>
  <c r="CM95" i="13"/>
  <c r="CK95" i="13"/>
  <c r="CJ79" i="13"/>
  <c r="CL95" i="13"/>
  <c r="CJ77" i="13"/>
  <c r="CN95" i="13"/>
  <c r="BB66" i="13"/>
  <c r="CJ50" i="13"/>
  <c r="CJ42" i="13"/>
  <c r="CN65" i="13"/>
  <c r="BM24" i="13"/>
  <c r="BI24" i="13"/>
  <c r="W19" i="13"/>
  <c r="Y19" i="13" s="1"/>
  <c r="S19" i="13"/>
  <c r="BG25" i="13"/>
  <c r="BC25" i="13"/>
  <c r="DH18" i="13"/>
  <c r="AA65" i="13"/>
  <c r="DB94" i="13"/>
  <c r="DB92" i="13"/>
  <c r="DB90" i="13"/>
  <c r="DB88" i="13"/>
  <c r="DB86" i="13"/>
  <c r="DB84" i="13"/>
  <c r="DB82" i="13"/>
  <c r="DB93" i="13"/>
  <c r="DB91" i="13"/>
  <c r="DB89" i="13"/>
  <c r="DB87" i="13"/>
  <c r="DB85" i="13"/>
  <c r="DB83" i="13"/>
  <c r="DB27" i="13"/>
  <c r="DB23" i="13"/>
  <c r="DB22" i="13"/>
  <c r="DB20" i="13"/>
  <c r="DB16" i="13"/>
  <c r="DB13" i="13"/>
  <c r="DB9" i="13"/>
  <c r="DB7" i="13"/>
  <c r="DB6" i="13"/>
  <c r="DB26" i="13"/>
  <c r="DB25" i="13"/>
  <c r="DB8" i="13"/>
  <c r="DB19" i="13"/>
  <c r="CZ37" i="13"/>
  <c r="DH22" i="13"/>
  <c r="DH14" i="13"/>
  <c r="CP94" i="13"/>
  <c r="CP92" i="13"/>
  <c r="CP90" i="13"/>
  <c r="CP88" i="13"/>
  <c r="CP86" i="13"/>
  <c r="CP84" i="13"/>
  <c r="CP82" i="13"/>
  <c r="CP93" i="13"/>
  <c r="CP91" i="13"/>
  <c r="CP89" i="13"/>
  <c r="CP87" i="13"/>
  <c r="CP85" i="13"/>
  <c r="CP83" i="13"/>
  <c r="CQ27" i="13"/>
  <c r="CS27" i="13"/>
  <c r="CP27" i="13"/>
  <c r="CP26" i="13"/>
  <c r="CP20" i="13"/>
  <c r="CP25" i="13"/>
  <c r="CP22" i="13"/>
  <c r="CP23" i="13"/>
  <c r="CP14" i="13"/>
  <c r="CP13" i="13"/>
  <c r="CP9" i="13"/>
  <c r="CP6" i="13"/>
  <c r="CP16" i="13"/>
  <c r="CP19" i="13"/>
  <c r="CP12" i="13"/>
  <c r="DB10" i="13"/>
  <c r="BS11" i="13"/>
  <c r="BU11" i="13" s="1"/>
  <c r="BO11" i="13"/>
  <c r="BG9" i="13"/>
  <c r="BC9" i="13"/>
  <c r="BM7" i="13"/>
  <c r="BI7" i="13"/>
  <c r="Q16" i="13"/>
  <c r="M16" i="13"/>
  <c r="DH93" i="13"/>
  <c r="DH91" i="13"/>
  <c r="DH89" i="13"/>
  <c r="DH87" i="13"/>
  <c r="DH85" i="13"/>
  <c r="DH83" i="13"/>
  <c r="DH94" i="13"/>
  <c r="DH92" i="13"/>
  <c r="DH90" i="13"/>
  <c r="DH88" i="13"/>
  <c r="DH86" i="13"/>
  <c r="DH84" i="13"/>
  <c r="DH82" i="13"/>
  <c r="DH24" i="13"/>
  <c r="DH20" i="13"/>
  <c r="DH27" i="13"/>
  <c r="DH12" i="13"/>
  <c r="DH10" i="13"/>
  <c r="DH19" i="13"/>
  <c r="DH9" i="13"/>
  <c r="DH7" i="13"/>
  <c r="CJ54" i="13"/>
  <c r="CJ59" i="13"/>
  <c r="CJ52" i="13"/>
  <c r="CJ40" i="13"/>
  <c r="CJ38" i="13"/>
  <c r="DH26" i="13"/>
  <c r="S10" i="13"/>
  <c r="W10" i="13"/>
  <c r="DE27" i="13"/>
  <c r="DF36" i="13"/>
  <c r="DH17" i="13"/>
  <c r="Y14" i="13"/>
  <c r="AC14" i="13"/>
  <c r="Y12" i="13"/>
  <c r="AC12" i="13"/>
  <c r="AE24" i="13"/>
  <c r="AI24" i="13"/>
  <c r="AK24" i="13" s="1"/>
  <c r="CJ57" i="13"/>
  <c r="CJ55" i="13"/>
  <c r="CK65" i="13"/>
  <c r="CJ56" i="13"/>
  <c r="CM65" i="13"/>
  <c r="CJ53" i="13"/>
  <c r="CJ43" i="13"/>
  <c r="CJ49" i="13"/>
  <c r="CJ47" i="13"/>
  <c r="CJ44" i="13"/>
  <c r="CJ48" i="13"/>
  <c r="CJ39" i="13"/>
  <c r="CJ37" i="13"/>
  <c r="CJ41" i="13"/>
  <c r="CJ51" i="13"/>
  <c r="DH6" i="13"/>
  <c r="CJ78" i="13"/>
  <c r="CY95" i="13"/>
  <c r="CW95" i="13"/>
  <c r="CX95" i="13"/>
  <c r="CV76" i="13"/>
  <c r="CV78" i="13"/>
  <c r="CZ95" i="13"/>
  <c r="CJ58" i="13"/>
  <c r="CJ60" i="13"/>
  <c r="DK65" i="13"/>
  <c r="CQ95" i="13"/>
  <c r="CS95" i="13"/>
  <c r="CP79" i="13"/>
  <c r="CT95" i="13"/>
  <c r="CR95" i="13"/>
  <c r="CP77" i="13"/>
  <c r="DK95" i="13"/>
  <c r="DI95" i="13"/>
  <c r="DJ95" i="13"/>
  <c r="DH79" i="13"/>
  <c r="DL95" i="13"/>
  <c r="DH77" i="13"/>
  <c r="BX65" i="13"/>
  <c r="CX65" i="13"/>
  <c r="BE65" i="13"/>
  <c r="CJ36" i="13"/>
  <c r="CQ65" i="13"/>
  <c r="CP57" i="13"/>
  <c r="CS65" i="13"/>
  <c r="CP56" i="13"/>
  <c r="CP53" i="13"/>
  <c r="CP43" i="13"/>
  <c r="CP42" i="13"/>
  <c r="CP47" i="13"/>
  <c r="CP44" i="13"/>
  <c r="CP50" i="13"/>
  <c r="CP45" i="13"/>
  <c r="CP39" i="13"/>
  <c r="CP37" i="13"/>
  <c r="CP41" i="13"/>
  <c r="DB24" i="13"/>
  <c r="CP18" i="13"/>
  <c r="CJ45" i="13"/>
  <c r="DH25" i="13"/>
  <c r="DH23" i="13"/>
  <c r="AI23" i="13"/>
  <c r="AE23" i="13"/>
  <c r="BS18" i="13"/>
  <c r="BU18" i="13" s="1"/>
  <c r="BO18" i="13"/>
  <c r="DB17" i="13"/>
  <c r="Y9" i="13"/>
  <c r="AC9" i="13"/>
  <c r="DC27" i="13"/>
  <c r="DI27" i="13"/>
  <c r="CZ41" i="13"/>
  <c r="DB14" i="13"/>
  <c r="DH13" i="13"/>
  <c r="AC11" i="13"/>
  <c r="Y11" i="13"/>
  <c r="BS10" i="13"/>
  <c r="BG6" i="13"/>
  <c r="BC6" i="13"/>
  <c r="DH21" i="13"/>
  <c r="DB11" i="13"/>
  <c r="DH11" i="13"/>
  <c r="BO21" i="13"/>
  <c r="BS21" i="13"/>
  <c r="BU21" i="13" s="1"/>
  <c r="DH8" i="13"/>
  <c r="CP11" i="13"/>
  <c r="CV93" i="13"/>
  <c r="CV91" i="13"/>
  <c r="CV89" i="13"/>
  <c r="CV87" i="13"/>
  <c r="CV85" i="13"/>
  <c r="CV83" i="13"/>
  <c r="CV94" i="13"/>
  <c r="CV92" i="13"/>
  <c r="CV90" i="13"/>
  <c r="CV88" i="13"/>
  <c r="CV86" i="13"/>
  <c r="CV84" i="13"/>
  <c r="CV82" i="13"/>
  <c r="CY27" i="13"/>
  <c r="CW27" i="13"/>
  <c r="CV27" i="13"/>
  <c r="CV20" i="13"/>
  <c r="CV24" i="13"/>
  <c r="CV7" i="13"/>
  <c r="CV12" i="13"/>
  <c r="CV19" i="13"/>
  <c r="CV10" i="13"/>
  <c r="CP8" i="15"/>
  <c r="CP7" i="15"/>
  <c r="CP20" i="15"/>
  <c r="CP18" i="15"/>
  <c r="CP17" i="15"/>
  <c r="CP9" i="15"/>
  <c r="CP25" i="15"/>
  <c r="CP26" i="15"/>
  <c r="CP16" i="15"/>
  <c r="CR27" i="15"/>
  <c r="CP21" i="15"/>
  <c r="CP24" i="15"/>
  <c r="CP11" i="15"/>
  <c r="CP23" i="15"/>
  <c r="CP19" i="15"/>
  <c r="CP10" i="15"/>
  <c r="CP14" i="15"/>
  <c r="CP12" i="15"/>
  <c r="CP22" i="15"/>
  <c r="CP13" i="15"/>
  <c r="CP27" i="15"/>
  <c r="CS27" i="15"/>
  <c r="CX28" i="15" s="1"/>
  <c r="CQ27" i="15"/>
  <c r="CP6" i="15"/>
  <c r="CR66" i="15" l="1"/>
  <c r="CR96" i="15"/>
  <c r="BU16" i="13"/>
  <c r="DL46" i="13"/>
  <c r="M27" i="13"/>
  <c r="AC13" i="13"/>
  <c r="AE13" i="13" s="1"/>
  <c r="W18" i="13"/>
  <c r="Q27" i="13"/>
  <c r="EB78" i="13"/>
  <c r="DX78" i="13"/>
  <c r="DV76" i="13"/>
  <c r="DR76" i="13"/>
  <c r="DP95" i="13"/>
  <c r="DV46" i="13"/>
  <c r="DR46" i="13"/>
  <c r="BS14" i="13"/>
  <c r="BZ14" i="13" s="1"/>
  <c r="CV65" i="13"/>
  <c r="DB65" i="13"/>
  <c r="EB77" i="13"/>
  <c r="DX77" i="13"/>
  <c r="DV79" i="13"/>
  <c r="DR79" i="13"/>
  <c r="BZ12" i="13"/>
  <c r="CB12" i="13" s="1"/>
  <c r="DL60" i="13"/>
  <c r="DP60" i="13"/>
  <c r="DP54" i="13"/>
  <c r="DL54" i="13"/>
  <c r="EJ51" i="13"/>
  <c r="ED51" i="13"/>
  <c r="DV37" i="13"/>
  <c r="DR37" i="13"/>
  <c r="EJ55" i="13"/>
  <c r="ED55" i="13"/>
  <c r="DJ50" i="13"/>
  <c r="DF50" i="13"/>
  <c r="DF65" i="13" s="1"/>
  <c r="EJ49" i="13"/>
  <c r="ED49" i="13"/>
  <c r="DP52" i="13"/>
  <c r="DL52" i="13"/>
  <c r="DD65" i="13"/>
  <c r="DV44" i="13"/>
  <c r="DR44" i="13"/>
  <c r="EB58" i="13"/>
  <c r="EH58" i="13" s="1"/>
  <c r="DX58" i="13"/>
  <c r="EJ53" i="13"/>
  <c r="ED53" i="13"/>
  <c r="EJ59" i="13"/>
  <c r="ED59" i="13"/>
  <c r="EJ42" i="13"/>
  <c r="ED42" i="13"/>
  <c r="EJ43" i="13"/>
  <c r="ED43" i="13"/>
  <c r="DV39" i="13"/>
  <c r="DR39" i="13"/>
  <c r="DV41" i="13"/>
  <c r="DR41" i="13"/>
  <c r="EB48" i="13"/>
  <c r="EH48" i="13" s="1"/>
  <c r="DX48" i="13"/>
  <c r="EJ57" i="13"/>
  <c r="ED57" i="13"/>
  <c r="EB47" i="13"/>
  <c r="EH47" i="13" s="1"/>
  <c r="DX47" i="13"/>
  <c r="EJ56" i="13"/>
  <c r="ED56" i="13"/>
  <c r="EJ38" i="13"/>
  <c r="ED38" i="13"/>
  <c r="EJ45" i="13"/>
  <c r="ED45" i="13"/>
  <c r="EB40" i="13"/>
  <c r="EH40" i="13" s="1"/>
  <c r="DX40" i="13"/>
  <c r="DV36" i="13"/>
  <c r="DR36" i="13"/>
  <c r="CP95" i="15"/>
  <c r="CR28" i="15"/>
  <c r="CP65" i="15"/>
  <c r="AE17" i="13"/>
  <c r="AI17" i="13"/>
  <c r="DB95" i="13"/>
  <c r="DH95" i="13"/>
  <c r="CP65" i="13"/>
  <c r="CP95" i="13"/>
  <c r="CZ65" i="13"/>
  <c r="CJ95" i="13"/>
  <c r="BZ10" i="13"/>
  <c r="BU10" i="13"/>
  <c r="CV95" i="13"/>
  <c r="AE9" i="13"/>
  <c r="AI9" i="13"/>
  <c r="AK9" i="13" s="1"/>
  <c r="DH65" i="13"/>
  <c r="BS7" i="13"/>
  <c r="BO7" i="13"/>
  <c r="BM9" i="13"/>
  <c r="BI9" i="13"/>
  <c r="AC18" i="13"/>
  <c r="AE18" i="13" s="1"/>
  <c r="Y18" i="13"/>
  <c r="BM25" i="13"/>
  <c r="BI25" i="13"/>
  <c r="BO24" i="13"/>
  <c r="BS24" i="13"/>
  <c r="AI12" i="13"/>
  <c r="AK12" i="13" s="1"/>
  <c r="AE12" i="13"/>
  <c r="CB16" i="13"/>
  <c r="CF16" i="13"/>
  <c r="BM6" i="13"/>
  <c r="BI6" i="13"/>
  <c r="AI14" i="13"/>
  <c r="AK14" i="13" s="1"/>
  <c r="AE14" i="13"/>
  <c r="AK7" i="13"/>
  <c r="CJ65" i="13"/>
  <c r="AI11" i="13"/>
  <c r="AK11" i="13" s="1"/>
  <c r="AE11" i="13"/>
  <c r="AK23" i="13"/>
  <c r="AO23" i="13"/>
  <c r="Y10" i="13"/>
  <c r="AC10" i="13"/>
  <c r="S16" i="13"/>
  <c r="S27" i="13" s="1"/>
  <c r="W16" i="13"/>
  <c r="W27" i="13" s="1"/>
  <c r="CF12" i="13"/>
  <c r="ED78" i="13" l="1"/>
  <c r="EH78" i="13"/>
  <c r="EJ78" i="13" s="1"/>
  <c r="AI13" i="13"/>
  <c r="ED77" i="13"/>
  <c r="EH77" i="13"/>
  <c r="DR95" i="13"/>
  <c r="BU14" i="13"/>
  <c r="EB76" i="13"/>
  <c r="DX76" i="13"/>
  <c r="DV95" i="13"/>
  <c r="EB46" i="13"/>
  <c r="EH46" i="13" s="1"/>
  <c r="DX46" i="13"/>
  <c r="EB79" i="13"/>
  <c r="EH79" i="13" s="1"/>
  <c r="EJ79" i="13" s="1"/>
  <c r="DX79" i="13"/>
  <c r="EB41" i="13"/>
  <c r="EH41" i="13" s="1"/>
  <c r="DX41" i="13"/>
  <c r="EJ58" i="13"/>
  <c r="ED58" i="13"/>
  <c r="DV52" i="13"/>
  <c r="DR52" i="13"/>
  <c r="DP50" i="13"/>
  <c r="DL50" i="13"/>
  <c r="DL65" i="13" s="1"/>
  <c r="DJ65" i="13"/>
  <c r="EB37" i="13"/>
  <c r="EH37" i="13" s="1"/>
  <c r="DX37" i="13"/>
  <c r="DV54" i="13"/>
  <c r="DR54" i="13"/>
  <c r="EJ40" i="13"/>
  <c r="ED40" i="13"/>
  <c r="EJ47" i="13"/>
  <c r="ED47" i="13"/>
  <c r="EJ48" i="13"/>
  <c r="ED48" i="13"/>
  <c r="EB39" i="13"/>
  <c r="EH39" i="13" s="1"/>
  <c r="DX39" i="13"/>
  <c r="EB44" i="13"/>
  <c r="EH44" i="13" s="1"/>
  <c r="DX44" i="13"/>
  <c r="DV60" i="13"/>
  <c r="DR60" i="13"/>
  <c r="EB36" i="13"/>
  <c r="EH36" i="13" s="1"/>
  <c r="DX36" i="13"/>
  <c r="AO17" i="13"/>
  <c r="AK17" i="13"/>
  <c r="AU23" i="13"/>
  <c r="AQ23" i="13"/>
  <c r="CL16" i="13"/>
  <c r="CH16" i="13"/>
  <c r="CF10" i="13"/>
  <c r="CB10" i="13"/>
  <c r="CF14" i="13"/>
  <c r="CB14" i="13"/>
  <c r="BS25" i="13"/>
  <c r="BO25" i="13"/>
  <c r="BU7" i="13"/>
  <c r="BZ7" i="13"/>
  <c r="CH12" i="13"/>
  <c r="CL12" i="13"/>
  <c r="AI10" i="13"/>
  <c r="AE10" i="13"/>
  <c r="AO13" i="13"/>
  <c r="AK13" i="13"/>
  <c r="BO6" i="13"/>
  <c r="BS6" i="13"/>
  <c r="BZ24" i="13"/>
  <c r="BU24" i="13"/>
  <c r="AC16" i="13"/>
  <c r="AC27" i="13" s="1"/>
  <c r="Y16" i="13"/>
  <c r="Y27" i="13" s="1"/>
  <c r="BO9" i="13"/>
  <c r="BS9" i="13"/>
  <c r="EJ77" i="13" l="1"/>
  <c r="EB80" i="13"/>
  <c r="ED79" i="13"/>
  <c r="DX95" i="13"/>
  <c r="ED76" i="13"/>
  <c r="EB95" i="13"/>
  <c r="EJ46" i="13"/>
  <c r="ED46" i="13"/>
  <c r="DV50" i="13"/>
  <c r="DR50" i="13"/>
  <c r="DR65" i="13" s="1"/>
  <c r="DP65" i="13"/>
  <c r="ED36" i="13"/>
  <c r="EJ44" i="13"/>
  <c r="ED44" i="13"/>
  <c r="EJ37" i="13"/>
  <c r="ED37" i="13"/>
  <c r="EB52" i="13"/>
  <c r="EH52" i="13" s="1"/>
  <c r="DX52" i="13"/>
  <c r="EB60" i="13"/>
  <c r="EH60" i="13" s="1"/>
  <c r="DX60" i="13"/>
  <c r="EJ39" i="13"/>
  <c r="ED39" i="13"/>
  <c r="EB54" i="13"/>
  <c r="EH54" i="13" s="1"/>
  <c r="DX54" i="13"/>
  <c r="EJ41" i="13"/>
  <c r="ED41" i="13"/>
  <c r="AQ17" i="13"/>
  <c r="AU17" i="13"/>
  <c r="BU25" i="13"/>
  <c r="BZ25" i="13"/>
  <c r="CB7" i="13"/>
  <c r="CF7" i="13"/>
  <c r="CH10" i="13"/>
  <c r="CL10" i="13"/>
  <c r="CL26" i="13"/>
  <c r="CR16" i="13"/>
  <c r="CN16" i="13"/>
  <c r="BU9" i="13"/>
  <c r="BZ9" i="13"/>
  <c r="AI16" i="13"/>
  <c r="AK16" i="13" s="1"/>
  <c r="AE16" i="13"/>
  <c r="AE27" i="13" s="1"/>
  <c r="CF24" i="13"/>
  <c r="CB24" i="13"/>
  <c r="AK10" i="13"/>
  <c r="AK27" i="13" s="1"/>
  <c r="CH14" i="13"/>
  <c r="CL14" i="13"/>
  <c r="BU6" i="13"/>
  <c r="BZ6" i="13"/>
  <c r="AO27" i="13"/>
  <c r="AQ13" i="13"/>
  <c r="AU13" i="13"/>
  <c r="CR12" i="13"/>
  <c r="CN12" i="13"/>
  <c r="BA23" i="13"/>
  <c r="AW23" i="13"/>
  <c r="ED80" i="13" l="1"/>
  <c r="ED95" i="13" s="1"/>
  <c r="EH80" i="13"/>
  <c r="EJ54" i="13"/>
  <c r="ED54" i="13"/>
  <c r="EJ60" i="13"/>
  <c r="ED60" i="13"/>
  <c r="EB50" i="13"/>
  <c r="EH50" i="13" s="1"/>
  <c r="DX50" i="13"/>
  <c r="DX65" i="13" s="1"/>
  <c r="DV65" i="13"/>
  <c r="AQ27" i="13"/>
  <c r="EJ36" i="13"/>
  <c r="EJ52" i="13"/>
  <c r="ED52" i="13"/>
  <c r="AW17" i="13"/>
  <c r="BA17" i="13"/>
  <c r="BG23" i="13"/>
  <c r="BC23" i="13"/>
  <c r="CL24" i="13"/>
  <c r="CH24" i="13"/>
  <c r="CR10" i="13"/>
  <c r="CN10" i="13"/>
  <c r="AI27" i="13"/>
  <c r="CF25" i="13"/>
  <c r="CB25" i="13"/>
  <c r="CX12" i="13"/>
  <c r="CT12" i="13"/>
  <c r="CF6" i="13"/>
  <c r="CB6" i="13"/>
  <c r="CX16" i="13"/>
  <c r="CT16" i="13"/>
  <c r="CL7" i="13"/>
  <c r="CH7" i="13"/>
  <c r="AW13" i="13"/>
  <c r="BA13" i="13"/>
  <c r="AU27" i="13"/>
  <c r="CR14" i="13"/>
  <c r="CN14" i="13"/>
  <c r="CF9" i="13"/>
  <c r="CB9" i="13"/>
  <c r="CR26" i="13"/>
  <c r="CN26" i="13"/>
  <c r="EJ80" i="13" l="1"/>
  <c r="EJ95" i="13" s="1"/>
  <c r="EH95" i="13"/>
  <c r="ED50" i="13"/>
  <c r="ED65" i="13" s="1"/>
  <c r="EB65" i="13"/>
  <c r="AW27" i="13"/>
  <c r="BC17" i="13"/>
  <c r="BG17" i="13"/>
  <c r="CR7" i="13"/>
  <c r="CT7" i="13" s="1"/>
  <c r="CN7" i="13"/>
  <c r="CL6" i="13"/>
  <c r="CH6" i="13"/>
  <c r="CR24" i="13"/>
  <c r="CN24" i="13"/>
  <c r="CL9" i="13"/>
  <c r="CH9" i="13"/>
  <c r="BG13" i="13"/>
  <c r="BC13" i="13"/>
  <c r="BA27" i="13"/>
  <c r="DD16" i="13"/>
  <c r="CZ16" i="13"/>
  <c r="CX10" i="13"/>
  <c r="CT10" i="13"/>
  <c r="CL25" i="13"/>
  <c r="CH25" i="13"/>
  <c r="CX26" i="13"/>
  <c r="CT26" i="13"/>
  <c r="CX14" i="13"/>
  <c r="CT14" i="13"/>
  <c r="DD12" i="13"/>
  <c r="CZ12" i="13"/>
  <c r="BI23" i="13"/>
  <c r="BM23" i="13"/>
  <c r="EJ50" i="13" l="1"/>
  <c r="EJ65" i="13" s="1"/>
  <c r="EH65" i="13"/>
  <c r="BC27" i="13"/>
  <c r="BM17" i="13"/>
  <c r="BI17" i="13"/>
  <c r="BM13" i="13"/>
  <c r="BI13" i="13"/>
  <c r="BG27" i="13"/>
  <c r="CX24" i="13"/>
  <c r="CT24" i="13"/>
  <c r="DD14" i="13"/>
  <c r="CZ14" i="13"/>
  <c r="CR25" i="13"/>
  <c r="CN25" i="13"/>
  <c r="DJ16" i="13"/>
  <c r="DF16" i="13"/>
  <c r="DF12" i="13"/>
  <c r="DJ12" i="13"/>
  <c r="CR9" i="13"/>
  <c r="CN9" i="13"/>
  <c r="CN6" i="13"/>
  <c r="CR6" i="13"/>
  <c r="BS23" i="13"/>
  <c r="BO23" i="13"/>
  <c r="DD26" i="13"/>
  <c r="CZ26" i="13"/>
  <c r="DD10" i="13"/>
  <c r="CZ10" i="13"/>
  <c r="DL12" i="13" l="1"/>
  <c r="DP12" i="13"/>
  <c r="BS17" i="13"/>
  <c r="BU17" i="13" s="1"/>
  <c r="BO17" i="13"/>
  <c r="DL16" i="13"/>
  <c r="DP16" i="13"/>
  <c r="BI27" i="13"/>
  <c r="DJ10" i="13"/>
  <c r="DF10" i="13"/>
  <c r="CX25" i="13"/>
  <c r="CT25" i="13"/>
  <c r="CR22" i="13"/>
  <c r="DD24" i="13"/>
  <c r="CZ24" i="13"/>
  <c r="CX6" i="13"/>
  <c r="CT6" i="13"/>
  <c r="CX9" i="13"/>
  <c r="CT9" i="13"/>
  <c r="DF14" i="13"/>
  <c r="DJ14" i="13"/>
  <c r="BZ23" i="13"/>
  <c r="BU23" i="13"/>
  <c r="DJ26" i="13"/>
  <c r="DF26" i="13"/>
  <c r="BO13" i="13"/>
  <c r="BS13" i="13"/>
  <c r="BM27" i="13"/>
  <c r="DL10" i="13" l="1"/>
  <c r="DP10" i="13"/>
  <c r="DL26" i="13"/>
  <c r="DP26" i="13"/>
  <c r="DR16" i="13"/>
  <c r="DR12" i="13"/>
  <c r="DL14" i="13"/>
  <c r="DP14" i="13"/>
  <c r="BO27" i="13"/>
  <c r="CF23" i="13"/>
  <c r="CB23" i="13"/>
  <c r="CB29" i="13" s="1"/>
  <c r="CZ9" i="13"/>
  <c r="DD9" i="13"/>
  <c r="DD25" i="13"/>
  <c r="CZ25" i="13"/>
  <c r="CZ6" i="13"/>
  <c r="DD6" i="13"/>
  <c r="DF24" i="13"/>
  <c r="DJ24" i="13"/>
  <c r="BU13" i="13"/>
  <c r="BU27" i="13" s="1"/>
  <c r="BZ13" i="13"/>
  <c r="BS27" i="13"/>
  <c r="CX22" i="13"/>
  <c r="CT22" i="13"/>
  <c r="EJ16" i="13" l="1"/>
  <c r="ED16" i="13"/>
  <c r="EJ12" i="13"/>
  <c r="ED12" i="13"/>
  <c r="DX12" i="13"/>
  <c r="DR14" i="13"/>
  <c r="DR26" i="13"/>
  <c r="DL24" i="13"/>
  <c r="DP24" i="13"/>
  <c r="DX16" i="13"/>
  <c r="DR10" i="13"/>
  <c r="DD22" i="13"/>
  <c r="CZ22" i="13"/>
  <c r="DJ6" i="13"/>
  <c r="DF6" i="13"/>
  <c r="DJ9" i="13"/>
  <c r="DF9" i="13"/>
  <c r="DD8" i="13"/>
  <c r="CF13" i="13"/>
  <c r="CB13" i="13"/>
  <c r="CB27" i="13" s="1"/>
  <c r="BZ27" i="13"/>
  <c r="DJ25" i="13"/>
  <c r="DF25" i="13"/>
  <c r="CH23" i="13"/>
  <c r="CL23" i="13"/>
  <c r="EJ18" i="13" l="1"/>
  <c r="EJ14" i="13"/>
  <c r="ED14" i="13"/>
  <c r="EJ26" i="13"/>
  <c r="ED26" i="13"/>
  <c r="EJ10" i="13"/>
  <c r="ED10" i="13"/>
  <c r="DL9" i="13"/>
  <c r="DP9" i="13"/>
  <c r="DX14" i="13"/>
  <c r="DX26" i="13"/>
  <c r="DL25" i="13"/>
  <c r="DP25" i="13"/>
  <c r="DX10" i="13"/>
  <c r="DR24" i="13"/>
  <c r="CR23" i="13"/>
  <c r="CN23" i="13"/>
  <c r="DL6" i="13"/>
  <c r="CL13" i="13"/>
  <c r="CH13" i="13"/>
  <c r="CH27" i="13" s="1"/>
  <c r="CF27" i="13"/>
  <c r="DJ8" i="13"/>
  <c r="DF8" i="13"/>
  <c r="DJ22" i="13"/>
  <c r="DF22" i="13"/>
  <c r="ED24" i="13" l="1"/>
  <c r="EJ15" i="13"/>
  <c r="ED15" i="13"/>
  <c r="DL8" i="13"/>
  <c r="DP8" i="13"/>
  <c r="DX24" i="13"/>
  <c r="DR25" i="13"/>
  <c r="DL22" i="13"/>
  <c r="DP22" i="13"/>
  <c r="DR9" i="13"/>
  <c r="CR13" i="13"/>
  <c r="CN13" i="13"/>
  <c r="CN27" i="13" s="1"/>
  <c r="CL27" i="13"/>
  <c r="CX23" i="13"/>
  <c r="CT23" i="13"/>
  <c r="EJ25" i="13" l="1"/>
  <c r="ED25" i="13"/>
  <c r="EJ9" i="13"/>
  <c r="ED9" i="13"/>
  <c r="DR22" i="13"/>
  <c r="DX9" i="13"/>
  <c r="DX25" i="13"/>
  <c r="DR8" i="13"/>
  <c r="CX13" i="13"/>
  <c r="CT13" i="13"/>
  <c r="CT27" i="13" s="1"/>
  <c r="CR27" i="13"/>
  <c r="CZ23" i="13"/>
  <c r="DD23" i="13"/>
  <c r="EJ22" i="13" l="1"/>
  <c r="ED22" i="13"/>
  <c r="ED8" i="13"/>
  <c r="DX8" i="13"/>
  <c r="DX22" i="13"/>
  <c r="DJ23" i="13"/>
  <c r="DF23" i="13"/>
  <c r="CZ13" i="13"/>
  <c r="CZ27" i="13" s="1"/>
  <c r="DD13" i="13"/>
  <c r="CX27" i="13"/>
  <c r="EJ8" i="13" l="1"/>
  <c r="DL23" i="13"/>
  <c r="DP23" i="13"/>
  <c r="DJ13" i="13"/>
  <c r="DP13" i="13" s="1"/>
  <c r="DF13" i="13"/>
  <c r="DF27" i="13" s="1"/>
  <c r="DD27" i="13"/>
  <c r="DR23" i="13" l="1"/>
  <c r="DR13" i="13"/>
  <c r="DP27" i="13"/>
  <c r="DL13" i="13"/>
  <c r="DL27" i="13" s="1"/>
  <c r="DJ27" i="13"/>
  <c r="EJ23" i="13" l="1"/>
  <c r="ED23" i="13"/>
  <c r="ED13" i="13"/>
  <c r="EB27" i="13"/>
  <c r="EH28" i="13" s="1"/>
  <c r="DR27" i="13"/>
  <c r="DX23" i="13"/>
  <c r="DX13" i="13"/>
  <c r="DV27" i="13"/>
  <c r="DX27" i="13" l="1"/>
  <c r="ED27" i="13"/>
  <c r="EJ28" i="13" s="1"/>
  <c r="EJ13" i="13"/>
  <c r="I13" i="7"/>
  <c r="I125" i="7"/>
  <c r="I118" i="7" l="1"/>
  <c r="I6" i="7"/>
  <c r="CL64" i="15" l="1"/>
  <c r="CL60" i="15"/>
  <c r="CN60" i="15" s="1"/>
  <c r="CL59" i="15"/>
  <c r="CN59" i="15" s="1"/>
  <c r="CL58" i="15"/>
  <c r="CN58" i="15" s="1"/>
  <c r="CL57" i="15"/>
  <c r="CN57" i="15" s="1"/>
  <c r="CL56" i="15"/>
  <c r="CN56" i="15" s="1"/>
  <c r="CL55" i="15"/>
  <c r="CN55" i="15" s="1"/>
  <c r="CL54" i="15"/>
  <c r="CN54" i="15" s="1"/>
  <c r="CL53" i="15"/>
  <c r="CN53" i="15" s="1"/>
  <c r="CL52" i="15"/>
  <c r="CN52" i="15" s="1"/>
  <c r="CL51" i="15"/>
  <c r="CN51" i="15" s="1"/>
  <c r="CL50" i="15"/>
  <c r="CN50" i="15" s="1"/>
  <c r="CL49" i="15"/>
  <c r="CN49" i="15" s="1"/>
  <c r="CL48" i="15"/>
  <c r="CN48" i="15" s="1"/>
  <c r="CL47" i="15"/>
  <c r="CN47" i="15" s="1"/>
  <c r="CL46" i="15"/>
  <c r="CN46" i="15" s="1"/>
  <c r="CL45" i="15"/>
  <c r="CN45" i="15" s="1"/>
  <c r="CL44" i="15"/>
  <c r="CN44" i="15" s="1"/>
  <c r="CL43" i="15"/>
  <c r="CN43" i="15" s="1"/>
  <c r="CL42" i="15"/>
  <c r="CN42" i="15" s="1"/>
  <c r="CL41" i="15"/>
  <c r="CN41" i="15" s="1"/>
  <c r="CL40" i="15"/>
  <c r="CN40" i="15" s="1"/>
  <c r="CL39" i="15"/>
  <c r="CN39" i="15" s="1"/>
  <c r="CL38" i="15"/>
  <c r="CN38" i="15" s="1"/>
  <c r="CL37" i="15"/>
  <c r="CN37" i="15" s="1"/>
  <c r="CL36" i="15"/>
  <c r="CN36" i="15" s="1"/>
  <c r="CJ64" i="15"/>
  <c r="CJ60" i="15"/>
  <c r="CJ59" i="15"/>
  <c r="CJ58" i="15"/>
  <c r="CJ57" i="15"/>
  <c r="CJ56" i="15"/>
  <c r="CJ55" i="15"/>
  <c r="CJ54" i="15"/>
  <c r="CJ53" i="15"/>
  <c r="CJ52" i="15"/>
  <c r="CJ51" i="15"/>
  <c r="CJ50" i="15"/>
  <c r="CJ49" i="15"/>
  <c r="CJ48" i="15"/>
  <c r="CJ47" i="15"/>
  <c r="CJ46" i="15"/>
  <c r="CJ45" i="15"/>
  <c r="CJ44" i="15"/>
  <c r="CJ43" i="15"/>
  <c r="CJ42" i="15"/>
  <c r="CJ41" i="15"/>
  <c r="CJ40" i="15"/>
  <c r="CJ39" i="15"/>
  <c r="CJ38" i="15"/>
  <c r="CJ37" i="15"/>
  <c r="CJ36" i="15"/>
  <c r="CL26" i="15"/>
  <c r="CN26" i="15" s="1"/>
  <c r="CL25" i="15"/>
  <c r="CN25" i="15" s="1"/>
  <c r="CL24" i="15"/>
  <c r="CN24" i="15" s="1"/>
  <c r="CL23" i="15"/>
  <c r="CN23" i="15" s="1"/>
  <c r="CL22" i="15"/>
  <c r="CN22" i="15" s="1"/>
  <c r="CL21" i="15"/>
  <c r="CN21" i="15" s="1"/>
  <c r="CL20" i="15"/>
  <c r="CN20" i="15" s="1"/>
  <c r="CL19" i="15"/>
  <c r="CN19" i="15" s="1"/>
  <c r="CL18" i="15"/>
  <c r="CN18" i="15" s="1"/>
  <c r="CL17" i="15"/>
  <c r="CN17" i="15" s="1"/>
  <c r="CL16" i="15"/>
  <c r="CN16" i="15" s="1"/>
  <c r="CL14" i="15"/>
  <c r="CN14" i="15" s="1"/>
  <c r="CL13" i="15"/>
  <c r="CN13" i="15" s="1"/>
  <c r="CL12" i="15"/>
  <c r="CN12" i="15" s="1"/>
  <c r="CL11" i="15"/>
  <c r="CN11" i="15" s="1"/>
  <c r="CL10" i="15"/>
  <c r="CN10" i="15" s="1"/>
  <c r="CL9" i="15"/>
  <c r="CN9" i="15" s="1"/>
  <c r="CL8" i="15"/>
  <c r="CN8" i="15" s="1"/>
  <c r="CL7" i="15"/>
  <c r="CN7" i="15" s="1"/>
  <c r="CL6" i="15"/>
  <c r="CN6" i="15" s="1"/>
  <c r="CJ26" i="15"/>
  <c r="CJ25" i="15"/>
  <c r="CJ24" i="15"/>
  <c r="CJ23" i="15"/>
  <c r="CJ22" i="15"/>
  <c r="CJ21" i="15"/>
  <c r="CJ20" i="15"/>
  <c r="CJ19" i="15"/>
  <c r="CJ18" i="15"/>
  <c r="CJ17" i="15"/>
  <c r="CJ16" i="15"/>
  <c r="CJ14" i="15"/>
  <c r="CJ13" i="15"/>
  <c r="CJ12" i="15"/>
  <c r="CJ11" i="15"/>
  <c r="CJ10" i="15"/>
  <c r="CJ9" i="15"/>
  <c r="CJ8" i="15"/>
  <c r="CJ7" i="15"/>
  <c r="CJ6" i="15"/>
  <c r="CN94" i="15"/>
  <c r="CN93" i="15"/>
  <c r="CN92" i="15"/>
  <c r="CN91" i="15"/>
  <c r="CN90" i="15"/>
  <c r="CN89" i="15"/>
  <c r="CN88" i="15"/>
  <c r="CN87" i="15"/>
  <c r="CN86" i="15"/>
  <c r="CN85" i="15"/>
  <c r="CN84" i="15"/>
  <c r="CN83" i="15"/>
  <c r="CN82" i="15"/>
  <c r="CN79" i="15"/>
  <c r="CN78" i="15"/>
  <c r="CN77" i="15"/>
  <c r="CN76" i="15"/>
  <c r="CJ74" i="15"/>
  <c r="CN35" i="15"/>
  <c r="CN75" i="15" s="1"/>
  <c r="CJ34" i="15"/>
  <c r="CJ27" i="15" l="1"/>
  <c r="CJ65" i="15"/>
  <c r="CN65" i="15" s="1"/>
  <c r="CJ95" i="15"/>
  <c r="CK77" i="15" s="1"/>
  <c r="CN95" i="15" l="1"/>
  <c r="CK51" i="15"/>
  <c r="CK64" i="15"/>
  <c r="CK60" i="15"/>
  <c r="CK54" i="15"/>
  <c r="CK38" i="15"/>
  <c r="CK56" i="15"/>
  <c r="CK47" i="15"/>
  <c r="CK53" i="15"/>
  <c r="CK48" i="15"/>
  <c r="CK50" i="15"/>
  <c r="CK57" i="15"/>
  <c r="CK52" i="15"/>
  <c r="CK59" i="15"/>
  <c r="CK43" i="15"/>
  <c r="CK45" i="15"/>
  <c r="CK40" i="15"/>
  <c r="CK46" i="15"/>
  <c r="CK49" i="15"/>
  <c r="CK44" i="15"/>
  <c r="CK55" i="15"/>
  <c r="CK39" i="15"/>
  <c r="CK37" i="15"/>
  <c r="CK58" i="15"/>
  <c r="CK42" i="15"/>
  <c r="CK41" i="15"/>
  <c r="CK36" i="15"/>
  <c r="CK8" i="15"/>
  <c r="CK79" i="15"/>
  <c r="CK76" i="15"/>
  <c r="CK6" i="15"/>
  <c r="CK16" i="15"/>
  <c r="CK25" i="15"/>
  <c r="CK13" i="15"/>
  <c r="CK21" i="15"/>
  <c r="CK9" i="15"/>
  <c r="CK7" i="15"/>
  <c r="CK20" i="15"/>
  <c r="CK14" i="15"/>
  <c r="CK26" i="15"/>
  <c r="CL65" i="15"/>
  <c r="CK93" i="15"/>
  <c r="CK91" i="15"/>
  <c r="CK89" i="15"/>
  <c r="CK87" i="15"/>
  <c r="CK85" i="15"/>
  <c r="CK83" i="15"/>
  <c r="CM27" i="15"/>
  <c r="CK27" i="15"/>
  <c r="CK94" i="15"/>
  <c r="CK92" i="15"/>
  <c r="CK90" i="15"/>
  <c r="CK88" i="15"/>
  <c r="CK86" i="15"/>
  <c r="CK84" i="15"/>
  <c r="CK82" i="15"/>
  <c r="CK11" i="15"/>
  <c r="CK17" i="15"/>
  <c r="CK22" i="15"/>
  <c r="CN27" i="15"/>
  <c r="CL95" i="15"/>
  <c r="CM95" i="15"/>
  <c r="CM65" i="15"/>
  <c r="CK24" i="15"/>
  <c r="CL27" i="15"/>
  <c r="CK23" i="15"/>
  <c r="CK12" i="15"/>
  <c r="CK18" i="15"/>
  <c r="CK78" i="15"/>
  <c r="CK19" i="15"/>
  <c r="CK10" i="15"/>
  <c r="CK95" i="15" l="1"/>
  <c r="CK65" i="15"/>
  <c r="BG97" i="12" l="1"/>
  <c r="BE95" i="12"/>
  <c r="BG95" i="12" s="1"/>
  <c r="BE74" i="12"/>
  <c r="BE65" i="12"/>
  <c r="BE34" i="12"/>
  <c r="BE27" i="12"/>
  <c r="BF59" i="12" l="1"/>
  <c r="BF55" i="12"/>
  <c r="BF51" i="12"/>
  <c r="BF47" i="12"/>
  <c r="BF43" i="12"/>
  <c r="BF39" i="12"/>
  <c r="BF58" i="12"/>
  <c r="BF54" i="12"/>
  <c r="BF50" i="12"/>
  <c r="BF46" i="12"/>
  <c r="BF42" i="12"/>
  <c r="BF38" i="12"/>
  <c r="BF57" i="12"/>
  <c r="BF53" i="12"/>
  <c r="BF49" i="12"/>
  <c r="BF45" i="12"/>
  <c r="BF41" i="12"/>
  <c r="BF37" i="12"/>
  <c r="BF60" i="12"/>
  <c r="BF56" i="12"/>
  <c r="BF52" i="12"/>
  <c r="BF48" i="12"/>
  <c r="BF44" i="12"/>
  <c r="BF40" i="12"/>
  <c r="BF36" i="12"/>
  <c r="BF27" i="12"/>
  <c r="BF23" i="12"/>
  <c r="BF19" i="12"/>
  <c r="BF14" i="12"/>
  <c r="BF10" i="12"/>
  <c r="BF6" i="12"/>
  <c r="BF26" i="12"/>
  <c r="BF22" i="12"/>
  <c r="BF18" i="12"/>
  <c r="BF13" i="12"/>
  <c r="BF9" i="12"/>
  <c r="BF25" i="12"/>
  <c r="BF21" i="12"/>
  <c r="BF17" i="12"/>
  <c r="BF12" i="12"/>
  <c r="BF8" i="12"/>
  <c r="BF24" i="12"/>
  <c r="BF20" i="12"/>
  <c r="BF16" i="12"/>
  <c r="BF11" i="12"/>
  <c r="BF7" i="12"/>
  <c r="BG27" i="12"/>
  <c r="BG29" i="12"/>
  <c r="BG65" i="12"/>
  <c r="BG67" i="12"/>
  <c r="BF65" i="12" l="1"/>
  <c r="O132" i="7" l="1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R53" i="1" l="1"/>
  <c r="T39" i="1"/>
  <c r="U39" i="1" s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AE39" i="1" l="1"/>
  <c r="AC47" i="1"/>
  <c r="AF47" i="1"/>
  <c r="AE47" i="1"/>
  <c r="AC48" i="1"/>
  <c r="AE48" i="1"/>
  <c r="AF48" i="1"/>
  <c r="AF49" i="1"/>
  <c r="AE49" i="1"/>
  <c r="AC49" i="1"/>
  <c r="AF43" i="1"/>
  <c r="AE43" i="1"/>
  <c r="AC43" i="1"/>
  <c r="AC44" i="1"/>
  <c r="AF44" i="1"/>
  <c r="AE44" i="1"/>
  <c r="AE50" i="1"/>
  <c r="AF50" i="1"/>
  <c r="AC50" i="1"/>
  <c r="X39" i="1"/>
  <c r="W39" i="1"/>
  <c r="M39" i="1"/>
  <c r="L39" i="1"/>
  <c r="AF39" i="1" l="1"/>
  <c r="AC39" i="1"/>
  <c r="G14" i="1"/>
  <c r="F14" i="1"/>
  <c r="O7" i="7" l="1"/>
  <c r="AG7" i="7" s="1"/>
  <c r="K14" i="1" l="1"/>
  <c r="O28" i="7"/>
  <c r="AF14" i="1" l="1"/>
  <c r="AE14" i="1"/>
  <c r="M14" i="1"/>
  <c r="L14" i="1"/>
  <c r="E6" i="7"/>
  <c r="E118" i="7"/>
  <c r="O29" i="10"/>
  <c r="O7" i="10"/>
  <c r="AC14" i="1" l="1"/>
  <c r="E15" i="16"/>
  <c r="F13" i="16"/>
  <c r="D5" i="16" l="1"/>
  <c r="D9" i="16"/>
  <c r="E5" i="16" l="1"/>
  <c r="E10" i="16"/>
  <c r="E9" i="16"/>
  <c r="E8" i="16"/>
  <c r="E7" i="16"/>
  <c r="E6" i="16"/>
  <c r="E4" i="16"/>
  <c r="E3" i="16"/>
  <c r="A4" i="16"/>
  <c r="A5" i="16" s="1"/>
  <c r="A6" i="16" s="1"/>
  <c r="A7" i="16" s="1"/>
  <c r="A8" i="16" s="1"/>
  <c r="A9" i="16" s="1"/>
  <c r="A10" i="16" s="1"/>
  <c r="A3" i="16"/>
  <c r="E2" i="16"/>
  <c r="E13" i="16" l="1"/>
  <c r="CI94" i="15" l="1"/>
  <c r="CI93" i="15"/>
  <c r="CI92" i="15"/>
  <c r="CI91" i="15"/>
  <c r="CI90" i="15"/>
  <c r="CI89" i="15"/>
  <c r="CI88" i="15"/>
  <c r="CI87" i="15"/>
  <c r="CI86" i="15"/>
  <c r="CI85" i="15"/>
  <c r="CI84" i="15"/>
  <c r="CI83" i="15"/>
  <c r="CI82" i="15"/>
  <c r="CI75" i="15"/>
  <c r="CD94" i="15"/>
  <c r="CD93" i="15"/>
  <c r="CD92" i="15"/>
  <c r="CD91" i="15"/>
  <c r="CD90" i="15"/>
  <c r="CD89" i="15"/>
  <c r="CD88" i="15"/>
  <c r="CD87" i="15"/>
  <c r="CD86" i="15"/>
  <c r="CD85" i="15"/>
  <c r="CD84" i="15"/>
  <c r="CD83" i="15"/>
  <c r="CD82" i="15"/>
  <c r="BY94" i="15"/>
  <c r="BY93" i="15"/>
  <c r="BY92" i="15"/>
  <c r="BY91" i="15"/>
  <c r="BY90" i="15"/>
  <c r="BY89" i="15"/>
  <c r="BY88" i="15"/>
  <c r="BY87" i="15"/>
  <c r="BY86" i="15"/>
  <c r="BY85" i="15"/>
  <c r="BY84" i="15"/>
  <c r="BY83" i="15"/>
  <c r="BY82" i="15"/>
  <c r="BT94" i="15"/>
  <c r="BT93" i="15"/>
  <c r="BT92" i="15"/>
  <c r="BT91" i="15"/>
  <c r="BT90" i="15"/>
  <c r="BT89" i="15"/>
  <c r="BT88" i="15"/>
  <c r="BT87" i="15"/>
  <c r="BT86" i="15"/>
  <c r="BT85" i="15"/>
  <c r="BT84" i="15"/>
  <c r="BT83" i="15"/>
  <c r="BT82" i="15"/>
  <c r="BT79" i="15"/>
  <c r="BT78" i="15"/>
  <c r="BT77" i="15"/>
  <c r="BT76" i="15"/>
  <c r="BO94" i="15"/>
  <c r="BO93" i="15"/>
  <c r="BO92" i="15"/>
  <c r="BO91" i="15"/>
  <c r="BO90" i="15"/>
  <c r="BO89" i="15"/>
  <c r="BO88" i="15"/>
  <c r="BO87" i="15"/>
  <c r="BO86" i="15"/>
  <c r="BO85" i="15"/>
  <c r="BO84" i="15"/>
  <c r="BO83" i="15"/>
  <c r="BO82" i="15"/>
  <c r="BO79" i="15"/>
  <c r="BO78" i="15"/>
  <c r="BO77" i="15"/>
  <c r="BO76" i="15"/>
  <c r="BI94" i="15"/>
  <c r="BI93" i="15"/>
  <c r="BI92" i="15"/>
  <c r="BI91" i="15"/>
  <c r="BI90" i="15"/>
  <c r="BI89" i="15"/>
  <c r="BI88" i="15"/>
  <c r="BI87" i="15"/>
  <c r="BI86" i="15"/>
  <c r="BI85" i="15"/>
  <c r="BI84" i="15"/>
  <c r="BI83" i="15"/>
  <c r="BI82" i="15"/>
  <c r="BI79" i="15"/>
  <c r="BI78" i="15"/>
  <c r="BI77" i="15"/>
  <c r="BI76" i="15"/>
  <c r="BD94" i="15"/>
  <c r="BD93" i="15"/>
  <c r="BD92" i="15"/>
  <c r="BD91" i="15"/>
  <c r="BD90" i="15"/>
  <c r="BD89" i="15"/>
  <c r="BD88" i="15"/>
  <c r="BD87" i="15"/>
  <c r="BD86" i="15"/>
  <c r="BD85" i="15"/>
  <c r="BD84" i="15"/>
  <c r="BD83" i="15"/>
  <c r="BD82" i="15"/>
  <c r="BD79" i="15"/>
  <c r="BD78" i="15"/>
  <c r="BD77" i="15"/>
  <c r="BD76" i="15"/>
  <c r="AY94" i="15"/>
  <c r="AY93" i="15"/>
  <c r="AY92" i="15"/>
  <c r="AY91" i="15"/>
  <c r="AY90" i="15"/>
  <c r="AY89" i="15"/>
  <c r="AY88" i="15"/>
  <c r="AY87" i="15"/>
  <c r="AY86" i="15"/>
  <c r="AY85" i="15"/>
  <c r="AY84" i="15"/>
  <c r="AY83" i="15"/>
  <c r="AY82" i="15"/>
  <c r="AY79" i="15"/>
  <c r="AY78" i="15"/>
  <c r="AY77" i="15"/>
  <c r="AY76" i="15"/>
  <c r="AT94" i="15"/>
  <c r="AT93" i="15"/>
  <c r="AT92" i="15"/>
  <c r="AT91" i="15"/>
  <c r="AT90" i="15"/>
  <c r="AT89" i="15"/>
  <c r="AT88" i="15"/>
  <c r="AT87" i="15"/>
  <c r="AT86" i="15"/>
  <c r="AT85" i="15"/>
  <c r="AT84" i="15"/>
  <c r="AT83" i="15"/>
  <c r="AT82" i="15"/>
  <c r="AT79" i="15"/>
  <c r="AT78" i="15"/>
  <c r="AT77" i="15"/>
  <c r="AT76" i="15"/>
  <c r="AO94" i="15"/>
  <c r="AO93" i="15"/>
  <c r="AO92" i="15"/>
  <c r="AO91" i="15"/>
  <c r="AO90" i="15"/>
  <c r="AO89" i="15"/>
  <c r="AO88" i="15"/>
  <c r="AO87" i="15"/>
  <c r="AO86" i="15"/>
  <c r="AO85" i="15"/>
  <c r="AO84" i="15"/>
  <c r="AO83" i="15"/>
  <c r="AO82" i="15"/>
  <c r="AO79" i="15"/>
  <c r="AO78" i="15"/>
  <c r="AO77" i="15"/>
  <c r="AO76" i="15"/>
  <c r="AJ94" i="15"/>
  <c r="AJ93" i="15"/>
  <c r="AJ92" i="15"/>
  <c r="AJ91" i="15"/>
  <c r="AJ90" i="15"/>
  <c r="AJ89" i="15"/>
  <c r="AJ88" i="15"/>
  <c r="AJ87" i="15"/>
  <c r="AJ86" i="15"/>
  <c r="AJ85" i="15"/>
  <c r="AJ84" i="15"/>
  <c r="AJ83" i="15"/>
  <c r="AJ82" i="15"/>
  <c r="AJ79" i="15"/>
  <c r="AJ78" i="15"/>
  <c r="AJ77" i="15"/>
  <c r="AJ76" i="15"/>
  <c r="AE94" i="15"/>
  <c r="AE93" i="15"/>
  <c r="AE92" i="15"/>
  <c r="AE91" i="15"/>
  <c r="AE90" i="15"/>
  <c r="AE89" i="15"/>
  <c r="AE88" i="15"/>
  <c r="AE87" i="15"/>
  <c r="AE86" i="15"/>
  <c r="AE85" i="15"/>
  <c r="AE84" i="15"/>
  <c r="AE83" i="15"/>
  <c r="AE82" i="15"/>
  <c r="AE79" i="15"/>
  <c r="AE78" i="15"/>
  <c r="AE77" i="15"/>
  <c r="AE76" i="15"/>
  <c r="Z94" i="15"/>
  <c r="Z93" i="15"/>
  <c r="Z92" i="15"/>
  <c r="Z91" i="15"/>
  <c r="Z90" i="15"/>
  <c r="Z89" i="15"/>
  <c r="Z88" i="15"/>
  <c r="Z87" i="15"/>
  <c r="Z86" i="15"/>
  <c r="Z85" i="15"/>
  <c r="Z84" i="15"/>
  <c r="Z83" i="15"/>
  <c r="Z82" i="15"/>
  <c r="Z79" i="15"/>
  <c r="Z78" i="15"/>
  <c r="Z77" i="15"/>
  <c r="Z76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79" i="15"/>
  <c r="U78" i="15"/>
  <c r="U77" i="15"/>
  <c r="U76" i="15"/>
  <c r="P94" i="15"/>
  <c r="P93" i="15"/>
  <c r="P92" i="15"/>
  <c r="P91" i="15"/>
  <c r="P90" i="15"/>
  <c r="P89" i="15"/>
  <c r="P88" i="15"/>
  <c r="P87" i="15"/>
  <c r="P86" i="15"/>
  <c r="P85" i="15"/>
  <c r="P84" i="15"/>
  <c r="P83" i="15"/>
  <c r="P82" i="15"/>
  <c r="P79" i="15"/>
  <c r="P78" i="15"/>
  <c r="P77" i="15"/>
  <c r="P76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79" i="15"/>
  <c r="K78" i="15"/>
  <c r="K77" i="15"/>
  <c r="K76" i="15"/>
  <c r="F79" i="15"/>
  <c r="F78" i="15"/>
  <c r="F77" i="15"/>
  <c r="E95" i="15"/>
  <c r="C95" i="15"/>
  <c r="BT57" i="15"/>
  <c r="BT56" i="15"/>
  <c r="BT55" i="15"/>
  <c r="F64" i="15"/>
  <c r="F60" i="15"/>
  <c r="F59" i="15"/>
  <c r="F58" i="15"/>
  <c r="F57" i="15"/>
  <c r="F56" i="15"/>
  <c r="F55" i="15"/>
  <c r="CI35" i="15"/>
  <c r="CD35" i="15"/>
  <c r="CD75" i="15" s="1"/>
  <c r="BY35" i="15"/>
  <c r="BY75" i="15" s="1"/>
  <c r="BT54" i="15"/>
  <c r="BT53" i="15"/>
  <c r="BT52" i="15"/>
  <c r="BT51" i="15"/>
  <c r="BT50" i="15"/>
  <c r="BT49" i="15"/>
  <c r="BT48" i="15"/>
  <c r="BT47" i="15"/>
  <c r="BT46" i="15"/>
  <c r="BT45" i="15"/>
  <c r="BT44" i="15"/>
  <c r="BT43" i="15"/>
  <c r="BT42" i="15"/>
  <c r="BT41" i="15"/>
  <c r="BT40" i="15"/>
  <c r="BT39" i="15"/>
  <c r="BT38" i="15"/>
  <c r="BT37" i="15"/>
  <c r="BT36" i="15"/>
  <c r="BT35" i="15"/>
  <c r="BT75" i="15" s="1"/>
  <c r="BO54" i="15"/>
  <c r="BO53" i="15"/>
  <c r="BO52" i="15"/>
  <c r="BO51" i="15"/>
  <c r="BO50" i="15"/>
  <c r="BO49" i="15"/>
  <c r="BO48" i="15"/>
  <c r="BO47" i="15"/>
  <c r="BO46" i="15"/>
  <c r="BO45" i="15"/>
  <c r="BO44" i="15"/>
  <c r="BO43" i="15"/>
  <c r="BO42" i="15"/>
  <c r="BO41" i="15"/>
  <c r="BO40" i="15"/>
  <c r="BO39" i="15"/>
  <c r="BO38" i="15"/>
  <c r="BO37" i="15"/>
  <c r="BO36" i="15"/>
  <c r="BO35" i="15"/>
  <c r="BO75" i="15" s="1"/>
  <c r="BI54" i="15"/>
  <c r="BI53" i="15"/>
  <c r="BI52" i="15"/>
  <c r="BI51" i="15"/>
  <c r="BI50" i="15"/>
  <c r="BI49" i="15"/>
  <c r="BI48" i="15"/>
  <c r="BI47" i="15"/>
  <c r="BI46" i="15"/>
  <c r="BI45" i="15"/>
  <c r="BI44" i="15"/>
  <c r="BI43" i="15"/>
  <c r="BI42" i="15"/>
  <c r="BI41" i="15"/>
  <c r="BI40" i="15"/>
  <c r="BI39" i="15"/>
  <c r="BI38" i="15"/>
  <c r="BI37" i="15"/>
  <c r="BI36" i="15"/>
  <c r="BI35" i="15"/>
  <c r="BI75" i="15" s="1"/>
  <c r="BD54" i="15"/>
  <c r="BD53" i="15"/>
  <c r="BD52" i="15"/>
  <c r="BD51" i="15"/>
  <c r="BD50" i="15"/>
  <c r="BD49" i="15"/>
  <c r="BD48" i="15"/>
  <c r="BD47" i="15"/>
  <c r="BD46" i="15"/>
  <c r="BD45" i="15"/>
  <c r="BD44" i="15"/>
  <c r="BD43" i="15"/>
  <c r="BD42" i="15"/>
  <c r="BD41" i="15"/>
  <c r="BD40" i="15"/>
  <c r="BD39" i="15"/>
  <c r="BD38" i="15"/>
  <c r="BD37" i="15"/>
  <c r="BD36" i="15"/>
  <c r="BD35" i="15"/>
  <c r="BD75" i="15" s="1"/>
  <c r="AY54" i="15"/>
  <c r="AY53" i="15"/>
  <c r="AY52" i="15"/>
  <c r="AY51" i="15"/>
  <c r="AY50" i="15"/>
  <c r="AY49" i="15"/>
  <c r="AY48" i="15"/>
  <c r="AY47" i="15"/>
  <c r="AY46" i="15"/>
  <c r="AY45" i="15"/>
  <c r="AY44" i="15"/>
  <c r="AY43" i="15"/>
  <c r="AY42" i="15"/>
  <c r="AY41" i="15"/>
  <c r="AY40" i="15"/>
  <c r="AY39" i="15"/>
  <c r="AY38" i="15"/>
  <c r="AY37" i="15"/>
  <c r="AY36" i="15"/>
  <c r="AY35" i="15"/>
  <c r="AY75" i="15" s="1"/>
  <c r="AT54" i="15"/>
  <c r="AT53" i="15"/>
  <c r="AT52" i="15"/>
  <c r="AT51" i="15"/>
  <c r="AT50" i="15"/>
  <c r="AT49" i="15"/>
  <c r="AT48" i="15"/>
  <c r="AT47" i="15"/>
  <c r="AT46" i="15"/>
  <c r="AT45" i="15"/>
  <c r="AT44" i="15"/>
  <c r="AT43" i="15"/>
  <c r="AT42" i="15"/>
  <c r="AT41" i="15"/>
  <c r="AT40" i="15"/>
  <c r="AT39" i="15"/>
  <c r="AT38" i="15"/>
  <c r="AT37" i="15"/>
  <c r="AT36" i="15"/>
  <c r="AT35" i="15"/>
  <c r="AT75" i="15" s="1"/>
  <c r="AO54" i="15"/>
  <c r="AO53" i="15"/>
  <c r="AO52" i="15"/>
  <c r="AO51" i="15"/>
  <c r="AO50" i="15"/>
  <c r="AO49" i="15"/>
  <c r="AO48" i="15"/>
  <c r="AO47" i="15"/>
  <c r="AO46" i="15"/>
  <c r="AO45" i="15"/>
  <c r="AO44" i="15"/>
  <c r="AO43" i="15"/>
  <c r="AO42" i="15"/>
  <c r="AO41" i="15"/>
  <c r="AO40" i="15"/>
  <c r="AO39" i="15"/>
  <c r="AO38" i="15"/>
  <c r="AO37" i="15"/>
  <c r="AO36" i="15"/>
  <c r="AO35" i="15"/>
  <c r="AO75" i="15" s="1"/>
  <c r="AJ54" i="15"/>
  <c r="AJ53" i="15"/>
  <c r="AJ52" i="15"/>
  <c r="AJ51" i="15"/>
  <c r="AJ50" i="15"/>
  <c r="AJ49" i="15"/>
  <c r="AJ48" i="15"/>
  <c r="AJ47" i="15"/>
  <c r="AJ46" i="15"/>
  <c r="AJ45" i="15"/>
  <c r="AJ44" i="15"/>
  <c r="AJ43" i="15"/>
  <c r="AJ42" i="15"/>
  <c r="AJ41" i="15"/>
  <c r="AJ40" i="15"/>
  <c r="AJ39" i="15"/>
  <c r="AJ38" i="15"/>
  <c r="AJ37" i="15"/>
  <c r="AJ36" i="15"/>
  <c r="AJ35" i="15"/>
  <c r="AJ75" i="15" s="1"/>
  <c r="AE54" i="15"/>
  <c r="AE53" i="15"/>
  <c r="AE52" i="15"/>
  <c r="AE51" i="15"/>
  <c r="AE50" i="15"/>
  <c r="AE49" i="15"/>
  <c r="AE48" i="15"/>
  <c r="AE47" i="15"/>
  <c r="AE46" i="15"/>
  <c r="AE45" i="15"/>
  <c r="AE44" i="15"/>
  <c r="AE43" i="15"/>
  <c r="AE42" i="15"/>
  <c r="AE41" i="15"/>
  <c r="AE40" i="15"/>
  <c r="AE39" i="15"/>
  <c r="AE38" i="15"/>
  <c r="AE37" i="15"/>
  <c r="AE36" i="15"/>
  <c r="AE35" i="15"/>
  <c r="AE75" i="15" s="1"/>
  <c r="Z54" i="15"/>
  <c r="Z53" i="15"/>
  <c r="Z52" i="15"/>
  <c r="Z51" i="15"/>
  <c r="Z50" i="15"/>
  <c r="Z49" i="15"/>
  <c r="Z48" i="15"/>
  <c r="Z47" i="15"/>
  <c r="Z46" i="15"/>
  <c r="Z45" i="15"/>
  <c r="Z44" i="15"/>
  <c r="Z43" i="15"/>
  <c r="Z42" i="15"/>
  <c r="Z41" i="15"/>
  <c r="Z40" i="15"/>
  <c r="Z39" i="15"/>
  <c r="Z38" i="15"/>
  <c r="Z37" i="15"/>
  <c r="Z36" i="15"/>
  <c r="Z35" i="15"/>
  <c r="Z75" i="15" s="1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75" i="15" s="1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75" i="15" s="1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75" i="15" s="1"/>
  <c r="F76" i="15"/>
  <c r="F95" i="15" s="1"/>
  <c r="F35" i="15"/>
  <c r="F75" i="15" s="1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BY26" i="15"/>
  <c r="BY25" i="15"/>
  <c r="BY24" i="15"/>
  <c r="BY23" i="15"/>
  <c r="BY22" i="15"/>
  <c r="BY21" i="15"/>
  <c r="BY20" i="15"/>
  <c r="BY19" i="15"/>
  <c r="BY18" i="15"/>
  <c r="BY17" i="15"/>
  <c r="BY16" i="15"/>
  <c r="BY14" i="15"/>
  <c r="BY13" i="15"/>
  <c r="BY12" i="15"/>
  <c r="BY11" i="15"/>
  <c r="BY10" i="15"/>
  <c r="BY9" i="15"/>
  <c r="BY7" i="15"/>
  <c r="BY6" i="15"/>
  <c r="BT26" i="15"/>
  <c r="BT25" i="15"/>
  <c r="BT24" i="15"/>
  <c r="BT23" i="15"/>
  <c r="BT22" i="15"/>
  <c r="BT21" i="15"/>
  <c r="BT20" i="15"/>
  <c r="BT19" i="15"/>
  <c r="BT18" i="15"/>
  <c r="BT17" i="15"/>
  <c r="BT16" i="15"/>
  <c r="BT14" i="15"/>
  <c r="BT13" i="15"/>
  <c r="BT12" i="15"/>
  <c r="BT11" i="15"/>
  <c r="BT10" i="15"/>
  <c r="BT9" i="15"/>
  <c r="BT7" i="15"/>
  <c r="BT6" i="15"/>
  <c r="BO26" i="15"/>
  <c r="BO25" i="15"/>
  <c r="BO24" i="15"/>
  <c r="BO23" i="15"/>
  <c r="BO22" i="15"/>
  <c r="BO21" i="15"/>
  <c r="BO20" i="15"/>
  <c r="BO19" i="15"/>
  <c r="BO18" i="15"/>
  <c r="BO17" i="15"/>
  <c r="BO16" i="15"/>
  <c r="BO14" i="15"/>
  <c r="BO13" i="15"/>
  <c r="BO12" i="15"/>
  <c r="BO11" i="15"/>
  <c r="BO10" i="15"/>
  <c r="BO9" i="15"/>
  <c r="BO7" i="15"/>
  <c r="BO6" i="15"/>
  <c r="BI26" i="15"/>
  <c r="BI25" i="15"/>
  <c r="BI24" i="15"/>
  <c r="BI23" i="15"/>
  <c r="BI22" i="15"/>
  <c r="BI21" i="15"/>
  <c r="BI20" i="15"/>
  <c r="BI19" i="15"/>
  <c r="BI18" i="15"/>
  <c r="BI17" i="15"/>
  <c r="BI16" i="15"/>
  <c r="BI14" i="15"/>
  <c r="BI13" i="15"/>
  <c r="BI12" i="15"/>
  <c r="BI11" i="15"/>
  <c r="BI10" i="15"/>
  <c r="BI9" i="15"/>
  <c r="BI7" i="15"/>
  <c r="BI6" i="15"/>
  <c r="BD26" i="15"/>
  <c r="BD25" i="15"/>
  <c r="BD24" i="15"/>
  <c r="BD23" i="15"/>
  <c r="BD22" i="15"/>
  <c r="BD21" i="15"/>
  <c r="BD20" i="15"/>
  <c r="BD19" i="15"/>
  <c r="BD18" i="15"/>
  <c r="BD17" i="15"/>
  <c r="BD16" i="15"/>
  <c r="BD14" i="15"/>
  <c r="BD13" i="15"/>
  <c r="BD12" i="15"/>
  <c r="BD11" i="15"/>
  <c r="BD10" i="15"/>
  <c r="BD9" i="15"/>
  <c r="BD7" i="15"/>
  <c r="BD6" i="15"/>
  <c r="AY26" i="15"/>
  <c r="AY25" i="15"/>
  <c r="AY24" i="15"/>
  <c r="AY23" i="15"/>
  <c r="AY22" i="15"/>
  <c r="AY21" i="15"/>
  <c r="AY20" i="15"/>
  <c r="AY19" i="15"/>
  <c r="AY18" i="15"/>
  <c r="AY17" i="15"/>
  <c r="AY16" i="15"/>
  <c r="AY14" i="15"/>
  <c r="AY13" i="15"/>
  <c r="AY12" i="15"/>
  <c r="AY11" i="15"/>
  <c r="AY10" i="15"/>
  <c r="AY9" i="15"/>
  <c r="AY7" i="15"/>
  <c r="AY6" i="15"/>
  <c r="AT26" i="15"/>
  <c r="AT25" i="15"/>
  <c r="AT24" i="15"/>
  <c r="AT23" i="15"/>
  <c r="AT22" i="15"/>
  <c r="AT21" i="15"/>
  <c r="AT20" i="15"/>
  <c r="AT19" i="15"/>
  <c r="AT18" i="15"/>
  <c r="AT17" i="15"/>
  <c r="AT16" i="15"/>
  <c r="AT14" i="15"/>
  <c r="AT13" i="15"/>
  <c r="AT12" i="15"/>
  <c r="AT11" i="15"/>
  <c r="AT10" i="15"/>
  <c r="AT9" i="15"/>
  <c r="AT7" i="15"/>
  <c r="AT6" i="15"/>
  <c r="AO26" i="15"/>
  <c r="AO25" i="15"/>
  <c r="AO24" i="15"/>
  <c r="AO23" i="15"/>
  <c r="AO22" i="15"/>
  <c r="AO21" i="15"/>
  <c r="AO20" i="15"/>
  <c r="AO19" i="15"/>
  <c r="AO18" i="15"/>
  <c r="AO17" i="15"/>
  <c r="AO16" i="15"/>
  <c r="AO14" i="15"/>
  <c r="AO13" i="15"/>
  <c r="AO12" i="15"/>
  <c r="AO11" i="15"/>
  <c r="AO10" i="15"/>
  <c r="AO9" i="15"/>
  <c r="AO7" i="15"/>
  <c r="AO6" i="15"/>
  <c r="AJ26" i="15"/>
  <c r="AJ25" i="15"/>
  <c r="AJ24" i="15"/>
  <c r="AJ23" i="15"/>
  <c r="AJ22" i="15"/>
  <c r="AJ21" i="15"/>
  <c r="AJ20" i="15"/>
  <c r="AJ19" i="15"/>
  <c r="AJ18" i="15"/>
  <c r="AJ17" i="15"/>
  <c r="AJ16" i="15"/>
  <c r="AJ14" i="15"/>
  <c r="AJ13" i="15"/>
  <c r="AJ12" i="15"/>
  <c r="AJ11" i="15"/>
  <c r="AJ10" i="15"/>
  <c r="AJ9" i="15"/>
  <c r="AJ7" i="15"/>
  <c r="AJ6" i="15"/>
  <c r="AE26" i="15"/>
  <c r="AE25" i="15"/>
  <c r="AE24" i="15"/>
  <c r="AE23" i="15"/>
  <c r="AE22" i="15"/>
  <c r="AE21" i="15"/>
  <c r="AE20" i="15"/>
  <c r="AE19" i="15"/>
  <c r="AE18" i="15"/>
  <c r="AE17" i="15"/>
  <c r="AE16" i="15"/>
  <c r="AE14" i="15"/>
  <c r="AE13" i="15"/>
  <c r="AE12" i="15"/>
  <c r="AE11" i="15"/>
  <c r="AE10" i="15"/>
  <c r="AE9" i="15"/>
  <c r="AE7" i="15"/>
  <c r="AE6" i="15"/>
  <c r="Z26" i="15"/>
  <c r="Z25" i="15"/>
  <c r="Z24" i="15"/>
  <c r="Z23" i="15"/>
  <c r="Z22" i="15"/>
  <c r="Z21" i="15"/>
  <c r="Z20" i="15"/>
  <c r="Z19" i="15"/>
  <c r="Z18" i="15"/>
  <c r="Z17" i="15"/>
  <c r="Z16" i="15"/>
  <c r="Z14" i="15"/>
  <c r="Z13" i="15"/>
  <c r="Z12" i="15"/>
  <c r="Z11" i="15"/>
  <c r="Z10" i="15"/>
  <c r="Z9" i="15"/>
  <c r="Z7" i="15"/>
  <c r="Z6" i="15"/>
  <c r="U26" i="15"/>
  <c r="U25" i="15"/>
  <c r="U24" i="15"/>
  <c r="U23" i="15"/>
  <c r="U22" i="15"/>
  <c r="U21" i="15"/>
  <c r="U20" i="15"/>
  <c r="U19" i="15"/>
  <c r="U18" i="15"/>
  <c r="U17" i="15"/>
  <c r="U16" i="15"/>
  <c r="U14" i="15"/>
  <c r="U13" i="15"/>
  <c r="U12" i="15"/>
  <c r="U11" i="15"/>
  <c r="U10" i="15"/>
  <c r="U9" i="15"/>
  <c r="U7" i="15"/>
  <c r="U6" i="15"/>
  <c r="P26" i="15"/>
  <c r="P25" i="15"/>
  <c r="P24" i="15"/>
  <c r="P23" i="15"/>
  <c r="P22" i="15"/>
  <c r="P21" i="15"/>
  <c r="P20" i="15"/>
  <c r="P19" i="15"/>
  <c r="P18" i="15"/>
  <c r="P17" i="15"/>
  <c r="P16" i="15"/>
  <c r="P14" i="15"/>
  <c r="P13" i="15"/>
  <c r="P12" i="15"/>
  <c r="P11" i="15"/>
  <c r="P10" i="15"/>
  <c r="P9" i="15"/>
  <c r="P7" i="15"/>
  <c r="P6" i="15"/>
  <c r="K26" i="15"/>
  <c r="K25" i="15"/>
  <c r="K24" i="15"/>
  <c r="K23" i="15"/>
  <c r="K22" i="15"/>
  <c r="K21" i="15"/>
  <c r="K20" i="15"/>
  <c r="K19" i="15"/>
  <c r="K18" i="15"/>
  <c r="K17" i="15"/>
  <c r="K16" i="15"/>
  <c r="K14" i="15"/>
  <c r="K13" i="15"/>
  <c r="K12" i="15"/>
  <c r="K11" i="15"/>
  <c r="K10" i="15"/>
  <c r="K9" i="15"/>
  <c r="K7" i="15"/>
  <c r="K6" i="15"/>
  <c r="F26" i="15"/>
  <c r="F25" i="15"/>
  <c r="F24" i="15"/>
  <c r="F23" i="15"/>
  <c r="F22" i="15"/>
  <c r="F21" i="15"/>
  <c r="F20" i="15"/>
  <c r="F19" i="15"/>
  <c r="F18" i="15"/>
  <c r="F17" i="15"/>
  <c r="F16" i="15"/>
  <c r="F14" i="15"/>
  <c r="F13" i="15"/>
  <c r="F12" i="15"/>
  <c r="F11" i="15"/>
  <c r="F10" i="15"/>
  <c r="F9" i="15"/>
  <c r="F7" i="15"/>
  <c r="F6" i="15"/>
  <c r="BP95" i="15"/>
  <c r="BK95" i="15"/>
  <c r="BN95" i="15" s="1"/>
  <c r="BF95" i="15"/>
  <c r="BE95" i="15"/>
  <c r="BA95" i="15"/>
  <c r="AZ95" i="15"/>
  <c r="AV95" i="15"/>
  <c r="AU95" i="15"/>
  <c r="AW95" i="15" s="1"/>
  <c r="AQ95" i="15"/>
  <c r="AP95" i="15"/>
  <c r="AS95" i="15" s="1"/>
  <c r="AL95" i="15"/>
  <c r="AK95" i="15"/>
  <c r="AM95" i="15" s="1"/>
  <c r="AG95" i="15"/>
  <c r="AF95" i="15"/>
  <c r="AI95" i="15" s="1"/>
  <c r="AB95" i="15"/>
  <c r="AA95" i="15"/>
  <c r="AC95" i="15" s="1"/>
  <c r="W95" i="15"/>
  <c r="V95" i="15"/>
  <c r="Y95" i="15" s="1"/>
  <c r="R95" i="15"/>
  <c r="Q95" i="15"/>
  <c r="M95" i="15"/>
  <c r="L95" i="15"/>
  <c r="O95" i="15" s="1"/>
  <c r="H95" i="15"/>
  <c r="G95" i="15"/>
  <c r="B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CE81" i="15"/>
  <c r="CG80" i="15"/>
  <c r="CE80" i="15"/>
  <c r="BZ80" i="15"/>
  <c r="BU80" i="15"/>
  <c r="CG79" i="15"/>
  <c r="CI79" i="15" s="1"/>
  <c r="CE79" i="15"/>
  <c r="CB79" i="15"/>
  <c r="CD79" i="15" s="1"/>
  <c r="BZ79" i="15"/>
  <c r="BW79" i="15"/>
  <c r="BY79" i="15" s="1"/>
  <c r="BU79" i="15"/>
  <c r="CG78" i="15"/>
  <c r="CI78" i="15" s="1"/>
  <c r="CE78" i="15"/>
  <c r="CB78" i="15"/>
  <c r="CD78" i="15" s="1"/>
  <c r="BZ78" i="15"/>
  <c r="BW78" i="15"/>
  <c r="BY78" i="15" s="1"/>
  <c r="BU78" i="15"/>
  <c r="CG77" i="15"/>
  <c r="CI77" i="15" s="1"/>
  <c r="CE77" i="15"/>
  <c r="CB77" i="15"/>
  <c r="CD77" i="15" s="1"/>
  <c r="BZ77" i="15"/>
  <c r="BW77" i="15"/>
  <c r="BY77" i="15" s="1"/>
  <c r="BU77" i="15"/>
  <c r="CG76" i="15"/>
  <c r="CI76" i="15" s="1"/>
  <c r="CE76" i="15"/>
  <c r="CB76" i="15"/>
  <c r="CD76" i="15" s="1"/>
  <c r="BZ76" i="15"/>
  <c r="BW76" i="15"/>
  <c r="BY76" i="15" s="1"/>
  <c r="BU76" i="15"/>
  <c r="CE74" i="15"/>
  <c r="BZ74" i="15"/>
  <c r="BU74" i="15"/>
  <c r="BP74" i="15"/>
  <c r="BP65" i="15"/>
  <c r="BQ44" i="15" s="1"/>
  <c r="BK65" i="15"/>
  <c r="BM65" i="15" s="1"/>
  <c r="BE65" i="15"/>
  <c r="BH65" i="15" s="1"/>
  <c r="AZ65" i="15"/>
  <c r="BB65" i="15" s="1"/>
  <c r="AU65" i="15"/>
  <c r="AP65" i="15"/>
  <c r="AQ45" i="15" s="1"/>
  <c r="AK65" i="15"/>
  <c r="AN65" i="15" s="1"/>
  <c r="AF65" i="15"/>
  <c r="AG52" i="15" s="1"/>
  <c r="AA65" i="15"/>
  <c r="V65" i="15"/>
  <c r="Q65" i="15"/>
  <c r="T65" i="15" s="1"/>
  <c r="L65" i="15"/>
  <c r="M47" i="15" s="1"/>
  <c r="G65" i="15"/>
  <c r="J65" i="15" s="1"/>
  <c r="B65" i="15"/>
  <c r="C49" i="15" s="1"/>
  <c r="CG64" i="15"/>
  <c r="CE64" i="15"/>
  <c r="CB64" i="15"/>
  <c r="BZ64" i="15"/>
  <c r="BW64" i="15"/>
  <c r="BU64" i="15"/>
  <c r="CG60" i="15"/>
  <c r="CI60" i="15" s="1"/>
  <c r="CE60" i="15"/>
  <c r="CB60" i="15"/>
  <c r="CD60" i="15" s="1"/>
  <c r="BZ60" i="15"/>
  <c r="BW60" i="15"/>
  <c r="BY60" i="15" s="1"/>
  <c r="BU60" i="15"/>
  <c r="CG59" i="15"/>
  <c r="CI59" i="15" s="1"/>
  <c r="CE59" i="15"/>
  <c r="CB59" i="15"/>
  <c r="CD59" i="15" s="1"/>
  <c r="BZ59" i="15"/>
  <c r="BW59" i="15"/>
  <c r="BY59" i="15" s="1"/>
  <c r="BU59" i="15"/>
  <c r="CG58" i="15"/>
  <c r="CI58" i="15" s="1"/>
  <c r="CE58" i="15"/>
  <c r="CB58" i="15"/>
  <c r="CD58" i="15" s="1"/>
  <c r="BZ58" i="15"/>
  <c r="BW58" i="15"/>
  <c r="BY58" i="15" s="1"/>
  <c r="BU58" i="15"/>
  <c r="CG57" i="15"/>
  <c r="CI57" i="15" s="1"/>
  <c r="CE57" i="15"/>
  <c r="CB57" i="15"/>
  <c r="CD57" i="15" s="1"/>
  <c r="BZ57" i="15"/>
  <c r="BW57" i="15"/>
  <c r="BY57" i="15" s="1"/>
  <c r="BU57" i="15"/>
  <c r="CG56" i="15"/>
  <c r="CI56" i="15" s="1"/>
  <c r="CE56" i="15"/>
  <c r="CB56" i="15"/>
  <c r="CD56" i="15" s="1"/>
  <c r="BZ56" i="15"/>
  <c r="BW56" i="15"/>
  <c r="BY56" i="15" s="1"/>
  <c r="BU56" i="15"/>
  <c r="CG55" i="15"/>
  <c r="CI55" i="15" s="1"/>
  <c r="CE55" i="15"/>
  <c r="CB55" i="15"/>
  <c r="CD55" i="15" s="1"/>
  <c r="BZ55" i="15"/>
  <c r="BW55" i="15"/>
  <c r="BY55" i="15" s="1"/>
  <c r="BU55" i="15"/>
  <c r="CG54" i="15"/>
  <c r="CI54" i="15" s="1"/>
  <c r="CE54" i="15"/>
  <c r="CB54" i="15"/>
  <c r="CD54" i="15" s="1"/>
  <c r="BZ54" i="15"/>
  <c r="BW54" i="15"/>
  <c r="BY54" i="15" s="1"/>
  <c r="BU54" i="15"/>
  <c r="CG53" i="15"/>
  <c r="CI53" i="15" s="1"/>
  <c r="CE53" i="15"/>
  <c r="CB53" i="15"/>
  <c r="CD53" i="15" s="1"/>
  <c r="BZ53" i="15"/>
  <c r="BW53" i="15"/>
  <c r="BY53" i="15" s="1"/>
  <c r="BU53" i="15"/>
  <c r="CG52" i="15"/>
  <c r="CI52" i="15" s="1"/>
  <c r="CE52" i="15"/>
  <c r="CB52" i="15"/>
  <c r="CD52" i="15" s="1"/>
  <c r="BZ52" i="15"/>
  <c r="BW52" i="15"/>
  <c r="BY52" i="15" s="1"/>
  <c r="BU52" i="15"/>
  <c r="BF52" i="15"/>
  <c r="CG51" i="15"/>
  <c r="CI51" i="15" s="1"/>
  <c r="CE51" i="15"/>
  <c r="CB51" i="15"/>
  <c r="CD51" i="15" s="1"/>
  <c r="BZ51" i="15"/>
  <c r="BW51" i="15"/>
  <c r="BY51" i="15" s="1"/>
  <c r="BU51" i="15"/>
  <c r="CG50" i="15"/>
  <c r="CI50" i="15" s="1"/>
  <c r="CE50" i="15"/>
  <c r="CB50" i="15"/>
  <c r="CD50" i="15" s="1"/>
  <c r="BZ50" i="15"/>
  <c r="BW50" i="15"/>
  <c r="BY50" i="15" s="1"/>
  <c r="BU50" i="15"/>
  <c r="CG49" i="15"/>
  <c r="CI49" i="15" s="1"/>
  <c r="CE49" i="15"/>
  <c r="CB49" i="15"/>
  <c r="CD49" i="15" s="1"/>
  <c r="BZ49" i="15"/>
  <c r="BW49" i="15"/>
  <c r="BY49" i="15" s="1"/>
  <c r="BU49" i="15"/>
  <c r="CG48" i="15"/>
  <c r="CI48" i="15" s="1"/>
  <c r="CE48" i="15"/>
  <c r="CB48" i="15"/>
  <c r="CD48" i="15" s="1"/>
  <c r="BZ48" i="15"/>
  <c r="BW48" i="15"/>
  <c r="BY48" i="15" s="1"/>
  <c r="BU48" i="15"/>
  <c r="CG47" i="15"/>
  <c r="CI47" i="15" s="1"/>
  <c r="CE47" i="15"/>
  <c r="CB47" i="15"/>
  <c r="CD47" i="15" s="1"/>
  <c r="BZ47" i="15"/>
  <c r="BW47" i="15"/>
  <c r="BY47" i="15" s="1"/>
  <c r="BU47" i="15"/>
  <c r="CG46" i="15"/>
  <c r="CI46" i="15" s="1"/>
  <c r="CE46" i="15"/>
  <c r="CB46" i="15"/>
  <c r="CD46" i="15" s="1"/>
  <c r="BZ46" i="15"/>
  <c r="BW46" i="15"/>
  <c r="BY46" i="15" s="1"/>
  <c r="BU46" i="15"/>
  <c r="CG45" i="15"/>
  <c r="CI45" i="15" s="1"/>
  <c r="CE45" i="15"/>
  <c r="CB45" i="15"/>
  <c r="CD45" i="15" s="1"/>
  <c r="BZ45" i="15"/>
  <c r="BW45" i="15"/>
  <c r="BY45" i="15" s="1"/>
  <c r="BU45" i="15"/>
  <c r="CG44" i="15"/>
  <c r="CI44" i="15" s="1"/>
  <c r="CE44" i="15"/>
  <c r="CB44" i="15"/>
  <c r="CD44" i="15" s="1"/>
  <c r="BZ44" i="15"/>
  <c r="BW44" i="15"/>
  <c r="BY44" i="15" s="1"/>
  <c r="BU44" i="15"/>
  <c r="CG43" i="15"/>
  <c r="CI43" i="15" s="1"/>
  <c r="CE43" i="15"/>
  <c r="CB43" i="15"/>
  <c r="CD43" i="15" s="1"/>
  <c r="BZ43" i="15"/>
  <c r="BW43" i="15"/>
  <c r="BY43" i="15" s="1"/>
  <c r="BU43" i="15"/>
  <c r="CG42" i="15"/>
  <c r="CI42" i="15" s="1"/>
  <c r="CE42" i="15"/>
  <c r="CB42" i="15"/>
  <c r="CD42" i="15" s="1"/>
  <c r="BZ42" i="15"/>
  <c r="BW42" i="15"/>
  <c r="BY42" i="15" s="1"/>
  <c r="BU42" i="15"/>
  <c r="CG41" i="15"/>
  <c r="CI41" i="15" s="1"/>
  <c r="CE41" i="15"/>
  <c r="CB41" i="15"/>
  <c r="CD41" i="15" s="1"/>
  <c r="BZ41" i="15"/>
  <c r="BW41" i="15"/>
  <c r="BY41" i="15" s="1"/>
  <c r="BU41" i="15"/>
  <c r="CG40" i="15"/>
  <c r="CI40" i="15" s="1"/>
  <c r="CE40" i="15"/>
  <c r="CB40" i="15"/>
  <c r="CD40" i="15" s="1"/>
  <c r="BZ40" i="15"/>
  <c r="BW40" i="15"/>
  <c r="BY40" i="15" s="1"/>
  <c r="BU40" i="15"/>
  <c r="CG39" i="15"/>
  <c r="CI39" i="15" s="1"/>
  <c r="CE39" i="15"/>
  <c r="CB39" i="15"/>
  <c r="CD39" i="15" s="1"/>
  <c r="BZ39" i="15"/>
  <c r="BW39" i="15"/>
  <c r="BY39" i="15" s="1"/>
  <c r="BU39" i="15"/>
  <c r="CG38" i="15"/>
  <c r="CI38" i="15" s="1"/>
  <c r="CE38" i="15"/>
  <c r="CB38" i="15"/>
  <c r="CD38" i="15" s="1"/>
  <c r="BZ38" i="15"/>
  <c r="BW38" i="15"/>
  <c r="BY38" i="15" s="1"/>
  <c r="BU38" i="15"/>
  <c r="CG37" i="15"/>
  <c r="CI37" i="15" s="1"/>
  <c r="CE37" i="15"/>
  <c r="CB37" i="15"/>
  <c r="CD37" i="15" s="1"/>
  <c r="BZ37" i="15"/>
  <c r="BW37" i="15"/>
  <c r="BY37" i="15" s="1"/>
  <c r="BU37" i="15"/>
  <c r="CG36" i="15"/>
  <c r="CI36" i="15" s="1"/>
  <c r="CE36" i="15"/>
  <c r="CB36" i="15"/>
  <c r="CD36" i="15" s="1"/>
  <c r="BZ36" i="15"/>
  <c r="BW36" i="15"/>
  <c r="BY36" i="15" s="1"/>
  <c r="BU36" i="15"/>
  <c r="CE34" i="15"/>
  <c r="BZ34" i="15"/>
  <c r="BU34" i="15"/>
  <c r="BP34" i="15"/>
  <c r="BU27" i="15"/>
  <c r="BV10" i="15" s="1"/>
  <c r="BP27" i="15"/>
  <c r="BQ10" i="15" s="1"/>
  <c r="BK27" i="15"/>
  <c r="BM27" i="15" s="1"/>
  <c r="BE27" i="15"/>
  <c r="BF10" i="15" s="1"/>
  <c r="AZ27" i="15"/>
  <c r="BA21" i="15" s="1"/>
  <c r="AU27" i="15"/>
  <c r="AV7" i="15" s="1"/>
  <c r="AP27" i="15"/>
  <c r="AQ24" i="15" s="1"/>
  <c r="AK27" i="15"/>
  <c r="AL10" i="15" s="1"/>
  <c r="AF27" i="15"/>
  <c r="AG25" i="15" s="1"/>
  <c r="AA27" i="15"/>
  <c r="AB12" i="15" s="1"/>
  <c r="V27" i="15"/>
  <c r="W14" i="15" s="1"/>
  <c r="Q27" i="15"/>
  <c r="R26" i="15" s="1"/>
  <c r="L27" i="15"/>
  <c r="M21" i="15" s="1"/>
  <c r="G27" i="15"/>
  <c r="B27" i="15"/>
  <c r="C12" i="15" s="1"/>
  <c r="CG26" i="15"/>
  <c r="CI26" i="15" s="1"/>
  <c r="CE26" i="15"/>
  <c r="CB26" i="15"/>
  <c r="CD26" i="15" s="1"/>
  <c r="BZ26" i="15"/>
  <c r="CG25" i="15"/>
  <c r="CI25" i="15" s="1"/>
  <c r="CE25" i="15"/>
  <c r="CB25" i="15"/>
  <c r="CD25" i="15" s="1"/>
  <c r="BZ25" i="15"/>
  <c r="CG24" i="15"/>
  <c r="CI24" i="15" s="1"/>
  <c r="CE24" i="15"/>
  <c r="CB24" i="15"/>
  <c r="CD24" i="15" s="1"/>
  <c r="BZ24" i="15"/>
  <c r="CG23" i="15"/>
  <c r="CI23" i="15" s="1"/>
  <c r="CE23" i="15"/>
  <c r="CB23" i="15"/>
  <c r="CD23" i="15" s="1"/>
  <c r="BZ23" i="15"/>
  <c r="CG22" i="15"/>
  <c r="CI22" i="15" s="1"/>
  <c r="CE22" i="15"/>
  <c r="CB22" i="15"/>
  <c r="CD22" i="15" s="1"/>
  <c r="BZ22" i="15"/>
  <c r="CG21" i="15"/>
  <c r="CI21" i="15" s="1"/>
  <c r="CE21" i="15"/>
  <c r="CB21" i="15"/>
  <c r="CD21" i="15" s="1"/>
  <c r="BZ21" i="15"/>
  <c r="CG20" i="15"/>
  <c r="CI20" i="15" s="1"/>
  <c r="CE20" i="15"/>
  <c r="CB20" i="15"/>
  <c r="CD20" i="15" s="1"/>
  <c r="BZ20" i="15"/>
  <c r="CG19" i="15"/>
  <c r="CI19" i="15" s="1"/>
  <c r="CE19" i="15"/>
  <c r="CB19" i="15"/>
  <c r="CD19" i="15" s="1"/>
  <c r="BZ19" i="15"/>
  <c r="CG18" i="15"/>
  <c r="CI18" i="15" s="1"/>
  <c r="CE18" i="15"/>
  <c r="CB18" i="15"/>
  <c r="CD18" i="15" s="1"/>
  <c r="BZ18" i="15"/>
  <c r="CG17" i="15"/>
  <c r="CI17" i="15" s="1"/>
  <c r="CE17" i="15"/>
  <c r="CB17" i="15"/>
  <c r="CD17" i="15" s="1"/>
  <c r="BZ17" i="15"/>
  <c r="CG16" i="15"/>
  <c r="CI16" i="15" s="1"/>
  <c r="CE16" i="15"/>
  <c r="CB16" i="15"/>
  <c r="CD16" i="15" s="1"/>
  <c r="BZ16" i="15"/>
  <c r="CG14" i="15"/>
  <c r="CI14" i="15" s="1"/>
  <c r="CE14" i="15"/>
  <c r="CB14" i="15"/>
  <c r="CD14" i="15" s="1"/>
  <c r="BZ14" i="15"/>
  <c r="CG13" i="15"/>
  <c r="CI13" i="15" s="1"/>
  <c r="CE13" i="15"/>
  <c r="CB13" i="15"/>
  <c r="CD13" i="15" s="1"/>
  <c r="BZ13" i="15"/>
  <c r="H13" i="15"/>
  <c r="CG12" i="15"/>
  <c r="CI12" i="15" s="1"/>
  <c r="CE12" i="15"/>
  <c r="CB12" i="15"/>
  <c r="CD12" i="15" s="1"/>
  <c r="BZ12" i="15"/>
  <c r="CG11" i="15"/>
  <c r="CI11" i="15" s="1"/>
  <c r="CE11" i="15"/>
  <c r="CB11" i="15"/>
  <c r="CD11" i="15" s="1"/>
  <c r="BZ11" i="15"/>
  <c r="CG10" i="15"/>
  <c r="CI10" i="15" s="1"/>
  <c r="CE10" i="15"/>
  <c r="CB10" i="15"/>
  <c r="CD10" i="15" s="1"/>
  <c r="BZ10" i="15"/>
  <c r="CG9" i="15"/>
  <c r="CI9" i="15" s="1"/>
  <c r="CE9" i="15"/>
  <c r="CB9" i="15"/>
  <c r="CD9" i="15" s="1"/>
  <c r="BZ9" i="15"/>
  <c r="CG7" i="15"/>
  <c r="CI7" i="15" s="1"/>
  <c r="CE7" i="15"/>
  <c r="CB7" i="15"/>
  <c r="CD7" i="15" s="1"/>
  <c r="BZ7" i="15"/>
  <c r="CG6" i="15"/>
  <c r="CI6" i="15" s="1"/>
  <c r="CE6" i="15"/>
  <c r="CB6" i="15"/>
  <c r="CD6" i="15" s="1"/>
  <c r="BZ6" i="15"/>
  <c r="K95" i="15" l="1"/>
  <c r="U95" i="15"/>
  <c r="AE95" i="15"/>
  <c r="AO95" i="15"/>
  <c r="AY95" i="15"/>
  <c r="BI95" i="15"/>
  <c r="BT95" i="15"/>
  <c r="AL40" i="15"/>
  <c r="P95" i="15"/>
  <c r="Z95" i="15"/>
  <c r="AJ95" i="15"/>
  <c r="AT95" i="15"/>
  <c r="BD95" i="15"/>
  <c r="BO95" i="15"/>
  <c r="AG37" i="15"/>
  <c r="AG51" i="15"/>
  <c r="BL79" i="15"/>
  <c r="AG21" i="15"/>
  <c r="BF47" i="15"/>
  <c r="R16" i="15"/>
  <c r="AL18" i="15"/>
  <c r="AL44" i="15"/>
  <c r="H14" i="15"/>
  <c r="H12" i="15"/>
  <c r="H24" i="15"/>
  <c r="BL38" i="15"/>
  <c r="H6" i="15"/>
  <c r="H20" i="15"/>
  <c r="BL12" i="15"/>
  <c r="BL9" i="15"/>
  <c r="BL20" i="15"/>
  <c r="C21" i="15"/>
  <c r="R38" i="15"/>
  <c r="AL39" i="15"/>
  <c r="BF45" i="15"/>
  <c r="BL7" i="15"/>
  <c r="H21" i="15"/>
  <c r="AL38" i="15"/>
  <c r="BF42" i="15"/>
  <c r="BF49" i="15"/>
  <c r="R52" i="15"/>
  <c r="R11" i="15"/>
  <c r="H19" i="15"/>
  <c r="AQ21" i="15"/>
  <c r="J27" i="15"/>
  <c r="AG36" i="15"/>
  <c r="BF40" i="15"/>
  <c r="R44" i="15"/>
  <c r="BF46" i="15"/>
  <c r="BF53" i="15"/>
  <c r="AB23" i="15"/>
  <c r="AL36" i="15"/>
  <c r="BF37" i="15"/>
  <c r="BF38" i="15"/>
  <c r="BF39" i="15"/>
  <c r="R43" i="15"/>
  <c r="BF44" i="15"/>
  <c r="BF48" i="15"/>
  <c r="AL50" i="15"/>
  <c r="BF51" i="15"/>
  <c r="H7" i="15"/>
  <c r="R9" i="15"/>
  <c r="R10" i="15"/>
  <c r="H11" i="15"/>
  <c r="R12" i="15"/>
  <c r="BV12" i="15"/>
  <c r="R17" i="15"/>
  <c r="H23" i="15"/>
  <c r="H26" i="15"/>
  <c r="H27" i="15"/>
  <c r="BF36" i="15"/>
  <c r="BF41" i="15"/>
  <c r="BF43" i="15"/>
  <c r="AL47" i="15"/>
  <c r="BA49" i="15"/>
  <c r="AL53" i="15"/>
  <c r="AQ54" i="15"/>
  <c r="BF54" i="15"/>
  <c r="BQ50" i="15"/>
  <c r="AQ47" i="15"/>
  <c r="BL13" i="15"/>
  <c r="BL14" i="15"/>
  <c r="C41" i="15"/>
  <c r="AL54" i="15"/>
  <c r="BL54" i="15"/>
  <c r="AQ50" i="15"/>
  <c r="AQ51" i="15"/>
  <c r="C19" i="15"/>
  <c r="H39" i="15"/>
  <c r="AQ40" i="15"/>
  <c r="AQ41" i="15"/>
  <c r="C53" i="15"/>
  <c r="H47" i="15"/>
  <c r="AB7" i="15"/>
  <c r="BV7" i="15"/>
  <c r="BQ38" i="15"/>
  <c r="M41" i="15"/>
  <c r="AG45" i="15"/>
  <c r="BA46" i="15"/>
  <c r="BL46" i="15"/>
  <c r="BL49" i="15"/>
  <c r="M10" i="15"/>
  <c r="BA16" i="15"/>
  <c r="BA45" i="15"/>
  <c r="BL45" i="15"/>
  <c r="AQ6" i="15"/>
  <c r="AQ9" i="15"/>
  <c r="AQ10" i="15"/>
  <c r="AQ11" i="15"/>
  <c r="AQ14" i="15"/>
  <c r="AB18" i="15"/>
  <c r="BL23" i="15"/>
  <c r="BL6" i="15"/>
  <c r="BA9" i="15"/>
  <c r="BL10" i="15"/>
  <c r="W11" i="15"/>
  <c r="BL11" i="15"/>
  <c r="AQ12" i="15"/>
  <c r="AQ13" i="15"/>
  <c r="BL22" i="15"/>
  <c r="BA39" i="15"/>
  <c r="BL39" i="15"/>
  <c r="BA41" i="15"/>
  <c r="BL41" i="15"/>
  <c r="BL44" i="15"/>
  <c r="H46" i="15"/>
  <c r="AG48" i="15"/>
  <c r="BL48" i="15"/>
  <c r="AG49" i="15"/>
  <c r="BF50" i="15"/>
  <c r="BG65" i="15"/>
  <c r="BL76" i="15"/>
  <c r="AB44" i="15"/>
  <c r="BL17" i="15"/>
  <c r="BA37" i="15"/>
  <c r="BL37" i="15"/>
  <c r="AB38" i="15"/>
  <c r="H40" i="15"/>
  <c r="H42" i="15"/>
  <c r="BL43" i="15"/>
  <c r="AG47" i="15"/>
  <c r="H50" i="15"/>
  <c r="BL52" i="15"/>
  <c r="BL78" i="15"/>
  <c r="AH95" i="15"/>
  <c r="AI96" i="15" s="1"/>
  <c r="AV54" i="15"/>
  <c r="AV50" i="15"/>
  <c r="AV47" i="15"/>
  <c r="AV40" i="15"/>
  <c r="BC27" i="15"/>
  <c r="BA25" i="15"/>
  <c r="BA12" i="15"/>
  <c r="BA24" i="15"/>
  <c r="BA20" i="15"/>
  <c r="BA19" i="15"/>
  <c r="AV38" i="15"/>
  <c r="AH65" i="15"/>
  <c r="AG46" i="15"/>
  <c r="AG44" i="15"/>
  <c r="AG42" i="15"/>
  <c r="AG39" i="15"/>
  <c r="AG53" i="15"/>
  <c r="AG41" i="15"/>
  <c r="AG38" i="15"/>
  <c r="BA10" i="15"/>
  <c r="AL16" i="15"/>
  <c r="AL12" i="15"/>
  <c r="AL6" i="15"/>
  <c r="AL20" i="15"/>
  <c r="BB27" i="15"/>
  <c r="AG40" i="15"/>
  <c r="AG43" i="15"/>
  <c r="AG50" i="15"/>
  <c r="AG54" i="15"/>
  <c r="BG95" i="15"/>
  <c r="AB20" i="15"/>
  <c r="AB13" i="15"/>
  <c r="AD27" i="15"/>
  <c r="AB10" i="15"/>
  <c r="BA6" i="15"/>
  <c r="BA7" i="15"/>
  <c r="BA11" i="15"/>
  <c r="BA13" i="15"/>
  <c r="AB14" i="15"/>
  <c r="AB17" i="15"/>
  <c r="BA18" i="15"/>
  <c r="W24" i="15"/>
  <c r="W17" i="15"/>
  <c r="W6" i="15"/>
  <c r="AQ18" i="15"/>
  <c r="AQ26" i="15"/>
  <c r="AQ22" i="15"/>
  <c r="AQ7" i="15"/>
  <c r="AR27" i="15"/>
  <c r="AQ23" i="15"/>
  <c r="AV44" i="15"/>
  <c r="H37" i="15"/>
  <c r="H38" i="15"/>
  <c r="AQ38" i="15"/>
  <c r="AB40" i="15"/>
  <c r="H43" i="15"/>
  <c r="H45" i="15"/>
  <c r="AQ46" i="15"/>
  <c r="AB47" i="15"/>
  <c r="H48" i="15"/>
  <c r="AB50" i="15"/>
  <c r="H52" i="15"/>
  <c r="BL77" i="15"/>
  <c r="X95" i="15"/>
  <c r="C6" i="15"/>
  <c r="H36" i="15"/>
  <c r="BA36" i="15"/>
  <c r="BL36" i="15"/>
  <c r="AQ37" i="15"/>
  <c r="R40" i="15"/>
  <c r="BL40" i="15"/>
  <c r="H41" i="15"/>
  <c r="R42" i="15"/>
  <c r="BL42" i="15"/>
  <c r="H44" i="15"/>
  <c r="AQ44" i="15"/>
  <c r="R47" i="15"/>
  <c r="BL47" i="15"/>
  <c r="H49" i="15"/>
  <c r="R50" i="15"/>
  <c r="BL50" i="15"/>
  <c r="H51" i="15"/>
  <c r="BA51" i="15"/>
  <c r="BL51" i="15"/>
  <c r="BL53" i="15"/>
  <c r="AB54" i="15"/>
  <c r="AV10" i="15"/>
  <c r="AV25" i="15"/>
  <c r="BQ25" i="15"/>
  <c r="BQ22" i="15"/>
  <c r="BQ21" i="15"/>
  <c r="W54" i="15"/>
  <c r="W47" i="15"/>
  <c r="W44" i="15"/>
  <c r="W40" i="15"/>
  <c r="W50" i="15"/>
  <c r="W38" i="15"/>
  <c r="BQ45" i="15"/>
  <c r="BQ56" i="15"/>
  <c r="BQ51" i="15"/>
  <c r="BQ46" i="15"/>
  <c r="BQ41" i="15"/>
  <c r="BQ37" i="15"/>
  <c r="BQ57" i="15"/>
  <c r="C9" i="15"/>
  <c r="C10" i="15"/>
  <c r="W10" i="15"/>
  <c r="W13" i="15"/>
  <c r="W16" i="15"/>
  <c r="BQ20" i="15"/>
  <c r="AB27" i="15"/>
  <c r="AB26" i="15"/>
  <c r="AB24" i="15"/>
  <c r="AC27" i="15"/>
  <c r="AB9" i="15"/>
  <c r="AB6" i="15"/>
  <c r="AB21" i="15"/>
  <c r="AB11" i="15"/>
  <c r="BV9" i="15"/>
  <c r="BV20" i="15"/>
  <c r="BV13" i="15"/>
  <c r="W45" i="15"/>
  <c r="W46" i="15"/>
  <c r="W51" i="15"/>
  <c r="BC95" i="15"/>
  <c r="AG18" i="15"/>
  <c r="AG10" i="15"/>
  <c r="AX27" i="15"/>
  <c r="AV23" i="15"/>
  <c r="AV14" i="15"/>
  <c r="AV13" i="15"/>
  <c r="AV17" i="15"/>
  <c r="AV21" i="15"/>
  <c r="W21" i="15"/>
  <c r="W25" i="15"/>
  <c r="W23" i="15"/>
  <c r="W7" i="15"/>
  <c r="W9" i="15"/>
  <c r="AG9" i="15"/>
  <c r="AV9" i="15"/>
  <c r="AG16" i="15"/>
  <c r="AV18" i="15"/>
  <c r="BQ18" i="15"/>
  <c r="BQ19" i="15"/>
  <c r="W26" i="15"/>
  <c r="C22" i="15"/>
  <c r="E27" i="15"/>
  <c r="C26" i="15"/>
  <c r="C17" i="15"/>
  <c r="C16" i="15"/>
  <c r="U65" i="15"/>
  <c r="AJ65" i="15"/>
  <c r="AY65" i="15"/>
  <c r="BI65" i="15"/>
  <c r="W37" i="15"/>
  <c r="BQ40" i="15"/>
  <c r="W41" i="15"/>
  <c r="BQ47" i="15"/>
  <c r="BQ54" i="15"/>
  <c r="AV45" i="15"/>
  <c r="AV51" i="15"/>
  <c r="AV46" i="15"/>
  <c r="AV41" i="15"/>
  <c r="AV37" i="15"/>
  <c r="BL24" i="15"/>
  <c r="R36" i="15"/>
  <c r="R37" i="15"/>
  <c r="AB37" i="15"/>
  <c r="AL37" i="15"/>
  <c r="BA38" i="15"/>
  <c r="R39" i="15"/>
  <c r="R41" i="15"/>
  <c r="AB41" i="15"/>
  <c r="AL41" i="15"/>
  <c r="AL42" i="15"/>
  <c r="BA42" i="15"/>
  <c r="AL43" i="15"/>
  <c r="BA43" i="15"/>
  <c r="R46" i="15"/>
  <c r="AB46" i="15"/>
  <c r="AL46" i="15"/>
  <c r="BA48" i="15"/>
  <c r="R49" i="15"/>
  <c r="BA50" i="15"/>
  <c r="R51" i="15"/>
  <c r="AB51" i="15"/>
  <c r="AL51" i="15"/>
  <c r="AL52" i="15"/>
  <c r="H53" i="15"/>
  <c r="H54" i="15"/>
  <c r="BA54" i="15"/>
  <c r="I65" i="15"/>
  <c r="N95" i="15"/>
  <c r="AR95" i="15"/>
  <c r="AS96" i="15" s="1"/>
  <c r="C36" i="15"/>
  <c r="BD65" i="15"/>
  <c r="BO65" i="15"/>
  <c r="C39" i="15"/>
  <c r="BA40" i="15"/>
  <c r="BA44" i="15"/>
  <c r="R45" i="15"/>
  <c r="AB45" i="15"/>
  <c r="AL45" i="15"/>
  <c r="BA47" i="15"/>
  <c r="R48" i="15"/>
  <c r="R53" i="15"/>
  <c r="R54" i="15"/>
  <c r="S65" i="15"/>
  <c r="AM65" i="15"/>
  <c r="AN66" i="15" s="1"/>
  <c r="BW27" i="15"/>
  <c r="BV26" i="15"/>
  <c r="BV16" i="15"/>
  <c r="BF17" i="15"/>
  <c r="BV17" i="15"/>
  <c r="C23" i="15"/>
  <c r="BV24" i="15"/>
  <c r="D27" i="15"/>
  <c r="Y27" i="15"/>
  <c r="AT65" i="15"/>
  <c r="AD65" i="15"/>
  <c r="AC65" i="15"/>
  <c r="AB53" i="15"/>
  <c r="AB52" i="15"/>
  <c r="AB43" i="15"/>
  <c r="AB39" i="15"/>
  <c r="AB36" i="15"/>
  <c r="AB49" i="15"/>
  <c r="AB48" i="15"/>
  <c r="AB42" i="15"/>
  <c r="BS65" i="15"/>
  <c r="BR65" i="15"/>
  <c r="BQ53" i="15"/>
  <c r="BQ52" i="15"/>
  <c r="BQ43" i="15"/>
  <c r="BQ39" i="15"/>
  <c r="BQ36" i="15"/>
  <c r="BQ55" i="15"/>
  <c r="BQ49" i="15"/>
  <c r="BQ48" i="15"/>
  <c r="BQ42" i="15"/>
  <c r="S95" i="15"/>
  <c r="BV6" i="15"/>
  <c r="M9" i="15"/>
  <c r="W19" i="15"/>
  <c r="BV22" i="15"/>
  <c r="BV25" i="15"/>
  <c r="AL26" i="15"/>
  <c r="AL11" i="15"/>
  <c r="BX27" i="15"/>
  <c r="Z65" i="15"/>
  <c r="AR65" i="15"/>
  <c r="AQ49" i="15"/>
  <c r="AQ48" i="15"/>
  <c r="AQ42" i="15"/>
  <c r="AQ53" i="15"/>
  <c r="AQ52" i="15"/>
  <c r="AQ43" i="15"/>
  <c r="AQ39" i="15"/>
  <c r="AQ36" i="15"/>
  <c r="BF25" i="15"/>
  <c r="BF24" i="15"/>
  <c r="CE95" i="15"/>
  <c r="CF78" i="15" s="1"/>
  <c r="BZ27" i="15"/>
  <c r="CA88" i="15" s="1"/>
  <c r="BV11" i="15"/>
  <c r="BV19" i="15"/>
  <c r="C24" i="15"/>
  <c r="C14" i="15"/>
  <c r="C11" i="15"/>
  <c r="X27" i="15"/>
  <c r="W22" i="15"/>
  <c r="W12" i="15"/>
  <c r="AE65" i="15"/>
  <c r="AO65" i="15"/>
  <c r="C51" i="15"/>
  <c r="C50" i="15"/>
  <c r="C44" i="15"/>
  <c r="C37" i="15"/>
  <c r="C47" i="15"/>
  <c r="X65" i="15"/>
  <c r="W49" i="15"/>
  <c r="W48" i="15"/>
  <c r="W42" i="15"/>
  <c r="W53" i="15"/>
  <c r="W52" i="15"/>
  <c r="W43" i="15"/>
  <c r="W39" i="15"/>
  <c r="W36" i="15"/>
  <c r="AX65" i="15"/>
  <c r="AV53" i="15"/>
  <c r="AV52" i="15"/>
  <c r="AV43" i="15"/>
  <c r="AV39" i="15"/>
  <c r="AV36" i="15"/>
  <c r="AW65" i="15"/>
  <c r="AV49" i="15"/>
  <c r="AV48" i="15"/>
  <c r="AV42" i="15"/>
  <c r="I95" i="15"/>
  <c r="BR95" i="15"/>
  <c r="BQ76" i="15"/>
  <c r="BQ79" i="15"/>
  <c r="BQ78" i="15"/>
  <c r="BQ77" i="15"/>
  <c r="BM95" i="15"/>
  <c r="BA22" i="15"/>
  <c r="AL48" i="15"/>
  <c r="AL49" i="15"/>
  <c r="BA52" i="15"/>
  <c r="BA53" i="15"/>
  <c r="D95" i="15"/>
  <c r="BB95" i="15"/>
  <c r="R20" i="15"/>
  <c r="R21" i="15"/>
  <c r="AL21" i="15"/>
  <c r="AL23" i="15"/>
  <c r="R25" i="15"/>
  <c r="M27" i="15"/>
  <c r="M25" i="15"/>
  <c r="M19" i="15"/>
  <c r="M17" i="15"/>
  <c r="N27" i="15"/>
  <c r="M22" i="15"/>
  <c r="M20" i="15"/>
  <c r="M16" i="15"/>
  <c r="M14" i="15"/>
  <c r="M12" i="15"/>
  <c r="M11" i="15"/>
  <c r="M7" i="15"/>
  <c r="M6" i="15"/>
  <c r="O27" i="15"/>
  <c r="AG27" i="15"/>
  <c r="AG24" i="15"/>
  <c r="AG23" i="15"/>
  <c r="AG20" i="15"/>
  <c r="AG17" i="15"/>
  <c r="AI27" i="15"/>
  <c r="AG12" i="15"/>
  <c r="AG11" i="15"/>
  <c r="AG6" i="15"/>
  <c r="AH27" i="15"/>
  <c r="BF27" i="15"/>
  <c r="BF20" i="15"/>
  <c r="BG27" i="15"/>
  <c r="BF23" i="15"/>
  <c r="BF16" i="15"/>
  <c r="BF9" i="15"/>
  <c r="BF26" i="15"/>
  <c r="BQ94" i="15"/>
  <c r="BQ92" i="15"/>
  <c r="BQ90" i="15"/>
  <c r="BQ88" i="15"/>
  <c r="BQ86" i="15"/>
  <c r="BQ84" i="15"/>
  <c r="BQ82" i="15"/>
  <c r="BQ93" i="15"/>
  <c r="BQ91" i="15"/>
  <c r="BQ89" i="15"/>
  <c r="BQ87" i="15"/>
  <c r="BQ85" i="15"/>
  <c r="BQ83" i="15"/>
  <c r="BQ27" i="15"/>
  <c r="BQ26" i="15"/>
  <c r="BQ24" i="15"/>
  <c r="BQ17" i="15"/>
  <c r="BQ23" i="15"/>
  <c r="BQ12" i="15"/>
  <c r="BQ6" i="15"/>
  <c r="BR27" i="15"/>
  <c r="R6" i="15"/>
  <c r="BF6" i="15"/>
  <c r="AL7" i="15"/>
  <c r="BQ7" i="15"/>
  <c r="BQ9" i="15"/>
  <c r="BF12" i="15"/>
  <c r="R13" i="15"/>
  <c r="AG13" i="15"/>
  <c r="BF13" i="15"/>
  <c r="AG14" i="15"/>
  <c r="AL17" i="15"/>
  <c r="M18" i="15"/>
  <c r="BF21" i="15"/>
  <c r="M23" i="15"/>
  <c r="R24" i="15"/>
  <c r="BH27" i="15"/>
  <c r="BS27" i="15"/>
  <c r="R22" i="15"/>
  <c r="R27" i="15"/>
  <c r="R19" i="15"/>
  <c r="R18" i="15"/>
  <c r="T27" i="15"/>
  <c r="AL22" i="15"/>
  <c r="AL19" i="15"/>
  <c r="AN27" i="15"/>
  <c r="AL25" i="15"/>
  <c r="AL24" i="15"/>
  <c r="AL14" i="15"/>
  <c r="AL9" i="15"/>
  <c r="AL27" i="15"/>
  <c r="N65" i="15"/>
  <c r="M54" i="15"/>
  <c r="M48" i="15"/>
  <c r="M45" i="15"/>
  <c r="M43" i="15"/>
  <c r="M40" i="15"/>
  <c r="O65" i="15"/>
  <c r="M52" i="15"/>
  <c r="M46" i="15"/>
  <c r="M42" i="15"/>
  <c r="M38" i="15"/>
  <c r="M44" i="15"/>
  <c r="M50" i="15"/>
  <c r="M37" i="15"/>
  <c r="M36" i="15"/>
  <c r="M51" i="15"/>
  <c r="P65" i="15"/>
  <c r="M53" i="15"/>
  <c r="M39" i="15"/>
  <c r="CE27" i="15"/>
  <c r="CF19" i="15" s="1"/>
  <c r="R7" i="15"/>
  <c r="AG7" i="15"/>
  <c r="BF7" i="15"/>
  <c r="BF11" i="15"/>
  <c r="BQ11" i="15"/>
  <c r="M13" i="15"/>
  <c r="AL13" i="15"/>
  <c r="BQ13" i="15"/>
  <c r="R14" i="15"/>
  <c r="BF14" i="15"/>
  <c r="BQ14" i="15"/>
  <c r="BQ16" i="15"/>
  <c r="F27" i="15"/>
  <c r="BF18" i="15"/>
  <c r="AG19" i="15"/>
  <c r="BF19" i="15"/>
  <c r="AG22" i="15"/>
  <c r="BF22" i="15"/>
  <c r="R23" i="15"/>
  <c r="M24" i="15"/>
  <c r="M26" i="15"/>
  <c r="AG26" i="15"/>
  <c r="S27" i="15"/>
  <c r="AM27" i="15"/>
  <c r="AV27" i="15"/>
  <c r="AV24" i="15"/>
  <c r="AV22" i="15"/>
  <c r="AV19" i="15"/>
  <c r="AV20" i="15"/>
  <c r="AV16" i="15"/>
  <c r="AV12" i="15"/>
  <c r="AV11" i="15"/>
  <c r="AV6" i="15"/>
  <c r="AW27" i="15"/>
  <c r="AV26" i="15"/>
  <c r="M49" i="15"/>
  <c r="C27" i="15"/>
  <c r="C25" i="15"/>
  <c r="C18" i="15"/>
  <c r="H22" i="15"/>
  <c r="H16" i="15"/>
  <c r="AQ27" i="15"/>
  <c r="AQ25" i="15"/>
  <c r="AQ20" i="15"/>
  <c r="AQ16" i="15"/>
  <c r="BL93" i="15"/>
  <c r="BL91" i="15"/>
  <c r="BL89" i="15"/>
  <c r="BL87" i="15"/>
  <c r="BL85" i="15"/>
  <c r="BL83" i="15"/>
  <c r="BL94" i="15"/>
  <c r="BL92" i="15"/>
  <c r="BL90" i="15"/>
  <c r="BL88" i="15"/>
  <c r="BL86" i="15"/>
  <c r="BL84" i="15"/>
  <c r="BL82" i="15"/>
  <c r="BL27" i="15"/>
  <c r="BL25" i="15"/>
  <c r="BL21" i="15"/>
  <c r="BL18" i="15"/>
  <c r="BL16" i="15"/>
  <c r="F65" i="15"/>
  <c r="C7" i="15"/>
  <c r="H9" i="15"/>
  <c r="H10" i="15"/>
  <c r="C13" i="15"/>
  <c r="H17" i="15"/>
  <c r="AQ17" i="15"/>
  <c r="H18" i="15"/>
  <c r="AQ19" i="15"/>
  <c r="BL19" i="15"/>
  <c r="C20" i="15"/>
  <c r="H25" i="15"/>
  <c r="BL26" i="15"/>
  <c r="I27" i="15"/>
  <c r="W27" i="15"/>
  <c r="W20" i="15"/>
  <c r="W18" i="15"/>
  <c r="AB25" i="15"/>
  <c r="AB22" i="15"/>
  <c r="AB19" i="15"/>
  <c r="AB16" i="15"/>
  <c r="AS27" i="15"/>
  <c r="BA27" i="15"/>
  <c r="BA26" i="15"/>
  <c r="BA23" i="15"/>
  <c r="BA17" i="15"/>
  <c r="BA14" i="15"/>
  <c r="BN27" i="15"/>
  <c r="BV93" i="15"/>
  <c r="BV91" i="15"/>
  <c r="BV89" i="15"/>
  <c r="BV87" i="15"/>
  <c r="BV85" i="15"/>
  <c r="BV83" i="15"/>
  <c r="BV94" i="15"/>
  <c r="BV92" i="15"/>
  <c r="BV90" i="15"/>
  <c r="BV88" i="15"/>
  <c r="BV86" i="15"/>
  <c r="BV84" i="15"/>
  <c r="BV82" i="15"/>
  <c r="BV27" i="15"/>
  <c r="BV23" i="15"/>
  <c r="BV21" i="15"/>
  <c r="BV18" i="15"/>
  <c r="BV14" i="15"/>
  <c r="K65" i="15"/>
  <c r="BU65" i="15"/>
  <c r="BV42" i="15" s="1"/>
  <c r="BZ65" i="15"/>
  <c r="CA38" i="15" s="1"/>
  <c r="D65" i="15"/>
  <c r="E65" i="15"/>
  <c r="C54" i="15"/>
  <c r="C48" i="15"/>
  <c r="C45" i="15"/>
  <c r="C43" i="15"/>
  <c r="C40" i="15"/>
  <c r="C65" i="15"/>
  <c r="C52" i="15"/>
  <c r="C46" i="15"/>
  <c r="C42" i="15"/>
  <c r="C38" i="15"/>
  <c r="CE65" i="15"/>
  <c r="CG65" i="15" s="1"/>
  <c r="BZ95" i="15"/>
  <c r="CA78" i="15" s="1"/>
  <c r="BU95" i="15"/>
  <c r="BY95" i="15" s="1"/>
  <c r="Y65" i="15"/>
  <c r="AI65" i="15"/>
  <c r="AS65" i="15"/>
  <c r="BC65" i="15"/>
  <c r="BN65" i="15"/>
  <c r="J95" i="15"/>
  <c r="T95" i="15"/>
  <c r="AD95" i="15"/>
  <c r="AN95" i="15"/>
  <c r="AN96" i="15" s="1"/>
  <c r="AX95" i="15"/>
  <c r="BH95" i="15"/>
  <c r="BS95" i="15"/>
  <c r="CI95" i="15" l="1"/>
  <c r="CA55" i="15"/>
  <c r="CD95" i="15"/>
  <c r="CF77" i="15"/>
  <c r="BF65" i="15"/>
  <c r="CF41" i="15"/>
  <c r="AL65" i="15"/>
  <c r="BQ65" i="15"/>
  <c r="BL65" i="15"/>
  <c r="CA57" i="15"/>
  <c r="CA49" i="15"/>
  <c r="CH95" i="15"/>
  <c r="CG95" i="15"/>
  <c r="CA56" i="15"/>
  <c r="CF79" i="15"/>
  <c r="CF60" i="15"/>
  <c r="CB65" i="15"/>
  <c r="AG65" i="15"/>
  <c r="AI66" i="15"/>
  <c r="R65" i="15"/>
  <c r="CA37" i="15"/>
  <c r="CA18" i="15"/>
  <c r="CF76" i="15"/>
  <c r="H65" i="15"/>
  <c r="CF37" i="15"/>
  <c r="CF47" i="15"/>
  <c r="CA90" i="15"/>
  <c r="CA20" i="15"/>
  <c r="CA14" i="15"/>
  <c r="CA11" i="15"/>
  <c r="CA87" i="15"/>
  <c r="CA26" i="15"/>
  <c r="CB27" i="15"/>
  <c r="AV65" i="15"/>
  <c r="W65" i="15"/>
  <c r="CC65" i="15"/>
  <c r="CA48" i="15"/>
  <c r="AS66" i="15"/>
  <c r="CA64" i="15"/>
  <c r="CA43" i="15"/>
  <c r="CA36" i="15"/>
  <c r="CA82" i="15"/>
  <c r="BA65" i="15"/>
  <c r="AQ65" i="15"/>
  <c r="AB65" i="15"/>
  <c r="BQ95" i="15"/>
  <c r="CA22" i="15"/>
  <c r="CA10" i="15"/>
  <c r="CA13" i="15"/>
  <c r="CC27" i="15"/>
  <c r="CA27" i="15"/>
  <c r="CA89" i="15"/>
  <c r="CA84" i="15"/>
  <c r="CA92" i="15"/>
  <c r="CA6" i="15"/>
  <c r="CA19" i="15"/>
  <c r="CA23" i="15"/>
  <c r="CA25" i="15"/>
  <c r="CA12" i="15"/>
  <c r="CA21" i="15"/>
  <c r="CA9" i="15"/>
  <c r="CA83" i="15"/>
  <c r="CA91" i="15"/>
  <c r="CA86" i="15"/>
  <c r="CA94" i="15"/>
  <c r="CA16" i="15"/>
  <c r="CA24" i="15"/>
  <c r="CA7" i="15"/>
  <c r="CA17" i="15"/>
  <c r="CA85" i="15"/>
  <c r="CA93" i="15"/>
  <c r="BV60" i="15"/>
  <c r="BV50" i="15"/>
  <c r="BV56" i="15"/>
  <c r="BV44" i="15"/>
  <c r="BV55" i="15"/>
  <c r="BV53" i="15"/>
  <c r="BV39" i="15"/>
  <c r="BV38" i="15"/>
  <c r="BV59" i="15"/>
  <c r="BV58" i="15"/>
  <c r="BV51" i="15"/>
  <c r="BV47" i="15"/>
  <c r="BV49" i="15"/>
  <c r="BV41" i="15"/>
  <c r="BX95" i="15"/>
  <c r="BW95" i="15"/>
  <c r="BV79" i="15"/>
  <c r="BV77" i="15"/>
  <c r="CB95" i="15"/>
  <c r="CC95" i="15"/>
  <c r="CA79" i="15"/>
  <c r="CA77" i="15"/>
  <c r="CH65" i="15"/>
  <c r="CF51" i="15"/>
  <c r="CF43" i="15"/>
  <c r="BW65" i="15"/>
  <c r="BV48" i="15"/>
  <c r="M65" i="15"/>
  <c r="CF64" i="15"/>
  <c r="BV40" i="15"/>
  <c r="K27" i="15"/>
  <c r="CF44" i="15"/>
  <c r="BT65" i="15"/>
  <c r="BV78" i="15"/>
  <c r="CA76" i="15"/>
  <c r="CF39" i="15"/>
  <c r="CF59" i="15"/>
  <c r="BV43" i="15"/>
  <c r="CA60" i="15"/>
  <c r="CA50" i="15"/>
  <c r="CD65" i="15"/>
  <c r="CA45" i="15"/>
  <c r="CA44" i="15"/>
  <c r="CA53" i="15"/>
  <c r="CA42" i="15"/>
  <c r="CA39" i="15"/>
  <c r="CA59" i="15"/>
  <c r="CA58" i="15"/>
  <c r="CA51" i="15"/>
  <c r="CA47" i="15"/>
  <c r="CA41" i="15"/>
  <c r="BV46" i="15"/>
  <c r="BV36" i="15"/>
  <c r="BV57" i="15"/>
  <c r="CA46" i="15"/>
  <c r="BY65" i="15"/>
  <c r="BL95" i="15"/>
  <c r="BV52" i="15"/>
  <c r="BV54" i="15"/>
  <c r="CF24" i="15"/>
  <c r="CA52" i="15"/>
  <c r="CF93" i="15"/>
  <c r="CF91" i="15"/>
  <c r="CF89" i="15"/>
  <c r="CF87" i="15"/>
  <c r="CF85" i="15"/>
  <c r="CF83" i="15"/>
  <c r="CF94" i="15"/>
  <c r="CF92" i="15"/>
  <c r="CF90" i="15"/>
  <c r="CF88" i="15"/>
  <c r="CF86" i="15"/>
  <c r="CF84" i="15"/>
  <c r="CF82" i="15"/>
  <c r="CF55" i="15"/>
  <c r="CF40" i="15"/>
  <c r="CF56" i="15"/>
  <c r="CF54" i="15"/>
  <c r="CF52" i="15"/>
  <c r="CF48" i="15"/>
  <c r="CF46" i="15"/>
  <c r="CF45" i="15"/>
  <c r="CF27" i="15"/>
  <c r="CF42" i="15"/>
  <c r="CF36" i="15"/>
  <c r="CF22" i="15"/>
  <c r="CF14" i="15"/>
  <c r="CF58" i="15"/>
  <c r="CF57" i="15"/>
  <c r="CG27" i="15"/>
  <c r="CF17" i="15"/>
  <c r="CF18" i="15"/>
  <c r="CF16" i="15"/>
  <c r="CF7" i="15"/>
  <c r="CF38" i="15"/>
  <c r="CF23" i="15"/>
  <c r="CF21" i="15"/>
  <c r="CF20" i="15"/>
  <c r="CF13" i="15"/>
  <c r="CF11" i="15"/>
  <c r="CF10" i="15"/>
  <c r="CF25" i="15"/>
  <c r="BV76" i="15"/>
  <c r="CF49" i="15"/>
  <c r="CI65" i="15"/>
  <c r="CF53" i="15"/>
  <c r="BV45" i="15"/>
  <c r="BX65" i="15"/>
  <c r="CF50" i="15"/>
  <c r="CA54" i="15"/>
  <c r="BV37" i="15"/>
  <c r="CF26" i="15"/>
  <c r="CF12" i="15"/>
  <c r="CF6" i="15"/>
  <c r="CA40" i="15"/>
  <c r="CF9" i="15"/>
  <c r="AX97" i="12"/>
  <c r="AR97" i="12"/>
  <c r="AN97" i="12"/>
  <c r="AK97" i="12"/>
  <c r="AH97" i="12"/>
  <c r="AE97" i="12"/>
  <c r="AB97" i="12"/>
  <c r="Y97" i="12"/>
  <c r="V97" i="12"/>
  <c r="P97" i="12"/>
  <c r="M97" i="12"/>
  <c r="J97" i="12"/>
  <c r="G97" i="12"/>
  <c r="D97" i="12"/>
  <c r="BD95" i="12"/>
  <c r="BB95" i="12"/>
  <c r="BD97" i="12" s="1"/>
  <c r="AY95" i="12"/>
  <c r="BA97" i="12" s="1"/>
  <c r="AV95" i="12"/>
  <c r="AS95" i="12"/>
  <c r="AP95" i="12"/>
  <c r="Q95" i="12"/>
  <c r="C81" i="12"/>
  <c r="C80" i="12"/>
  <c r="C79" i="12"/>
  <c r="C78" i="12"/>
  <c r="C77" i="12"/>
  <c r="C76" i="12"/>
  <c r="BB74" i="12"/>
  <c r="AY74" i="12"/>
  <c r="AV74" i="12"/>
  <c r="AS74" i="12"/>
  <c r="BD67" i="12"/>
  <c r="AN67" i="12"/>
  <c r="AK67" i="12"/>
  <c r="AH67" i="12"/>
  <c r="AE67" i="12"/>
  <c r="AB67" i="12"/>
  <c r="Y67" i="12"/>
  <c r="V67" i="12"/>
  <c r="S67" i="12"/>
  <c r="P67" i="12"/>
  <c r="M67" i="12"/>
  <c r="J67" i="12"/>
  <c r="G67" i="12"/>
  <c r="D67" i="12"/>
  <c r="AS66" i="12"/>
  <c r="AP66" i="12"/>
  <c r="AI66" i="12"/>
  <c r="AF66" i="12"/>
  <c r="AC66" i="12"/>
  <c r="Z66" i="12"/>
  <c r="W66" i="12"/>
  <c r="T66" i="12"/>
  <c r="Q66" i="12"/>
  <c r="N66" i="12"/>
  <c r="K66" i="12"/>
  <c r="H66" i="12"/>
  <c r="E66" i="12"/>
  <c r="B66" i="12"/>
  <c r="BD65" i="12"/>
  <c r="BB65" i="12"/>
  <c r="AY65" i="12"/>
  <c r="AV65" i="12"/>
  <c r="AU65" i="12"/>
  <c r="AS65" i="12"/>
  <c r="AT54" i="12" s="1"/>
  <c r="AP65" i="12"/>
  <c r="AR67" i="12" s="1"/>
  <c r="BC60" i="12"/>
  <c r="AW60" i="12"/>
  <c r="BC59" i="12"/>
  <c r="AZ59" i="12"/>
  <c r="BC58" i="12"/>
  <c r="AW58" i="12"/>
  <c r="BC57" i="12"/>
  <c r="AW57" i="12"/>
  <c r="AT57" i="12"/>
  <c r="BC56" i="12"/>
  <c r="AW56" i="12"/>
  <c r="AQ56" i="12"/>
  <c r="BC55" i="12"/>
  <c r="AZ55" i="12"/>
  <c r="AT55" i="12"/>
  <c r="AQ55" i="12"/>
  <c r="BC54" i="12"/>
  <c r="AW54" i="12"/>
  <c r="AQ54" i="12"/>
  <c r="AM54" i="12"/>
  <c r="AJ54" i="12"/>
  <c r="AG54" i="12"/>
  <c r="AD54" i="12"/>
  <c r="AA54" i="12"/>
  <c r="X54" i="12"/>
  <c r="U54" i="12"/>
  <c r="R54" i="12"/>
  <c r="O54" i="12"/>
  <c r="L54" i="12"/>
  <c r="I54" i="12"/>
  <c r="F54" i="12"/>
  <c r="C54" i="12"/>
  <c r="BC53" i="12"/>
  <c r="AW53" i="12"/>
  <c r="AQ53" i="12"/>
  <c r="AM53" i="12"/>
  <c r="AJ53" i="12"/>
  <c r="AG53" i="12"/>
  <c r="AD53" i="12"/>
  <c r="AA53" i="12"/>
  <c r="X53" i="12"/>
  <c r="U53" i="12"/>
  <c r="R53" i="12"/>
  <c r="O53" i="12"/>
  <c r="L53" i="12"/>
  <c r="I53" i="12"/>
  <c r="F53" i="12"/>
  <c r="C53" i="12"/>
  <c r="BC52" i="12"/>
  <c r="AW52" i="12"/>
  <c r="AQ52" i="12"/>
  <c r="AM52" i="12"/>
  <c r="AJ52" i="12"/>
  <c r="AG52" i="12"/>
  <c r="AD52" i="12"/>
  <c r="AA52" i="12"/>
  <c r="X52" i="12"/>
  <c r="U52" i="12"/>
  <c r="R52" i="12"/>
  <c r="O52" i="12"/>
  <c r="L52" i="12"/>
  <c r="I52" i="12"/>
  <c r="F52" i="12"/>
  <c r="C52" i="12"/>
  <c r="BC51" i="12"/>
  <c r="AW51" i="12"/>
  <c r="AQ51" i="12"/>
  <c r="AM51" i="12"/>
  <c r="AJ51" i="12"/>
  <c r="AG51" i="12"/>
  <c r="AD51" i="12"/>
  <c r="AA51" i="12"/>
  <c r="X51" i="12"/>
  <c r="U51" i="12"/>
  <c r="R51" i="12"/>
  <c r="O51" i="12"/>
  <c r="L51" i="12"/>
  <c r="I51" i="12"/>
  <c r="F51" i="12"/>
  <c r="C51" i="12"/>
  <c r="BC50" i="12"/>
  <c r="AW50" i="12"/>
  <c r="AQ50" i="12"/>
  <c r="AM50" i="12"/>
  <c r="AJ50" i="12"/>
  <c r="AG50" i="12"/>
  <c r="AD50" i="12"/>
  <c r="AA50" i="12"/>
  <c r="X50" i="12"/>
  <c r="U50" i="12"/>
  <c r="R50" i="12"/>
  <c r="O50" i="12"/>
  <c r="L50" i="12"/>
  <c r="I50" i="12"/>
  <c r="F50" i="12"/>
  <c r="C50" i="12"/>
  <c r="BC49" i="12"/>
  <c r="AW49" i="12"/>
  <c r="AQ49" i="12"/>
  <c r="AM49" i="12"/>
  <c r="AJ49" i="12"/>
  <c r="AG49" i="12"/>
  <c r="AD49" i="12"/>
  <c r="AA49" i="12"/>
  <c r="X49" i="12"/>
  <c r="U49" i="12"/>
  <c r="R49" i="12"/>
  <c r="O49" i="12"/>
  <c r="L49" i="12"/>
  <c r="I49" i="12"/>
  <c r="F49" i="12"/>
  <c r="C49" i="12"/>
  <c r="BC48" i="12"/>
  <c r="AW48" i="12"/>
  <c r="AQ48" i="12"/>
  <c r="AM48" i="12"/>
  <c r="AJ48" i="12"/>
  <c r="AG48" i="12"/>
  <c r="AD48" i="12"/>
  <c r="AA48" i="12"/>
  <c r="X48" i="12"/>
  <c r="U48" i="12"/>
  <c r="R48" i="12"/>
  <c r="O48" i="12"/>
  <c r="L48" i="12"/>
  <c r="I48" i="12"/>
  <c r="F48" i="12"/>
  <c r="C48" i="12"/>
  <c r="BC47" i="12"/>
  <c r="AW47" i="12"/>
  <c r="AQ47" i="12"/>
  <c r="AM47" i="12"/>
  <c r="AJ47" i="12"/>
  <c r="AG47" i="12"/>
  <c r="AD47" i="12"/>
  <c r="AA47" i="12"/>
  <c r="X47" i="12"/>
  <c r="U47" i="12"/>
  <c r="R47" i="12"/>
  <c r="O47" i="12"/>
  <c r="L47" i="12"/>
  <c r="I47" i="12"/>
  <c r="F47" i="12"/>
  <c r="C47" i="12"/>
  <c r="BC46" i="12"/>
  <c r="AW46" i="12"/>
  <c r="AQ46" i="12"/>
  <c r="AM46" i="12"/>
  <c r="AJ46" i="12"/>
  <c r="AG46" i="12"/>
  <c r="AD46" i="12"/>
  <c r="AA46" i="12"/>
  <c r="X46" i="12"/>
  <c r="U46" i="12"/>
  <c r="R46" i="12"/>
  <c r="O46" i="12"/>
  <c r="L46" i="12"/>
  <c r="I46" i="12"/>
  <c r="F46" i="12"/>
  <c r="C46" i="12"/>
  <c r="BC45" i="12"/>
  <c r="AW45" i="12"/>
  <c r="AQ45" i="12"/>
  <c r="AM45" i="12"/>
  <c r="AJ45" i="12"/>
  <c r="AG45" i="12"/>
  <c r="AD45" i="12"/>
  <c r="AA45" i="12"/>
  <c r="X45" i="12"/>
  <c r="U45" i="12"/>
  <c r="R45" i="12"/>
  <c r="O45" i="12"/>
  <c r="L45" i="12"/>
  <c r="I45" i="12"/>
  <c r="F45" i="12"/>
  <c r="C45" i="12"/>
  <c r="BC44" i="12"/>
  <c r="AW44" i="12"/>
  <c r="AQ44" i="12"/>
  <c r="AM44" i="12"/>
  <c r="AJ44" i="12"/>
  <c r="AG44" i="12"/>
  <c r="AD44" i="12"/>
  <c r="AA44" i="12"/>
  <c r="X44" i="12"/>
  <c r="U44" i="12"/>
  <c r="R44" i="12"/>
  <c r="O44" i="12"/>
  <c r="L44" i="12"/>
  <c r="I44" i="12"/>
  <c r="F44" i="12"/>
  <c r="C44" i="12"/>
  <c r="BC43" i="12"/>
  <c r="AW43" i="12"/>
  <c r="AQ43" i="12"/>
  <c r="AM43" i="12"/>
  <c r="AJ43" i="12"/>
  <c r="AG43" i="12"/>
  <c r="AD43" i="12"/>
  <c r="AA43" i="12"/>
  <c r="X43" i="12"/>
  <c r="U43" i="12"/>
  <c r="R43" i="12"/>
  <c r="O43" i="12"/>
  <c r="L43" i="12"/>
  <c r="I43" i="12"/>
  <c r="F43" i="12"/>
  <c r="C43" i="12"/>
  <c r="BC42" i="12"/>
  <c r="AW42" i="12"/>
  <c r="AQ42" i="12"/>
  <c r="AM42" i="12"/>
  <c r="AJ42" i="12"/>
  <c r="AG42" i="12"/>
  <c r="AD42" i="12"/>
  <c r="AA42" i="12"/>
  <c r="X42" i="12"/>
  <c r="U42" i="12"/>
  <c r="R42" i="12"/>
  <c r="O42" i="12"/>
  <c r="L42" i="12"/>
  <c r="I42" i="12"/>
  <c r="F42" i="12"/>
  <c r="C42" i="12"/>
  <c r="BC41" i="12"/>
  <c r="AW41" i="12"/>
  <c r="AQ41" i="12"/>
  <c r="AM41" i="12"/>
  <c r="AJ41" i="12"/>
  <c r="AG41" i="12"/>
  <c r="AD41" i="12"/>
  <c r="AA41" i="12"/>
  <c r="X41" i="12"/>
  <c r="U41" i="12"/>
  <c r="R41" i="12"/>
  <c r="O41" i="12"/>
  <c r="L41" i="12"/>
  <c r="I41" i="12"/>
  <c r="F41" i="12"/>
  <c r="C41" i="12"/>
  <c r="BC40" i="12"/>
  <c r="AW40" i="12"/>
  <c r="AQ40" i="12"/>
  <c r="AM40" i="12"/>
  <c r="AJ40" i="12"/>
  <c r="AG40" i="12"/>
  <c r="AD40" i="12"/>
  <c r="AA40" i="12"/>
  <c r="X40" i="12"/>
  <c r="U40" i="12"/>
  <c r="R40" i="12"/>
  <c r="O40" i="12"/>
  <c r="L40" i="12"/>
  <c r="I40" i="12"/>
  <c r="F40" i="12"/>
  <c r="C40" i="12"/>
  <c r="BC39" i="12"/>
  <c r="AW39" i="12"/>
  <c r="AQ39" i="12"/>
  <c r="AM39" i="12"/>
  <c r="AJ39" i="12"/>
  <c r="AG39" i="12"/>
  <c r="AD39" i="12"/>
  <c r="AA39" i="12"/>
  <c r="X39" i="12"/>
  <c r="U39" i="12"/>
  <c r="R39" i="12"/>
  <c r="O39" i="12"/>
  <c r="L39" i="12"/>
  <c r="I39" i="12"/>
  <c r="F39" i="12"/>
  <c r="C39" i="12"/>
  <c r="BC38" i="12"/>
  <c r="AW38" i="12"/>
  <c r="AQ38" i="12"/>
  <c r="AM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BC37" i="12"/>
  <c r="AW37" i="12"/>
  <c r="AQ37" i="12"/>
  <c r="AM37" i="12"/>
  <c r="AJ37" i="12"/>
  <c r="AG37" i="12"/>
  <c r="AD37" i="12"/>
  <c r="AA37" i="12"/>
  <c r="X37" i="12"/>
  <c r="U37" i="12"/>
  <c r="R37" i="12"/>
  <c r="O37" i="12"/>
  <c r="L37" i="12"/>
  <c r="I37" i="12"/>
  <c r="F37" i="12"/>
  <c r="C37" i="12"/>
  <c r="BC36" i="12"/>
  <c r="AW36" i="12"/>
  <c r="AQ36" i="12"/>
  <c r="AM36" i="12"/>
  <c r="AJ36" i="12"/>
  <c r="AG36" i="12"/>
  <c r="AD36" i="12"/>
  <c r="AA36" i="12"/>
  <c r="X36" i="12"/>
  <c r="U36" i="12"/>
  <c r="R36" i="12"/>
  <c r="O36" i="12"/>
  <c r="L36" i="12"/>
  <c r="I36" i="12"/>
  <c r="F36" i="12"/>
  <c r="C36" i="12"/>
  <c r="BB34" i="12"/>
  <c r="AY34" i="12"/>
  <c r="AV34" i="12"/>
  <c r="AS34" i="12"/>
  <c r="BD29" i="12"/>
  <c r="P29" i="12"/>
  <c r="G29" i="12"/>
  <c r="BD27" i="12"/>
  <c r="BB27" i="12"/>
  <c r="AZ27" i="12"/>
  <c r="AY27" i="12"/>
  <c r="AZ18" i="12" s="1"/>
  <c r="AV27" i="12"/>
  <c r="AW27" i="12" s="1"/>
  <c r="AS27" i="12"/>
  <c r="AP27" i="12"/>
  <c r="AQ27" i="12" s="1"/>
  <c r="AM27" i="12"/>
  <c r="AL27" i="12"/>
  <c r="AI27" i="12"/>
  <c r="AJ27" i="12" s="1"/>
  <c r="AF27" i="12"/>
  <c r="AC27" i="12"/>
  <c r="AD27" i="12" s="1"/>
  <c r="AA27" i="12"/>
  <c r="Z27" i="12"/>
  <c r="AA22" i="12" s="1"/>
  <c r="W27" i="12"/>
  <c r="X27" i="12" s="1"/>
  <c r="T27" i="12"/>
  <c r="Q27" i="12"/>
  <c r="R27" i="12" s="1"/>
  <c r="O27" i="12"/>
  <c r="N27" i="12"/>
  <c r="K27" i="12"/>
  <c r="L27" i="12" s="1"/>
  <c r="H27" i="12"/>
  <c r="E27" i="12"/>
  <c r="F27" i="12" s="1"/>
  <c r="C27" i="12"/>
  <c r="B27" i="12"/>
  <c r="C18" i="12" s="1"/>
  <c r="AZ26" i="12"/>
  <c r="BC25" i="12"/>
  <c r="AT25" i="12"/>
  <c r="AJ25" i="12"/>
  <c r="AD25" i="12"/>
  <c r="U25" i="12"/>
  <c r="R25" i="12"/>
  <c r="L25" i="12"/>
  <c r="F25" i="12"/>
  <c r="BC24" i="12"/>
  <c r="AZ24" i="12"/>
  <c r="AQ24" i="12"/>
  <c r="AM24" i="12"/>
  <c r="AJ24" i="12"/>
  <c r="AD24" i="12"/>
  <c r="AA24" i="12"/>
  <c r="R24" i="12"/>
  <c r="O24" i="12"/>
  <c r="L24" i="12"/>
  <c r="F24" i="12"/>
  <c r="C24" i="12"/>
  <c r="BC23" i="12"/>
  <c r="AQ23" i="12"/>
  <c r="AD23" i="12"/>
  <c r="X23" i="12"/>
  <c r="R23" i="12"/>
  <c r="I23" i="12"/>
  <c r="F23" i="12"/>
  <c r="BC22" i="12"/>
  <c r="AZ22" i="12"/>
  <c r="AW22" i="12"/>
  <c r="AM22" i="12"/>
  <c r="AD22" i="12"/>
  <c r="R22" i="12"/>
  <c r="O22" i="12"/>
  <c r="F22" i="12"/>
  <c r="C22" i="12"/>
  <c r="BC21" i="12"/>
  <c r="AT21" i="12"/>
  <c r="AQ21" i="12"/>
  <c r="AJ21" i="12"/>
  <c r="AD21" i="12"/>
  <c r="U21" i="12"/>
  <c r="L21" i="12"/>
  <c r="F21" i="12"/>
  <c r="BC20" i="12"/>
  <c r="AZ20" i="12"/>
  <c r="AQ20" i="12"/>
  <c r="AM20" i="12"/>
  <c r="AJ20" i="12"/>
  <c r="AD20" i="12"/>
  <c r="AA20" i="12"/>
  <c r="R20" i="12"/>
  <c r="O20" i="12"/>
  <c r="L20" i="12"/>
  <c r="F20" i="12"/>
  <c r="C20" i="12"/>
  <c r="BC19" i="12"/>
  <c r="AW19" i="12"/>
  <c r="AQ19" i="12"/>
  <c r="AG19" i="12"/>
  <c r="AD19" i="12"/>
  <c r="R19" i="12"/>
  <c r="F19" i="12"/>
  <c r="BC18" i="12"/>
  <c r="AQ18" i="12"/>
  <c r="AM18" i="12"/>
  <c r="AD18" i="12"/>
  <c r="AA18" i="12"/>
  <c r="X18" i="12"/>
  <c r="O18" i="12"/>
  <c r="F18" i="12"/>
  <c r="BC17" i="12"/>
  <c r="AT17" i="12"/>
  <c r="AJ17" i="12"/>
  <c r="AD17" i="12"/>
  <c r="U17" i="12"/>
  <c r="R17" i="12"/>
  <c r="L17" i="12"/>
  <c r="F17" i="12"/>
  <c r="BC16" i="12"/>
  <c r="AZ16" i="12"/>
  <c r="AQ16" i="12"/>
  <c r="AM16" i="12"/>
  <c r="AJ16" i="12"/>
  <c r="AD16" i="12"/>
  <c r="AA16" i="12"/>
  <c r="R16" i="12"/>
  <c r="O16" i="12"/>
  <c r="L16" i="12"/>
  <c r="F16" i="12"/>
  <c r="C16" i="12"/>
  <c r="BC14" i="12"/>
  <c r="AQ14" i="12"/>
  <c r="AD14" i="12"/>
  <c r="X14" i="12"/>
  <c r="R14" i="12"/>
  <c r="I14" i="12"/>
  <c r="F14" i="12"/>
  <c r="BC13" i="12"/>
  <c r="AZ13" i="12"/>
  <c r="AW13" i="12"/>
  <c r="AM13" i="12"/>
  <c r="AD13" i="12"/>
  <c r="R13" i="12"/>
  <c r="O13" i="12"/>
  <c r="F13" i="12"/>
  <c r="C13" i="12"/>
  <c r="BC12" i="12"/>
  <c r="AT12" i="12"/>
  <c r="AQ12" i="12"/>
  <c r="AJ12" i="12"/>
  <c r="AD12" i="12"/>
  <c r="U12" i="12"/>
  <c r="L12" i="12"/>
  <c r="F12" i="12"/>
  <c r="BC11" i="12"/>
  <c r="AZ11" i="12"/>
  <c r="AQ11" i="12"/>
  <c r="AM11" i="12"/>
  <c r="AJ11" i="12"/>
  <c r="AD11" i="12"/>
  <c r="AA11" i="12"/>
  <c r="R11" i="12"/>
  <c r="O11" i="12"/>
  <c r="L11" i="12"/>
  <c r="F11" i="12"/>
  <c r="C11" i="12"/>
  <c r="BC10" i="12"/>
  <c r="AW10" i="12"/>
  <c r="AQ10" i="12"/>
  <c r="AG10" i="12"/>
  <c r="AD10" i="12"/>
  <c r="R10" i="12"/>
  <c r="F10" i="12"/>
  <c r="BC9" i="12"/>
  <c r="AQ9" i="12"/>
  <c r="AM9" i="12"/>
  <c r="AD9" i="12"/>
  <c r="AA9" i="12"/>
  <c r="X9" i="12"/>
  <c r="O9" i="12"/>
  <c r="F9" i="12"/>
  <c r="BC7" i="12"/>
  <c r="AT7" i="12"/>
  <c r="AJ7" i="12"/>
  <c r="AD7" i="12"/>
  <c r="U7" i="12"/>
  <c r="R7" i="12"/>
  <c r="L7" i="12"/>
  <c r="F7" i="12"/>
  <c r="BC6" i="12"/>
  <c r="AZ6" i="12"/>
  <c r="AQ6" i="12"/>
  <c r="AM6" i="12"/>
  <c r="AJ6" i="12"/>
  <c r="AD6" i="12"/>
  <c r="AA6" i="12"/>
  <c r="R6" i="12"/>
  <c r="O6" i="12"/>
  <c r="L6" i="12"/>
  <c r="F6" i="12"/>
  <c r="C6" i="12"/>
  <c r="BC65" i="12" l="1"/>
  <c r="BV95" i="15"/>
  <c r="CA65" i="15"/>
  <c r="CA95" i="15"/>
  <c r="CF65" i="15"/>
  <c r="P27" i="15"/>
  <c r="BV65" i="15"/>
  <c r="CF95" i="15"/>
  <c r="U27" i="15"/>
  <c r="J29" i="12"/>
  <c r="I24" i="12"/>
  <c r="I22" i="12"/>
  <c r="I20" i="12"/>
  <c r="I18" i="12"/>
  <c r="I16" i="12"/>
  <c r="I13" i="12"/>
  <c r="I11" i="12"/>
  <c r="I9" i="12"/>
  <c r="I6" i="12"/>
  <c r="AH29" i="12"/>
  <c r="AG24" i="12"/>
  <c r="AG22" i="12"/>
  <c r="AG20" i="12"/>
  <c r="AG18" i="12"/>
  <c r="AG16" i="12"/>
  <c r="AG13" i="12"/>
  <c r="AG11" i="12"/>
  <c r="AG9" i="12"/>
  <c r="AG6" i="12"/>
  <c r="AX29" i="12"/>
  <c r="AW9" i="12"/>
  <c r="I10" i="12"/>
  <c r="X10" i="12"/>
  <c r="X13" i="12"/>
  <c r="AG14" i="12"/>
  <c r="AW14" i="12"/>
  <c r="AW18" i="12"/>
  <c r="I19" i="12"/>
  <c r="X19" i="12"/>
  <c r="X22" i="12"/>
  <c r="AG23" i="12"/>
  <c r="AW23" i="12"/>
  <c r="U24" i="12"/>
  <c r="U22" i="12"/>
  <c r="U20" i="12"/>
  <c r="U18" i="12"/>
  <c r="U16" i="12"/>
  <c r="U13" i="12"/>
  <c r="U11" i="12"/>
  <c r="U9" i="12"/>
  <c r="U6" i="12"/>
  <c r="AU29" i="12"/>
  <c r="AT24" i="12"/>
  <c r="AT22" i="12"/>
  <c r="AT20" i="12"/>
  <c r="AT18" i="12"/>
  <c r="AT16" i="12"/>
  <c r="AT13" i="12"/>
  <c r="AT11" i="12"/>
  <c r="AT9" i="12"/>
  <c r="AT6" i="12"/>
  <c r="AK29" i="12"/>
  <c r="AZ58" i="12"/>
  <c r="AZ56" i="12"/>
  <c r="AZ53" i="12"/>
  <c r="AZ51" i="12"/>
  <c r="AZ49" i="12"/>
  <c r="AZ47" i="12"/>
  <c r="AZ45" i="12"/>
  <c r="AZ43" i="12"/>
  <c r="AZ41" i="12"/>
  <c r="AZ39" i="12"/>
  <c r="AZ37" i="12"/>
  <c r="AZ60" i="12"/>
  <c r="AZ54" i="12"/>
  <c r="AZ52" i="12"/>
  <c r="AZ50" i="12"/>
  <c r="AZ48" i="12"/>
  <c r="AZ46" i="12"/>
  <c r="AZ44" i="12"/>
  <c r="AZ42" i="12"/>
  <c r="AZ40" i="12"/>
  <c r="AZ38" i="12"/>
  <c r="AZ36" i="12"/>
  <c r="BA65" i="12"/>
  <c r="AZ57" i="12"/>
  <c r="AW6" i="12"/>
  <c r="I7" i="12"/>
  <c r="X7" i="12"/>
  <c r="AQ7" i="12"/>
  <c r="C9" i="12"/>
  <c r="R9" i="12"/>
  <c r="AJ9" i="12"/>
  <c r="AZ9" i="12"/>
  <c r="L10" i="12"/>
  <c r="AT10" i="12"/>
  <c r="X11" i="12"/>
  <c r="R12" i="12"/>
  <c r="AG12" i="12"/>
  <c r="AW12" i="12"/>
  <c r="L13" i="12"/>
  <c r="AA13" i="12"/>
  <c r="AQ13" i="12"/>
  <c r="U14" i="12"/>
  <c r="AJ14" i="12"/>
  <c r="AW16" i="12"/>
  <c r="I17" i="12"/>
  <c r="X17" i="12"/>
  <c r="AQ17" i="12"/>
  <c r="R18" i="12"/>
  <c r="AJ18" i="12"/>
  <c r="L19" i="12"/>
  <c r="AT19" i="12"/>
  <c r="X20" i="12"/>
  <c r="R21" i="12"/>
  <c r="AG21" i="12"/>
  <c r="AW21" i="12"/>
  <c r="L22" i="12"/>
  <c r="AQ22" i="12"/>
  <c r="U23" i="12"/>
  <c r="AJ23" i="12"/>
  <c r="AW24" i="12"/>
  <c r="I25" i="12"/>
  <c r="X25" i="12"/>
  <c r="AQ25" i="12"/>
  <c r="AW26" i="12"/>
  <c r="O25" i="12"/>
  <c r="O23" i="12"/>
  <c r="O21" i="12"/>
  <c r="O19" i="12"/>
  <c r="O17" i="12"/>
  <c r="O14" i="12"/>
  <c r="O12" i="12"/>
  <c r="O10" i="12"/>
  <c r="O7" i="12"/>
  <c r="U27" i="12"/>
  <c r="AN29" i="12"/>
  <c r="AM25" i="12"/>
  <c r="AM23" i="12"/>
  <c r="AM21" i="12"/>
  <c r="AM19" i="12"/>
  <c r="AM17" i="12"/>
  <c r="AM14" i="12"/>
  <c r="AM12" i="12"/>
  <c r="AM10" i="12"/>
  <c r="AM7" i="12"/>
  <c r="AT27" i="12"/>
  <c r="BC27" i="12"/>
  <c r="BC26" i="12"/>
  <c r="M29" i="12"/>
  <c r="AR29" i="12"/>
  <c r="AU97" i="12"/>
  <c r="X6" i="12"/>
  <c r="AG7" i="12"/>
  <c r="AW7" i="12"/>
  <c r="L9" i="12"/>
  <c r="U10" i="12"/>
  <c r="AJ10" i="12"/>
  <c r="AW11" i="12"/>
  <c r="I12" i="12"/>
  <c r="X12" i="12"/>
  <c r="AJ13" i="12"/>
  <c r="L14" i="12"/>
  <c r="AT14" i="12"/>
  <c r="X16" i="12"/>
  <c r="AG17" i="12"/>
  <c r="AW17" i="12"/>
  <c r="L18" i="12"/>
  <c r="U19" i="12"/>
  <c r="AJ19" i="12"/>
  <c r="AW20" i="12"/>
  <c r="I21" i="12"/>
  <c r="X21" i="12"/>
  <c r="AJ22" i="12"/>
  <c r="L23" i="12"/>
  <c r="AT23" i="12"/>
  <c r="X24" i="12"/>
  <c r="AG25" i="12"/>
  <c r="AW25" i="12"/>
  <c r="C25" i="12"/>
  <c r="C23" i="12"/>
  <c r="C21" i="12"/>
  <c r="C19" i="12"/>
  <c r="C17" i="12"/>
  <c r="C14" i="12"/>
  <c r="C12" i="12"/>
  <c r="C10" i="12"/>
  <c r="C7" i="12"/>
  <c r="I27" i="12"/>
  <c r="AA25" i="12"/>
  <c r="AA23" i="12"/>
  <c r="AA21" i="12"/>
  <c r="AA19" i="12"/>
  <c r="AA17" i="12"/>
  <c r="AA14" i="12"/>
  <c r="AA12" i="12"/>
  <c r="AA10" i="12"/>
  <c r="AA7" i="12"/>
  <c r="AG27" i="12"/>
  <c r="BA29" i="12"/>
  <c r="AZ25" i="12"/>
  <c r="AZ23" i="12"/>
  <c r="AZ21" i="12"/>
  <c r="AZ19" i="12"/>
  <c r="AZ17" i="12"/>
  <c r="AZ14" i="12"/>
  <c r="AZ12" i="12"/>
  <c r="AZ10" i="12"/>
  <c r="AZ7" i="12"/>
  <c r="D29" i="12"/>
  <c r="S29" i="12"/>
  <c r="BA67" i="12"/>
  <c r="AU67" i="12"/>
  <c r="S97" i="12"/>
  <c r="AT37" i="12"/>
  <c r="AT39" i="12"/>
  <c r="AT41" i="12"/>
  <c r="AT43" i="12"/>
  <c r="AT45" i="12"/>
  <c r="AT47" i="12"/>
  <c r="AT49" i="12"/>
  <c r="AT51" i="12"/>
  <c r="AT53" i="12"/>
  <c r="AW55" i="12"/>
  <c r="AT56" i="12"/>
  <c r="AQ57" i="12"/>
  <c r="AW59" i="12"/>
  <c r="AX65" i="12"/>
  <c r="AX67" i="12"/>
  <c r="AT36" i="12"/>
  <c r="AT38" i="12"/>
  <c r="AT40" i="12"/>
  <c r="AT42" i="12"/>
  <c r="AT44" i="12"/>
  <c r="AT46" i="12"/>
  <c r="AT48" i="12"/>
  <c r="AT50" i="12"/>
  <c r="AT52" i="12"/>
  <c r="AW65" i="12" l="1"/>
  <c r="AE27" i="15"/>
  <c r="Z27" i="15"/>
  <c r="AT65" i="12"/>
  <c r="AZ65" i="12"/>
  <c r="AJ27" i="15" l="1"/>
  <c r="AO27" i="15" l="1"/>
  <c r="AT27" i="15" l="1"/>
  <c r="AY27" i="15" l="1"/>
  <c r="BD27" i="15" l="1"/>
  <c r="BI27" i="15"/>
  <c r="BO27" i="15" l="1"/>
  <c r="BT27" i="15" l="1"/>
  <c r="BY27" i="15" l="1"/>
  <c r="CD27" i="15" l="1"/>
  <c r="CI27" i="15" l="1"/>
  <c r="CH27" i="15"/>
  <c r="T52" i="1" l="1"/>
  <c r="AE52" i="1" l="1"/>
  <c r="U52" i="1"/>
  <c r="X52" i="1"/>
  <c r="W52" i="1"/>
  <c r="T37" i="1"/>
  <c r="AF52" i="1" l="1"/>
  <c r="AC52" i="1"/>
  <c r="X37" i="1"/>
  <c r="U37" i="1"/>
  <c r="W37" i="1"/>
  <c r="T51" i="1" l="1"/>
  <c r="AE51" i="1" l="1"/>
  <c r="U51" i="1"/>
  <c r="AC51" i="1"/>
  <c r="W51" i="1"/>
  <c r="X51" i="1"/>
  <c r="AF51" i="1" l="1"/>
  <c r="T42" i="1" l="1"/>
  <c r="T41" i="1"/>
  <c r="AF110" i="7"/>
  <c r="AF109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AE104" i="7"/>
  <c r="AD104" i="7"/>
  <c r="AD111" i="7" s="1"/>
  <c r="AC104" i="7"/>
  <c r="AB104" i="7"/>
  <c r="AB111" i="7" s="1"/>
  <c r="AA104" i="7"/>
  <c r="Z104" i="7"/>
  <c r="Y104" i="7"/>
  <c r="X104" i="7"/>
  <c r="W104" i="7"/>
  <c r="V104" i="7"/>
  <c r="U104" i="7"/>
  <c r="T104" i="7"/>
  <c r="AE42" i="1" l="1"/>
  <c r="U42" i="1"/>
  <c r="AE41" i="1"/>
  <c r="U41" i="1"/>
  <c r="AF42" i="1"/>
  <c r="AC42" i="1"/>
  <c r="AF41" i="1"/>
  <c r="T45" i="1"/>
  <c r="T46" i="1"/>
  <c r="X41" i="1"/>
  <c r="W41" i="1"/>
  <c r="X42" i="1"/>
  <c r="W42" i="1"/>
  <c r="AC111" i="7"/>
  <c r="AE111" i="7"/>
  <c r="T38" i="1"/>
  <c r="U38" i="1" s="1"/>
  <c r="AF20" i="7"/>
  <c r="AF6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20" i="7"/>
  <c r="O118" i="7"/>
  <c r="K38" i="1" s="1"/>
  <c r="AF38" i="1" l="1"/>
  <c r="AE46" i="1"/>
  <c r="U46" i="1"/>
  <c r="AE45" i="1"/>
  <c r="U45" i="1"/>
  <c r="AC41" i="1"/>
  <c r="AF46" i="1"/>
  <c r="AF45" i="1"/>
  <c r="W38" i="1"/>
  <c r="X38" i="1"/>
  <c r="W45" i="1"/>
  <c r="X45" i="1"/>
  <c r="X46" i="1"/>
  <c r="W46" i="1"/>
  <c r="T40" i="1"/>
  <c r="S53" i="1"/>
  <c r="O20" i="7"/>
  <c r="AG20" i="7" s="1"/>
  <c r="O19" i="7"/>
  <c r="AG19" i="7" s="1"/>
  <c r="O18" i="7"/>
  <c r="O17" i="7"/>
  <c r="O16" i="7"/>
  <c r="O15" i="7"/>
  <c r="O14" i="7"/>
  <c r="AG14" i="7" s="1"/>
  <c r="O13" i="7"/>
  <c r="AG13" i="7" s="1"/>
  <c r="O12" i="7"/>
  <c r="O11" i="7"/>
  <c r="O10" i="7"/>
  <c r="AG10" i="7" s="1"/>
  <c r="O9" i="7"/>
  <c r="AG9" i="7" s="1"/>
  <c r="O8" i="7"/>
  <c r="AG8" i="7" s="1"/>
  <c r="O6" i="7"/>
  <c r="O5" i="7"/>
  <c r="AG5" i="7" s="1"/>
  <c r="AE38" i="1" l="1"/>
  <c r="K19" i="1"/>
  <c r="AE19" i="1" s="1"/>
  <c r="AG12" i="7"/>
  <c r="O33" i="7"/>
  <c r="K23" i="1"/>
  <c r="AF23" i="1" s="1"/>
  <c r="AG16" i="7"/>
  <c r="O37" i="7"/>
  <c r="K25" i="1"/>
  <c r="AF25" i="1" s="1"/>
  <c r="AG18" i="7"/>
  <c r="O39" i="7"/>
  <c r="O27" i="7"/>
  <c r="AG6" i="7"/>
  <c r="K18" i="1"/>
  <c r="AF18" i="1" s="1"/>
  <c r="AG11" i="7"/>
  <c r="O32" i="7"/>
  <c r="K22" i="1"/>
  <c r="AC22" i="1" s="1"/>
  <c r="AG15" i="7"/>
  <c r="O36" i="7"/>
  <c r="K24" i="1"/>
  <c r="AC24" i="1" s="1"/>
  <c r="AG17" i="7"/>
  <c r="O38" i="7"/>
  <c r="AE23" i="1"/>
  <c r="AC19" i="1"/>
  <c r="AC45" i="1"/>
  <c r="AC46" i="1"/>
  <c r="AE40" i="1"/>
  <c r="U40" i="1"/>
  <c r="AC38" i="1"/>
  <c r="AC40" i="1"/>
  <c r="K16" i="1"/>
  <c r="O30" i="7"/>
  <c r="K27" i="1"/>
  <c r="O41" i="7"/>
  <c r="K26" i="1"/>
  <c r="O40" i="7"/>
  <c r="K15" i="1"/>
  <c r="O29" i="7"/>
  <c r="K20" i="1"/>
  <c r="O34" i="7"/>
  <c r="K21" i="1"/>
  <c r="O35" i="7"/>
  <c r="K17" i="1"/>
  <c r="O31" i="7"/>
  <c r="W40" i="1"/>
  <c r="W53" i="1" s="1"/>
  <c r="X40" i="1"/>
  <c r="T53" i="1"/>
  <c r="K13" i="1"/>
  <c r="K12" i="1"/>
  <c r="AC18" i="1" l="1"/>
  <c r="AF24" i="1"/>
  <c r="AE24" i="1"/>
  <c r="AC23" i="1"/>
  <c r="AF19" i="1"/>
  <c r="AF22" i="1"/>
  <c r="AC25" i="1"/>
  <c r="AE25" i="1"/>
  <c r="AE22" i="1"/>
  <c r="AE18" i="1"/>
  <c r="AF15" i="1"/>
  <c r="AE15" i="1"/>
  <c r="AE13" i="1"/>
  <c r="AF13" i="1"/>
  <c r="AE12" i="1"/>
  <c r="AE21" i="1"/>
  <c r="AF21" i="1"/>
  <c r="AF27" i="1"/>
  <c r="AE27" i="1"/>
  <c r="AE17" i="1"/>
  <c r="AF17" i="1"/>
  <c r="AE20" i="1"/>
  <c r="AF20" i="1"/>
  <c r="AF26" i="1"/>
  <c r="AE26" i="1"/>
  <c r="AE16" i="1"/>
  <c r="AF16" i="1"/>
  <c r="AF40" i="1"/>
  <c r="AC16" i="1"/>
  <c r="AC27" i="1"/>
  <c r="AC26" i="1"/>
  <c r="AC15" i="1"/>
  <c r="AC20" i="1"/>
  <c r="AC13" i="1"/>
  <c r="AC21" i="1"/>
  <c r="AC17" i="1"/>
  <c r="U53" i="1"/>
  <c r="X53" i="1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AE27" i="7"/>
  <c r="AD27" i="7"/>
  <c r="AC27" i="7"/>
  <c r="AB27" i="7"/>
  <c r="AA27" i="7"/>
  <c r="Z27" i="7"/>
  <c r="Y27" i="7"/>
  <c r="X27" i="7"/>
  <c r="W27" i="7"/>
  <c r="V27" i="7"/>
  <c r="U27" i="7"/>
  <c r="T27" i="7"/>
  <c r="AE26" i="7"/>
  <c r="AD26" i="7"/>
  <c r="AC26" i="7"/>
  <c r="AB26" i="7"/>
  <c r="AA26" i="7"/>
  <c r="Z26" i="7"/>
  <c r="Y26" i="7"/>
  <c r="X26" i="7"/>
  <c r="W26" i="7"/>
  <c r="V26" i="7"/>
  <c r="U26" i="7"/>
  <c r="T26" i="7"/>
  <c r="AB28" i="1" l="1"/>
  <c r="AF28" i="1" s="1"/>
  <c r="AC12" i="1"/>
  <c r="AE28" i="1"/>
  <c r="AF12" i="1"/>
  <c r="N41" i="7"/>
  <c r="M41" i="7"/>
  <c r="L41" i="7"/>
  <c r="K41" i="7"/>
  <c r="J41" i="7"/>
  <c r="I41" i="7"/>
  <c r="H41" i="7"/>
  <c r="G41" i="7"/>
  <c r="F41" i="7"/>
  <c r="E41" i="7"/>
  <c r="D41" i="7"/>
  <c r="N40" i="7"/>
  <c r="M40" i="7"/>
  <c r="L40" i="7"/>
  <c r="K40" i="7"/>
  <c r="J40" i="7"/>
  <c r="I40" i="7"/>
  <c r="H40" i="7"/>
  <c r="G40" i="7"/>
  <c r="F40" i="7"/>
  <c r="E40" i="7"/>
  <c r="D40" i="7"/>
  <c r="N39" i="7"/>
  <c r="M39" i="7"/>
  <c r="L39" i="7"/>
  <c r="K39" i="7"/>
  <c r="J39" i="7"/>
  <c r="I39" i="7"/>
  <c r="H39" i="7"/>
  <c r="G39" i="7"/>
  <c r="F39" i="7"/>
  <c r="E39" i="7"/>
  <c r="D39" i="7"/>
  <c r="N38" i="7"/>
  <c r="M38" i="7"/>
  <c r="L38" i="7"/>
  <c r="K38" i="7"/>
  <c r="J38" i="7"/>
  <c r="I38" i="7"/>
  <c r="H38" i="7"/>
  <c r="G38" i="7"/>
  <c r="F38" i="7"/>
  <c r="E38" i="7"/>
  <c r="D38" i="7"/>
  <c r="N37" i="7"/>
  <c r="M37" i="7"/>
  <c r="L37" i="7"/>
  <c r="K37" i="7"/>
  <c r="J37" i="7"/>
  <c r="I37" i="7"/>
  <c r="H37" i="7"/>
  <c r="G37" i="7"/>
  <c r="F37" i="7"/>
  <c r="E37" i="7"/>
  <c r="D37" i="7"/>
  <c r="N36" i="7"/>
  <c r="M36" i="7"/>
  <c r="L36" i="7"/>
  <c r="K36" i="7"/>
  <c r="J36" i="7"/>
  <c r="I36" i="7"/>
  <c r="H36" i="7"/>
  <c r="G36" i="7"/>
  <c r="F36" i="7"/>
  <c r="E36" i="7"/>
  <c r="D36" i="7"/>
  <c r="N35" i="7"/>
  <c r="M35" i="7"/>
  <c r="L35" i="7"/>
  <c r="K35" i="7"/>
  <c r="J35" i="7"/>
  <c r="I35" i="7"/>
  <c r="H35" i="7"/>
  <c r="G35" i="7"/>
  <c r="F35" i="7"/>
  <c r="E35" i="7"/>
  <c r="D35" i="7"/>
  <c r="N34" i="7"/>
  <c r="M34" i="7"/>
  <c r="L34" i="7"/>
  <c r="K34" i="7"/>
  <c r="J34" i="7"/>
  <c r="I34" i="7"/>
  <c r="H34" i="7"/>
  <c r="G34" i="7"/>
  <c r="F34" i="7"/>
  <c r="E34" i="7"/>
  <c r="D34" i="7"/>
  <c r="N33" i="7"/>
  <c r="M33" i="7"/>
  <c r="L33" i="7"/>
  <c r="K33" i="7"/>
  <c r="J33" i="7"/>
  <c r="I33" i="7"/>
  <c r="H33" i="7"/>
  <c r="G33" i="7"/>
  <c r="F33" i="7"/>
  <c r="E33" i="7"/>
  <c r="D33" i="7"/>
  <c r="N32" i="7"/>
  <c r="M32" i="7"/>
  <c r="L32" i="7"/>
  <c r="K32" i="7"/>
  <c r="J32" i="7"/>
  <c r="I32" i="7"/>
  <c r="H32" i="7"/>
  <c r="G32" i="7"/>
  <c r="F32" i="7"/>
  <c r="E32" i="7"/>
  <c r="D32" i="7"/>
  <c r="N31" i="7"/>
  <c r="M31" i="7"/>
  <c r="L31" i="7"/>
  <c r="K31" i="7"/>
  <c r="J31" i="7"/>
  <c r="I31" i="7"/>
  <c r="H31" i="7"/>
  <c r="G31" i="7"/>
  <c r="F31" i="7"/>
  <c r="E31" i="7"/>
  <c r="D31" i="7"/>
  <c r="N30" i="7"/>
  <c r="M30" i="7"/>
  <c r="L30" i="7"/>
  <c r="K30" i="7"/>
  <c r="J30" i="7"/>
  <c r="I30" i="7"/>
  <c r="H30" i="7"/>
  <c r="G30" i="7"/>
  <c r="F30" i="7"/>
  <c r="E30" i="7"/>
  <c r="D30" i="7"/>
  <c r="N29" i="7"/>
  <c r="M29" i="7"/>
  <c r="L29" i="7"/>
  <c r="K29" i="7"/>
  <c r="J29" i="7"/>
  <c r="I29" i="7"/>
  <c r="H29" i="7"/>
  <c r="G29" i="7"/>
  <c r="F29" i="7"/>
  <c r="E29" i="7"/>
  <c r="D29" i="7"/>
  <c r="N27" i="7"/>
  <c r="M27" i="7"/>
  <c r="L27" i="7"/>
  <c r="K27" i="7"/>
  <c r="J27" i="7"/>
  <c r="I27" i="7"/>
  <c r="H27" i="7"/>
  <c r="G27" i="7"/>
  <c r="F27" i="7"/>
  <c r="E27" i="7"/>
  <c r="D27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7" i="7"/>
  <c r="AC28" i="1" l="1"/>
  <c r="F52" i="1"/>
  <c r="F51" i="1"/>
  <c r="F50" i="1"/>
  <c r="F48" i="1"/>
  <c r="F47" i="1"/>
  <c r="F46" i="1"/>
  <c r="F44" i="1"/>
  <c r="F43" i="1"/>
  <c r="F42" i="1"/>
  <c r="F40" i="1"/>
  <c r="F38" i="1"/>
  <c r="F26" i="1"/>
  <c r="F24" i="1"/>
  <c r="F23" i="1"/>
  <c r="F22" i="1"/>
  <c r="F20" i="1"/>
  <c r="F18" i="1"/>
  <c r="F16" i="1"/>
  <c r="F15" i="1"/>
  <c r="F1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8" i="1"/>
  <c r="L38" i="1"/>
  <c r="G52" i="1"/>
  <c r="G51" i="1"/>
  <c r="G50" i="1"/>
  <c r="G49" i="1"/>
  <c r="F49" i="1"/>
  <c r="G48" i="1"/>
  <c r="G47" i="1"/>
  <c r="G46" i="1"/>
  <c r="G45" i="1"/>
  <c r="F45" i="1"/>
  <c r="G44" i="1"/>
  <c r="G43" i="1"/>
  <c r="G42" i="1"/>
  <c r="G41" i="1"/>
  <c r="F41" i="1"/>
  <c r="G40" i="1"/>
  <c r="G38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3" i="1"/>
  <c r="L13" i="1"/>
  <c r="G27" i="1"/>
  <c r="F27" i="1"/>
  <c r="G26" i="1"/>
  <c r="G25" i="1"/>
  <c r="F25" i="1"/>
  <c r="G24" i="1"/>
  <c r="G23" i="1"/>
  <c r="G22" i="1"/>
  <c r="G21" i="1"/>
  <c r="F21" i="1"/>
  <c r="G20" i="1"/>
  <c r="G19" i="1"/>
  <c r="F19" i="1"/>
  <c r="G18" i="1"/>
  <c r="G17" i="1"/>
  <c r="F17" i="1"/>
  <c r="G16" i="1"/>
  <c r="G15" i="1"/>
  <c r="G1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8" i="1"/>
  <c r="B37" i="1"/>
  <c r="O43" i="10" l="1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8" i="10"/>
  <c r="O10" i="10"/>
  <c r="O21" i="10"/>
  <c r="O20" i="10"/>
  <c r="O19" i="10"/>
  <c r="O18" i="10"/>
  <c r="O17" i="10"/>
  <c r="O16" i="10"/>
  <c r="O15" i="10"/>
  <c r="O14" i="10"/>
  <c r="O13" i="10"/>
  <c r="O12" i="10"/>
  <c r="O11" i="10"/>
  <c r="O9" i="10"/>
  <c r="N26" i="7" l="1"/>
  <c r="M26" i="7"/>
  <c r="L26" i="7"/>
  <c r="K26" i="7"/>
  <c r="J26" i="7"/>
  <c r="I26" i="7"/>
  <c r="H26" i="7"/>
  <c r="G26" i="7"/>
  <c r="F26" i="7"/>
  <c r="E26" i="7"/>
  <c r="D26" i="7"/>
  <c r="C26" i="7"/>
  <c r="AE133" i="7" l="1"/>
  <c r="AB133" i="7"/>
  <c r="AA133" i="7"/>
  <c r="Z133" i="7"/>
  <c r="Y133" i="7"/>
  <c r="X133" i="7"/>
  <c r="W133" i="7"/>
  <c r="V133" i="7"/>
  <c r="U133" i="7"/>
  <c r="T133" i="7"/>
  <c r="M227" i="7"/>
  <c r="M244" i="7" s="1"/>
  <c r="J133" i="7"/>
  <c r="J227" i="7" s="1"/>
  <c r="J244" i="7" s="1"/>
  <c r="I133" i="7"/>
  <c r="I227" i="7" s="1"/>
  <c r="I232" i="7" s="1"/>
  <c r="F133" i="7"/>
  <c r="F227" i="7" s="1"/>
  <c r="F240" i="7" s="1"/>
  <c r="E133" i="7"/>
  <c r="E227" i="7" s="1"/>
  <c r="E244" i="7" s="1"/>
  <c r="D133" i="7"/>
  <c r="D227" i="7" s="1"/>
  <c r="D244" i="7" s="1"/>
  <c r="C133" i="7"/>
  <c r="C227" i="7" s="1"/>
  <c r="C234" i="7" s="1"/>
  <c r="AC133" i="7"/>
  <c r="L133" i="7"/>
  <c r="N133" i="7"/>
  <c r="A131" i="7"/>
  <c r="G133" i="7"/>
  <c r="G227" i="7" s="1"/>
  <c r="G234" i="7" s="1"/>
  <c r="A130" i="7"/>
  <c r="A129" i="7"/>
  <c r="A120" i="7"/>
  <c r="AF118" i="7"/>
  <c r="AF27" i="7" s="1"/>
  <c r="K133" i="7"/>
  <c r="H133" i="7"/>
  <c r="H227" i="7" s="1"/>
  <c r="H244" i="7" s="1"/>
  <c r="A118" i="7"/>
  <c r="AF117" i="7"/>
  <c r="O117" i="7"/>
  <c r="A117" i="7"/>
  <c r="AE21" i="7"/>
  <c r="AD21" i="7"/>
  <c r="AC21" i="7"/>
  <c r="AB21" i="7"/>
  <c r="AA21" i="7"/>
  <c r="Z21" i="7"/>
  <c r="Y21" i="7"/>
  <c r="X21" i="7"/>
  <c r="W21" i="7"/>
  <c r="V21" i="7"/>
  <c r="U21" i="7"/>
  <c r="T21" i="7"/>
  <c r="M228" i="7"/>
  <c r="L21" i="7"/>
  <c r="J21" i="7"/>
  <c r="J228" i="7" s="1"/>
  <c r="I21" i="7"/>
  <c r="I228" i="7" s="1"/>
  <c r="H21" i="7"/>
  <c r="H228" i="7" s="1"/>
  <c r="F21" i="7"/>
  <c r="F228" i="7" s="1"/>
  <c r="E21" i="7"/>
  <c r="E228" i="7" s="1"/>
  <c r="C21" i="7"/>
  <c r="C228" i="7" s="1"/>
  <c r="AF5" i="7"/>
  <c r="O243" i="7"/>
  <c r="C240" i="7"/>
  <c r="N237" i="7"/>
  <c r="M237" i="7"/>
  <c r="M241" i="7" s="1"/>
  <c r="M16" i="17" s="1"/>
  <c r="K237" i="7"/>
  <c r="I237" i="7"/>
  <c r="H237" i="7"/>
  <c r="H241" i="7" s="1"/>
  <c r="G237" i="7"/>
  <c r="D237" i="7"/>
  <c r="J232" i="7"/>
  <c r="C232" i="7"/>
  <c r="O230" i="7"/>
  <c r="I241" i="7" l="1"/>
  <c r="I16" i="17" s="1"/>
  <c r="H245" i="7"/>
  <c r="H246" i="7" s="1"/>
  <c r="H16" i="17"/>
  <c r="N227" i="7"/>
  <c r="N238" i="7" s="1"/>
  <c r="N11" i="17"/>
  <c r="M234" i="7"/>
  <c r="M232" i="7"/>
  <c r="M236" i="7"/>
  <c r="L227" i="7"/>
  <c r="L11" i="17"/>
  <c r="L228" i="7"/>
  <c r="L6" i="17"/>
  <c r="L26" i="17" s="1"/>
  <c r="K37" i="1"/>
  <c r="O26" i="7"/>
  <c r="K227" i="7"/>
  <c r="K236" i="7" s="1"/>
  <c r="K11" i="17"/>
  <c r="J229" i="7"/>
  <c r="C244" i="7"/>
  <c r="I234" i="7"/>
  <c r="I244" i="7"/>
  <c r="I229" i="7"/>
  <c r="C236" i="7"/>
  <c r="I236" i="7"/>
  <c r="AA42" i="7"/>
  <c r="AE42" i="7"/>
  <c r="M229" i="7"/>
  <c r="K240" i="7"/>
  <c r="AC42" i="7"/>
  <c r="AB42" i="7"/>
  <c r="Y42" i="7"/>
  <c r="AD42" i="7"/>
  <c r="M240" i="7"/>
  <c r="C229" i="7"/>
  <c r="Z42" i="7"/>
  <c r="H240" i="7"/>
  <c r="H232" i="7"/>
  <c r="H234" i="7"/>
  <c r="H229" i="7"/>
  <c r="H236" i="7"/>
  <c r="AF26" i="7"/>
  <c r="X42" i="7"/>
  <c r="G240" i="7"/>
  <c r="G236" i="7"/>
  <c r="G244" i="7"/>
  <c r="G232" i="7"/>
  <c r="G238" i="7"/>
  <c r="W42" i="7"/>
  <c r="F244" i="7"/>
  <c r="F229" i="7"/>
  <c r="F232" i="7"/>
  <c r="F236" i="7"/>
  <c r="T42" i="7"/>
  <c r="U42" i="7"/>
  <c r="V42" i="7"/>
  <c r="E229" i="7"/>
  <c r="E240" i="7"/>
  <c r="E232" i="7"/>
  <c r="E234" i="7"/>
  <c r="E236" i="7"/>
  <c r="D232" i="7"/>
  <c r="D240" i="7"/>
  <c r="D236" i="7"/>
  <c r="I42" i="7"/>
  <c r="C42" i="7"/>
  <c r="H42" i="7"/>
  <c r="F42" i="7"/>
  <c r="L42" i="7"/>
  <c r="J42" i="7"/>
  <c r="E42" i="7"/>
  <c r="M42" i="7"/>
  <c r="AF133" i="7"/>
  <c r="H238" i="7"/>
  <c r="AF21" i="7"/>
  <c r="N21" i="7"/>
  <c r="N6" i="17" s="1"/>
  <c r="G21" i="7"/>
  <c r="K21" i="7"/>
  <c r="K6" i="17" s="1"/>
  <c r="D21" i="7"/>
  <c r="D228" i="7" s="1"/>
  <c r="G241" i="7"/>
  <c r="K241" i="7"/>
  <c r="D238" i="7"/>
  <c r="D241" i="7"/>
  <c r="D16" i="17" s="1"/>
  <c r="I245" i="7"/>
  <c r="I246" i="7" s="1"/>
  <c r="I242" i="7"/>
  <c r="M245" i="7"/>
  <c r="M246" i="7" s="1"/>
  <c r="M242" i="7"/>
  <c r="E237" i="7"/>
  <c r="I238" i="7"/>
  <c r="M238" i="7"/>
  <c r="C237" i="7"/>
  <c r="D234" i="7"/>
  <c r="N241" i="7"/>
  <c r="N16" i="17" s="1"/>
  <c r="I240" i="7"/>
  <c r="H242" i="7"/>
  <c r="C248" i="7" l="1"/>
  <c r="C250" i="7" s="1"/>
  <c r="K245" i="7"/>
  <c r="K246" i="7" s="1"/>
  <c r="K16" i="17"/>
  <c r="G245" i="7"/>
  <c r="G246" i="7" s="1"/>
  <c r="G16" i="17"/>
  <c r="L21" i="17"/>
  <c r="K31" i="17"/>
  <c r="K26" i="17"/>
  <c r="N21" i="17"/>
  <c r="N31" i="17"/>
  <c r="N26" i="17"/>
  <c r="K21" i="17"/>
  <c r="N244" i="7"/>
  <c r="N240" i="7"/>
  <c r="N236" i="7"/>
  <c r="N234" i="7"/>
  <c r="N232" i="7"/>
  <c r="AF37" i="1"/>
  <c r="AE37" i="1"/>
  <c r="AE53" i="1" s="1"/>
  <c r="O11" i="17"/>
  <c r="L232" i="7"/>
  <c r="L244" i="7"/>
  <c r="L229" i="7"/>
  <c r="O227" i="7"/>
  <c r="O244" i="7" s="1"/>
  <c r="L234" i="7"/>
  <c r="L240" i="7"/>
  <c r="AC37" i="1"/>
  <c r="AB53" i="1"/>
  <c r="K238" i="7"/>
  <c r="K234" i="7"/>
  <c r="K232" i="7"/>
  <c r="K244" i="7"/>
  <c r="G242" i="7"/>
  <c r="AF42" i="7"/>
  <c r="K42" i="7"/>
  <c r="K228" i="7"/>
  <c r="K229" i="7" s="1"/>
  <c r="G42" i="7"/>
  <c r="G228" i="7"/>
  <c r="N42" i="7"/>
  <c r="N228" i="7"/>
  <c r="N229" i="7" s="1"/>
  <c r="D229" i="7"/>
  <c r="D42" i="7"/>
  <c r="O133" i="7"/>
  <c r="O21" i="7"/>
  <c r="K242" i="7"/>
  <c r="N245" i="7"/>
  <c r="N246" i="7" s="1"/>
  <c r="N242" i="7"/>
  <c r="D245" i="7"/>
  <c r="D246" i="7" s="1"/>
  <c r="D242" i="7"/>
  <c r="E241" i="7"/>
  <c r="E16" i="17" s="1"/>
  <c r="E238" i="7"/>
  <c r="C238" i="7"/>
  <c r="C241" i="7"/>
  <c r="C16" i="17" s="1"/>
  <c r="O6" i="17" l="1"/>
  <c r="O21" i="17" s="1"/>
  <c r="AG21" i="7"/>
  <c r="O232" i="7"/>
  <c r="AF53" i="1"/>
  <c r="AC53" i="1"/>
  <c r="G229" i="7"/>
  <c r="O228" i="7"/>
  <c r="O229" i="7" s="1"/>
  <c r="L27" i="1"/>
  <c r="M27" i="1"/>
  <c r="O42" i="7"/>
  <c r="C242" i="7"/>
  <c r="C245" i="7"/>
  <c r="E245" i="7"/>
  <c r="E246" i="7" s="1"/>
  <c r="E242" i="7"/>
  <c r="C246" i="7" l="1"/>
  <c r="J269" i="7" l="1"/>
  <c r="I269" i="7"/>
  <c r="E263" i="7"/>
  <c r="D263" i="7"/>
  <c r="D260" i="7"/>
  <c r="N149" i="7" l="1"/>
  <c r="N56" i="7"/>
  <c r="O58" i="7" l="1"/>
  <c r="O146" i="7" l="1"/>
  <c r="M142" i="7" l="1"/>
  <c r="M50" i="7"/>
  <c r="AC150" i="7" l="1"/>
  <c r="L150" i="7"/>
  <c r="O150" i="7" l="1"/>
  <c r="AE151" i="7"/>
  <c r="AD151" i="7"/>
  <c r="AB151" i="7"/>
  <c r="AA151" i="7"/>
  <c r="Z151" i="7"/>
  <c r="Y151" i="7"/>
  <c r="X151" i="7"/>
  <c r="W151" i="7"/>
  <c r="V151" i="7"/>
  <c r="U151" i="7"/>
  <c r="T151" i="7"/>
  <c r="N151" i="7"/>
  <c r="M151" i="7"/>
  <c r="L151" i="7"/>
  <c r="J151" i="7"/>
  <c r="I151" i="7"/>
  <c r="F151" i="7"/>
  <c r="E151" i="7"/>
  <c r="D151" i="7"/>
  <c r="C151" i="7"/>
  <c r="AF58" i="7"/>
  <c r="AE59" i="7"/>
  <c r="AD59" i="7"/>
  <c r="AB59" i="7"/>
  <c r="AA59" i="7"/>
  <c r="Z59" i="7"/>
  <c r="Y59" i="7"/>
  <c r="X59" i="7"/>
  <c r="W59" i="7"/>
  <c r="V59" i="7"/>
  <c r="U59" i="7"/>
  <c r="T59" i="7"/>
  <c r="N59" i="7"/>
  <c r="M59" i="7"/>
  <c r="L59" i="7"/>
  <c r="J59" i="7"/>
  <c r="H59" i="7"/>
  <c r="F59" i="7"/>
  <c r="E59" i="7"/>
  <c r="C59" i="7"/>
  <c r="C53" i="1"/>
  <c r="AC142" i="7" l="1"/>
  <c r="AC151" i="7" s="1"/>
  <c r="AE73" i="7"/>
  <c r="AD73" i="7"/>
  <c r="AB73" i="7"/>
  <c r="AA73" i="7"/>
  <c r="Z73" i="7"/>
  <c r="Y73" i="7"/>
  <c r="X73" i="7"/>
  <c r="W73" i="7"/>
  <c r="V73" i="7"/>
  <c r="U73" i="7"/>
  <c r="T73" i="7"/>
  <c r="AE72" i="7"/>
  <c r="AD72" i="7"/>
  <c r="AC72" i="7"/>
  <c r="AB72" i="7"/>
  <c r="AA72" i="7"/>
  <c r="Z72" i="7"/>
  <c r="Y72" i="7"/>
  <c r="X72" i="7"/>
  <c r="W72" i="7"/>
  <c r="V72" i="7"/>
  <c r="U72" i="7"/>
  <c r="T72" i="7"/>
  <c r="AE71" i="7"/>
  <c r="AD71" i="7"/>
  <c r="AC71" i="7"/>
  <c r="AB71" i="7"/>
  <c r="AA71" i="7"/>
  <c r="Z71" i="7"/>
  <c r="Y71" i="7"/>
  <c r="X71" i="7"/>
  <c r="W71" i="7"/>
  <c r="V71" i="7"/>
  <c r="U71" i="7"/>
  <c r="T71" i="7"/>
  <c r="AE70" i="7"/>
  <c r="AD70" i="7"/>
  <c r="AC70" i="7"/>
  <c r="AB70" i="7"/>
  <c r="AA70" i="7"/>
  <c r="Z70" i="7"/>
  <c r="Y70" i="7"/>
  <c r="X70" i="7"/>
  <c r="W70" i="7"/>
  <c r="V70" i="7"/>
  <c r="U70" i="7"/>
  <c r="T70" i="7"/>
  <c r="AE69" i="7"/>
  <c r="AD69" i="7"/>
  <c r="AC69" i="7"/>
  <c r="AB69" i="7"/>
  <c r="AA69" i="7"/>
  <c r="Z69" i="7"/>
  <c r="Y69" i="7"/>
  <c r="X69" i="7"/>
  <c r="W69" i="7"/>
  <c r="V69" i="7"/>
  <c r="U69" i="7"/>
  <c r="T69" i="7"/>
  <c r="AE68" i="7"/>
  <c r="AD68" i="7"/>
  <c r="AC68" i="7"/>
  <c r="AB68" i="7"/>
  <c r="AA68" i="7"/>
  <c r="Z68" i="7"/>
  <c r="Y68" i="7"/>
  <c r="X68" i="7"/>
  <c r="W68" i="7"/>
  <c r="V68" i="7"/>
  <c r="U68" i="7"/>
  <c r="T68" i="7"/>
  <c r="AE67" i="7"/>
  <c r="AD67" i="7"/>
  <c r="AC67" i="7"/>
  <c r="AB67" i="7"/>
  <c r="AA67" i="7"/>
  <c r="Z67" i="7"/>
  <c r="Y67" i="7"/>
  <c r="X67" i="7"/>
  <c r="W67" i="7"/>
  <c r="V67" i="7"/>
  <c r="U67" i="7"/>
  <c r="T67" i="7"/>
  <c r="AE66" i="7"/>
  <c r="AD66" i="7"/>
  <c r="AC66" i="7"/>
  <c r="AB66" i="7"/>
  <c r="AA66" i="7"/>
  <c r="Z66" i="7"/>
  <c r="Y66" i="7"/>
  <c r="X66" i="7"/>
  <c r="W66" i="7"/>
  <c r="V66" i="7"/>
  <c r="U66" i="7"/>
  <c r="T66" i="7"/>
  <c r="AE65" i="7"/>
  <c r="AD65" i="7"/>
  <c r="AC65" i="7"/>
  <c r="AB65" i="7"/>
  <c r="AA65" i="7"/>
  <c r="Z65" i="7"/>
  <c r="Y65" i="7"/>
  <c r="X65" i="7"/>
  <c r="W65" i="7"/>
  <c r="V65" i="7"/>
  <c r="U65" i="7"/>
  <c r="T65" i="7"/>
  <c r="AE64" i="7"/>
  <c r="AD64" i="7"/>
  <c r="AC64" i="7"/>
  <c r="AB64" i="7"/>
  <c r="AA64" i="7"/>
  <c r="Z64" i="7"/>
  <c r="Y64" i="7"/>
  <c r="X64" i="7"/>
  <c r="W64" i="7"/>
  <c r="V64" i="7"/>
  <c r="U64" i="7"/>
  <c r="T64" i="7"/>
  <c r="N72" i="7"/>
  <c r="M72" i="7"/>
  <c r="L72" i="7"/>
  <c r="K72" i="7"/>
  <c r="J72" i="7"/>
  <c r="I72" i="7"/>
  <c r="H72" i="7"/>
  <c r="G72" i="7"/>
  <c r="F72" i="7"/>
  <c r="E72" i="7"/>
  <c r="D72" i="7"/>
  <c r="C72" i="7"/>
  <c r="N71" i="7"/>
  <c r="M71" i="7"/>
  <c r="L71" i="7"/>
  <c r="K71" i="7"/>
  <c r="J71" i="7"/>
  <c r="I71" i="7"/>
  <c r="F71" i="7"/>
  <c r="E71" i="7"/>
  <c r="D71" i="7"/>
  <c r="C71" i="7"/>
  <c r="N70" i="7"/>
  <c r="M70" i="7"/>
  <c r="L70" i="7"/>
  <c r="K70" i="7"/>
  <c r="J70" i="7"/>
  <c r="I70" i="7"/>
  <c r="G70" i="7"/>
  <c r="F70" i="7"/>
  <c r="E70" i="7"/>
  <c r="D70" i="7"/>
  <c r="C70" i="7"/>
  <c r="N69" i="7"/>
  <c r="M69" i="7"/>
  <c r="L69" i="7"/>
  <c r="K69" i="7"/>
  <c r="J69" i="7"/>
  <c r="I69" i="7"/>
  <c r="H69" i="7"/>
  <c r="G69" i="7"/>
  <c r="F69" i="7"/>
  <c r="E69" i="7"/>
  <c r="D69" i="7"/>
  <c r="C69" i="7"/>
  <c r="N68" i="7"/>
  <c r="M68" i="7"/>
  <c r="L68" i="7"/>
  <c r="K68" i="7"/>
  <c r="J68" i="7"/>
  <c r="I68" i="7"/>
  <c r="H68" i="7"/>
  <c r="G68" i="7"/>
  <c r="F68" i="7"/>
  <c r="E68" i="7"/>
  <c r="D68" i="7"/>
  <c r="C68" i="7"/>
  <c r="N67" i="7"/>
  <c r="M67" i="7"/>
  <c r="L67" i="7"/>
  <c r="K67" i="7"/>
  <c r="J67" i="7"/>
  <c r="I67" i="7"/>
  <c r="H67" i="7"/>
  <c r="G67" i="7"/>
  <c r="F67" i="7"/>
  <c r="E67" i="7"/>
  <c r="D67" i="7"/>
  <c r="C67" i="7"/>
  <c r="N66" i="7"/>
  <c r="M66" i="7"/>
  <c r="L66" i="7"/>
  <c r="K66" i="7"/>
  <c r="J66" i="7"/>
  <c r="I66" i="7"/>
  <c r="H66" i="7"/>
  <c r="G66" i="7"/>
  <c r="F66" i="7"/>
  <c r="E66" i="7"/>
  <c r="D66" i="7"/>
  <c r="C66" i="7"/>
  <c r="N65" i="7"/>
  <c r="M65" i="7"/>
  <c r="L65" i="7"/>
  <c r="J65" i="7"/>
  <c r="F65" i="7"/>
  <c r="E65" i="7"/>
  <c r="C65" i="7"/>
  <c r="AC50" i="7"/>
  <c r="AC59" i="7" s="1"/>
  <c r="D53" i="1" l="1"/>
  <c r="D7" i="2" s="1"/>
  <c r="E25" i="2" s="1"/>
  <c r="J53" i="1" l="1"/>
  <c r="D28" i="1"/>
  <c r="E53" i="1"/>
  <c r="C28" i="1"/>
  <c r="E28" i="1"/>
  <c r="J28" i="1"/>
  <c r="K142" i="7"/>
  <c r="K50" i="7"/>
  <c r="K59" i="7" s="1"/>
  <c r="K151" i="7" l="1"/>
  <c r="K65" i="7"/>
  <c r="N44" i="10" l="1"/>
  <c r="M44" i="10"/>
  <c r="L44" i="10"/>
  <c r="K44" i="10"/>
  <c r="J44" i="10"/>
  <c r="I44" i="10"/>
  <c r="H44" i="10"/>
  <c r="G44" i="10"/>
  <c r="F44" i="10"/>
  <c r="E44" i="10"/>
  <c r="D44" i="10"/>
  <c r="C44" i="10"/>
  <c r="O27" i="10"/>
  <c r="N22" i="10"/>
  <c r="M22" i="10"/>
  <c r="L22" i="10"/>
  <c r="K22" i="10"/>
  <c r="J22" i="10"/>
  <c r="H22" i="10"/>
  <c r="F22" i="10"/>
  <c r="E22" i="10"/>
  <c r="D22" i="10"/>
  <c r="C22" i="10"/>
  <c r="O8" i="10"/>
  <c r="I22" i="10"/>
  <c r="G22" i="10"/>
  <c r="O5" i="10"/>
  <c r="O44" i="10" l="1"/>
  <c r="O6" i="10"/>
  <c r="O22" i="10" s="1"/>
  <c r="AE193" i="7" l="1"/>
  <c r="AD193" i="7"/>
  <c r="AC193" i="7"/>
  <c r="AB193" i="7"/>
  <c r="AA193" i="7"/>
  <c r="Z193" i="7"/>
  <c r="Y193" i="7"/>
  <c r="X193" i="7"/>
  <c r="W193" i="7"/>
  <c r="V193" i="7"/>
  <c r="U193" i="7"/>
  <c r="T193" i="7"/>
  <c r="AF192" i="7"/>
  <c r="AF191" i="7"/>
  <c r="AF190" i="7"/>
  <c r="AF189" i="7"/>
  <c r="AF188" i="7"/>
  <c r="AF187" i="7"/>
  <c r="AF186" i="7"/>
  <c r="AE166" i="7"/>
  <c r="AD166" i="7"/>
  <c r="AC166" i="7"/>
  <c r="AB166" i="7"/>
  <c r="AA166" i="7"/>
  <c r="Z166" i="7"/>
  <c r="Y166" i="7"/>
  <c r="X166" i="7"/>
  <c r="W166" i="7"/>
  <c r="V166" i="7"/>
  <c r="U166" i="7"/>
  <c r="T166" i="7"/>
  <c r="AF165" i="7"/>
  <c r="AF164" i="7"/>
  <c r="AF163" i="7"/>
  <c r="AF162" i="7"/>
  <c r="AF161" i="7"/>
  <c r="AF160" i="7"/>
  <c r="AF159" i="7"/>
  <c r="AC73" i="7"/>
  <c r="AF149" i="7"/>
  <c r="AF148" i="7"/>
  <c r="AF147" i="7"/>
  <c r="S146" i="7"/>
  <c r="AF145" i="7"/>
  <c r="AF144" i="7"/>
  <c r="AF143" i="7"/>
  <c r="AF142" i="7"/>
  <c r="AF141" i="7"/>
  <c r="AE98" i="7"/>
  <c r="AD98" i="7"/>
  <c r="AC98" i="7"/>
  <c r="AB98" i="7"/>
  <c r="AA98" i="7"/>
  <c r="Z98" i="7"/>
  <c r="Y98" i="7"/>
  <c r="X98" i="7"/>
  <c r="W98" i="7"/>
  <c r="V98" i="7"/>
  <c r="U98" i="7"/>
  <c r="T98" i="7"/>
  <c r="AF97" i="7"/>
  <c r="AF96" i="7"/>
  <c r="AF95" i="7"/>
  <c r="AF94" i="7"/>
  <c r="AF93" i="7"/>
  <c r="AF92" i="7"/>
  <c r="AF91" i="7"/>
  <c r="AE86" i="7"/>
  <c r="AD86" i="7"/>
  <c r="AC86" i="7"/>
  <c r="AB86" i="7"/>
  <c r="AA86" i="7"/>
  <c r="AA111" i="7" s="1"/>
  <c r="Z86" i="7"/>
  <c r="Y86" i="7"/>
  <c r="X86" i="7"/>
  <c r="W86" i="7"/>
  <c r="W111" i="7" s="1"/>
  <c r="V86" i="7"/>
  <c r="U86" i="7"/>
  <c r="T86" i="7"/>
  <c r="AF85" i="7"/>
  <c r="AF84" i="7"/>
  <c r="AF83" i="7"/>
  <c r="AF82" i="7"/>
  <c r="AF81" i="7"/>
  <c r="AF106" i="7" s="1"/>
  <c r="AF80" i="7"/>
  <c r="AF79" i="7"/>
  <c r="AF57" i="7"/>
  <c r="AF56" i="7"/>
  <c r="AF55" i="7"/>
  <c r="S55" i="7"/>
  <c r="AF54" i="7"/>
  <c r="AF69" i="7" s="1"/>
  <c r="AF53" i="7"/>
  <c r="AF52" i="7"/>
  <c r="AF51" i="7"/>
  <c r="AF50" i="7"/>
  <c r="AF49" i="7"/>
  <c r="O55" i="7"/>
  <c r="AF105" i="7" l="1"/>
  <c r="V111" i="7"/>
  <c r="Z111" i="7"/>
  <c r="X111" i="7"/>
  <c r="AF104" i="7"/>
  <c r="U111" i="7"/>
  <c r="Y111" i="7"/>
  <c r="T111" i="7"/>
  <c r="AF107" i="7"/>
  <c r="AF108" i="7"/>
  <c r="AF70" i="7"/>
  <c r="AF193" i="7"/>
  <c r="AF72" i="7"/>
  <c r="AF64" i="7"/>
  <c r="AF151" i="7"/>
  <c r="AF166" i="7"/>
  <c r="AF68" i="7"/>
  <c r="AF86" i="7"/>
  <c r="AF98" i="7"/>
  <c r="AF59" i="7"/>
  <c r="AF67" i="7"/>
  <c r="AF71" i="7"/>
  <c r="AF65" i="7"/>
  <c r="AF66" i="7"/>
  <c r="O145" i="7"/>
  <c r="O144" i="7"/>
  <c r="O57" i="7"/>
  <c r="O54" i="7"/>
  <c r="O69" i="7" s="1"/>
  <c r="O53" i="7"/>
  <c r="O52" i="7"/>
  <c r="AF111" i="7" l="1"/>
  <c r="O67" i="7"/>
  <c r="O68" i="7"/>
  <c r="AF73" i="7"/>
  <c r="I50" i="7"/>
  <c r="I59" i="7" l="1"/>
  <c r="I65" i="7"/>
  <c r="N259" i="7"/>
  <c r="M259" i="7"/>
  <c r="L259" i="7"/>
  <c r="K259" i="7"/>
  <c r="J259" i="7"/>
  <c r="I259" i="7"/>
  <c r="H148" i="7" l="1"/>
  <c r="H71" i="7" s="1"/>
  <c r="H147" i="7"/>
  <c r="H142" i="7"/>
  <c r="H151" i="7" l="1"/>
  <c r="H65" i="7"/>
  <c r="H70" i="7"/>
  <c r="O147" i="7"/>
  <c r="O70" i="7" s="1"/>
  <c r="H259" i="7" l="1"/>
  <c r="G148" i="7" l="1"/>
  <c r="G56" i="7"/>
  <c r="G50" i="7"/>
  <c r="G59" i="7" l="1"/>
  <c r="G65" i="7"/>
  <c r="O56" i="7"/>
  <c r="K53" i="1"/>
  <c r="H7" i="2" s="1"/>
  <c r="G151" i="7"/>
  <c r="G71" i="7"/>
  <c r="O148" i="7"/>
  <c r="O71" i="7" s="1"/>
  <c r="H73" i="7"/>
  <c r="N64" i="7"/>
  <c r="M64" i="7"/>
  <c r="L64" i="7"/>
  <c r="K64" i="7"/>
  <c r="J64" i="7"/>
  <c r="I64" i="7"/>
  <c r="H64" i="7"/>
  <c r="G64" i="7"/>
  <c r="F64" i="7"/>
  <c r="E64" i="7"/>
  <c r="D64" i="7"/>
  <c r="C64" i="7"/>
  <c r="I25" i="2" l="1"/>
  <c r="D273" i="7"/>
  <c r="C260" i="7" l="1"/>
  <c r="C263" i="7" l="1"/>
  <c r="N274" i="7"/>
  <c r="M274" i="7"/>
  <c r="L274" i="7"/>
  <c r="K274" i="7"/>
  <c r="J274" i="7"/>
  <c r="I274" i="7"/>
  <c r="H274" i="7"/>
  <c r="N270" i="7"/>
  <c r="L270" i="7"/>
  <c r="K270" i="7"/>
  <c r="J270" i="7"/>
  <c r="I270" i="7"/>
  <c r="H270" i="7"/>
  <c r="M266" i="7"/>
  <c r="K266" i="7"/>
  <c r="J266" i="7"/>
  <c r="I266" i="7"/>
  <c r="H266" i="7"/>
  <c r="N264" i="7"/>
  <c r="M264" i="7"/>
  <c r="L264" i="7"/>
  <c r="K264" i="7"/>
  <c r="J264" i="7"/>
  <c r="I264" i="7"/>
  <c r="H264" i="7"/>
  <c r="O273" i="7" l="1"/>
  <c r="M267" i="7"/>
  <c r="K267" i="7"/>
  <c r="J267" i="7"/>
  <c r="I267" i="7"/>
  <c r="H267" i="7"/>
  <c r="G267" i="7"/>
  <c r="F267" i="7"/>
  <c r="E267" i="7"/>
  <c r="I271" i="7" l="1"/>
  <c r="I272" i="7" s="1"/>
  <c r="I268" i="7"/>
  <c r="M268" i="7"/>
  <c r="F271" i="7"/>
  <c r="F275" i="7" s="1"/>
  <c r="J271" i="7"/>
  <c r="J272" i="7" s="1"/>
  <c r="J268" i="7"/>
  <c r="K271" i="7"/>
  <c r="K272" i="7" s="1"/>
  <c r="K268" i="7"/>
  <c r="H271" i="7"/>
  <c r="H272" i="7" s="1"/>
  <c r="H268" i="7"/>
  <c r="G271" i="7"/>
  <c r="E271" i="7"/>
  <c r="E275" i="7" s="1"/>
  <c r="C267" i="7"/>
  <c r="O263" i="7"/>
  <c r="D267" i="7"/>
  <c r="O260" i="7"/>
  <c r="H275" i="7" l="1"/>
  <c r="H276" i="7" s="1"/>
  <c r="I275" i="7"/>
  <c r="I276" i="7" s="1"/>
  <c r="J275" i="7"/>
  <c r="J276" i="7" s="1"/>
  <c r="K275" i="7"/>
  <c r="K276" i="7" s="1"/>
  <c r="G275" i="7"/>
  <c r="C271" i="7"/>
  <c r="D271" i="7"/>
  <c r="C275" i="7" l="1"/>
  <c r="D275" i="7"/>
  <c r="D50" i="7"/>
  <c r="K28" i="1" l="1"/>
  <c r="D59" i="7"/>
  <c r="D65" i="7"/>
  <c r="L266" i="7" l="1"/>
  <c r="L267" i="7"/>
  <c r="L271" i="7" l="1"/>
  <c r="L268" i="7"/>
  <c r="O149" i="7"/>
  <c r="A149" i="7"/>
  <c r="A148" i="7"/>
  <c r="A147" i="7"/>
  <c r="O143" i="7"/>
  <c r="A143" i="7"/>
  <c r="O142" i="7"/>
  <c r="A142" i="7"/>
  <c r="O141" i="7"/>
  <c r="A141" i="7"/>
  <c r="O51" i="7"/>
  <c r="O50" i="7"/>
  <c r="O49" i="7"/>
  <c r="L272" i="7" l="1"/>
  <c r="L275" i="7"/>
  <c r="O72" i="7"/>
  <c r="O151" i="7"/>
  <c r="G259" i="7"/>
  <c r="O65" i="7"/>
  <c r="O59" i="7"/>
  <c r="O66" i="7"/>
  <c r="J73" i="7"/>
  <c r="N73" i="7"/>
  <c r="E270" i="7"/>
  <c r="E274" i="7"/>
  <c r="E266" i="7"/>
  <c r="E264" i="7"/>
  <c r="E268" i="7"/>
  <c r="E276" i="7"/>
  <c r="E272" i="7"/>
  <c r="F270" i="7"/>
  <c r="F274" i="7"/>
  <c r="F266" i="7"/>
  <c r="F264" i="7"/>
  <c r="F268" i="7"/>
  <c r="F276" i="7"/>
  <c r="F272" i="7"/>
  <c r="C266" i="7"/>
  <c r="C270" i="7"/>
  <c r="C274" i="7"/>
  <c r="C264" i="7"/>
  <c r="C268" i="7"/>
  <c r="C272" i="7"/>
  <c r="C276" i="7"/>
  <c r="G266" i="7"/>
  <c r="G264" i="7"/>
  <c r="G270" i="7"/>
  <c r="G274" i="7"/>
  <c r="G268" i="7"/>
  <c r="G272" i="7"/>
  <c r="G276" i="7"/>
  <c r="L73" i="7"/>
  <c r="K73" i="7"/>
  <c r="D270" i="7"/>
  <c r="D266" i="7"/>
  <c r="D274" i="7"/>
  <c r="D264" i="7"/>
  <c r="D268" i="7"/>
  <c r="D272" i="7"/>
  <c r="D276" i="7"/>
  <c r="M73" i="7"/>
  <c r="C73" i="7"/>
  <c r="E259" i="7"/>
  <c r="E73" i="7"/>
  <c r="F259" i="7"/>
  <c r="F73" i="7"/>
  <c r="I73" i="7"/>
  <c r="O64" i="7"/>
  <c r="G73" i="7"/>
  <c r="L276" i="7" l="1"/>
  <c r="D259" i="7"/>
  <c r="D73" i="7"/>
  <c r="C259" i="7"/>
  <c r="O73" i="7"/>
  <c r="L37" i="1"/>
  <c r="F37" i="1"/>
  <c r="O258" i="7" l="1"/>
  <c r="M12" i="1" l="1"/>
  <c r="L12" i="1"/>
  <c r="G12" i="1"/>
  <c r="F12" i="1"/>
  <c r="N205" i="7" l="1"/>
  <c r="M205" i="7"/>
  <c r="L205" i="7"/>
  <c r="K205" i="7"/>
  <c r="J205" i="7"/>
  <c r="I205" i="7"/>
  <c r="H205" i="7"/>
  <c r="G205" i="7"/>
  <c r="F205" i="7"/>
  <c r="E205" i="7"/>
  <c r="D205" i="7"/>
  <c r="N204" i="7"/>
  <c r="M204" i="7"/>
  <c r="L204" i="7"/>
  <c r="K204" i="7"/>
  <c r="J204" i="7"/>
  <c r="I204" i="7"/>
  <c r="H204" i="7"/>
  <c r="G204" i="7"/>
  <c r="F204" i="7"/>
  <c r="E204" i="7"/>
  <c r="D204" i="7"/>
  <c r="J203" i="7"/>
  <c r="I203" i="7"/>
  <c r="H203" i="7"/>
  <c r="G203" i="7"/>
  <c r="F203" i="7"/>
  <c r="E203" i="7"/>
  <c r="D203" i="7"/>
  <c r="J202" i="7"/>
  <c r="I202" i="7"/>
  <c r="H202" i="7"/>
  <c r="G202" i="7"/>
  <c r="F202" i="7"/>
  <c r="E202" i="7"/>
  <c r="D202" i="7"/>
  <c r="J201" i="7"/>
  <c r="I201" i="7"/>
  <c r="H201" i="7"/>
  <c r="G201" i="7"/>
  <c r="F201" i="7"/>
  <c r="E201" i="7"/>
  <c r="D201" i="7"/>
  <c r="J200" i="7"/>
  <c r="I200" i="7"/>
  <c r="H200" i="7"/>
  <c r="G200" i="7"/>
  <c r="F200" i="7"/>
  <c r="E200" i="7"/>
  <c r="D200" i="7"/>
  <c r="J199" i="7"/>
  <c r="I199" i="7"/>
  <c r="H199" i="7"/>
  <c r="G199" i="7"/>
  <c r="F199" i="7"/>
  <c r="E199" i="7"/>
  <c r="D199" i="7"/>
  <c r="C205" i="7"/>
  <c r="C204" i="7"/>
  <c r="C203" i="7"/>
  <c r="C202" i="7"/>
  <c r="C201" i="7"/>
  <c r="C200" i="7"/>
  <c r="C199" i="7"/>
  <c r="N178" i="7"/>
  <c r="M178" i="7"/>
  <c r="L178" i="7"/>
  <c r="K178" i="7"/>
  <c r="J178" i="7"/>
  <c r="I178" i="7"/>
  <c r="H178" i="7"/>
  <c r="G178" i="7"/>
  <c r="F178" i="7"/>
  <c r="E178" i="7"/>
  <c r="D178" i="7"/>
  <c r="N177" i="7"/>
  <c r="M177" i="7"/>
  <c r="L177" i="7"/>
  <c r="K177" i="7"/>
  <c r="J177" i="7"/>
  <c r="I177" i="7"/>
  <c r="H177" i="7"/>
  <c r="G177" i="7"/>
  <c r="F177" i="7"/>
  <c r="E177" i="7"/>
  <c r="D177" i="7"/>
  <c r="N176" i="7"/>
  <c r="M176" i="7"/>
  <c r="L176" i="7"/>
  <c r="K176" i="7"/>
  <c r="J176" i="7"/>
  <c r="I176" i="7"/>
  <c r="H176" i="7"/>
  <c r="G176" i="7"/>
  <c r="F176" i="7"/>
  <c r="E176" i="7"/>
  <c r="D176" i="7"/>
  <c r="N175" i="7"/>
  <c r="M175" i="7"/>
  <c r="L175" i="7"/>
  <c r="K175" i="7"/>
  <c r="J175" i="7"/>
  <c r="I175" i="7"/>
  <c r="H175" i="7"/>
  <c r="G175" i="7"/>
  <c r="N174" i="7"/>
  <c r="M174" i="7"/>
  <c r="L174" i="7"/>
  <c r="K174" i="7"/>
  <c r="J174" i="7"/>
  <c r="I174" i="7"/>
  <c r="H174" i="7"/>
  <c r="G174" i="7"/>
  <c r="F174" i="7"/>
  <c r="E174" i="7"/>
  <c r="D174" i="7"/>
  <c r="N173" i="7"/>
  <c r="M173" i="7"/>
  <c r="L173" i="7"/>
  <c r="K173" i="7"/>
  <c r="J173" i="7"/>
  <c r="I173" i="7"/>
  <c r="G173" i="7"/>
  <c r="E173" i="7"/>
  <c r="D173" i="7"/>
  <c r="N172" i="7"/>
  <c r="M172" i="7"/>
  <c r="L172" i="7"/>
  <c r="K172" i="7"/>
  <c r="J172" i="7"/>
  <c r="I172" i="7"/>
  <c r="H172" i="7"/>
  <c r="C178" i="7"/>
  <c r="C177" i="7"/>
  <c r="C176" i="7"/>
  <c r="C175" i="7"/>
  <c r="C174" i="7"/>
  <c r="C173" i="7"/>
  <c r="R312" i="7" l="1"/>
  <c r="R309" i="7"/>
  <c r="N108" i="7"/>
  <c r="N107" i="7"/>
  <c r="N106" i="7"/>
  <c r="N105" i="7"/>
  <c r="N104" i="7"/>
  <c r="N262" i="7" l="1"/>
  <c r="O298" i="7"/>
  <c r="O290" i="7"/>
  <c r="N292" i="7" l="1"/>
  <c r="N296" i="7" s="1"/>
  <c r="M292" i="7"/>
  <c r="M296" i="7" s="1"/>
  <c r="L292" i="7"/>
  <c r="L296" i="7" s="1"/>
  <c r="K292" i="7"/>
  <c r="K296" i="7" s="1"/>
  <c r="N300" i="7" l="1"/>
  <c r="M300" i="7"/>
  <c r="L300" i="7"/>
  <c r="K300" i="7"/>
  <c r="C30" i="6" l="1"/>
  <c r="I25" i="6" l="1"/>
  <c r="I21" i="6"/>
  <c r="I20" i="6"/>
  <c r="I13" i="6"/>
  <c r="O91" i="7" l="1"/>
  <c r="O92" i="7"/>
  <c r="O93" i="7"/>
  <c r="O94" i="7"/>
  <c r="O95" i="7"/>
  <c r="O165" i="7" l="1"/>
  <c r="O164" i="7"/>
  <c r="O163" i="7"/>
  <c r="O161" i="7"/>
  <c r="M108" i="7"/>
  <c r="L108" i="7"/>
  <c r="L107" i="7"/>
  <c r="L106" i="7"/>
  <c r="L105" i="7"/>
  <c r="M104" i="7"/>
  <c r="L104" i="7"/>
  <c r="O84" i="7"/>
  <c r="O83" i="7"/>
  <c r="O82" i="7"/>
  <c r="O79" i="7"/>
  <c r="M107" i="7"/>
  <c r="M105" i="7"/>
  <c r="O177" i="7" l="1"/>
  <c r="L262" i="7"/>
  <c r="M262" i="7"/>
  <c r="O176" i="7"/>
  <c r="M106" i="7"/>
  <c r="O81" i="7"/>
  <c r="O85" i="7"/>
  <c r="O174" i="7" l="1"/>
  <c r="O178" i="7"/>
  <c r="O192" i="7"/>
  <c r="O191" i="7"/>
  <c r="O97" i="7"/>
  <c r="O96" i="7"/>
  <c r="O204" i="7" l="1"/>
  <c r="O205" i="7"/>
  <c r="K105" i="7"/>
  <c r="K107" i="7" l="1"/>
  <c r="K106" i="7"/>
  <c r="K104" i="7"/>
  <c r="K108" i="7"/>
  <c r="D285" i="7"/>
  <c r="C285" i="7"/>
  <c r="K262" i="7" l="1"/>
  <c r="O285" i="7"/>
  <c r="C310" i="7"/>
  <c r="D310" i="7"/>
  <c r="F310" i="7"/>
  <c r="K310" i="7"/>
  <c r="R310" i="7" s="1"/>
  <c r="O310" i="7" l="1"/>
  <c r="O309" i="7"/>
  <c r="O314" i="7" l="1"/>
  <c r="O322" i="7" l="1"/>
  <c r="O318" i="7"/>
  <c r="O312" i="7"/>
  <c r="N316" i="7" l="1"/>
  <c r="M316" i="7"/>
  <c r="L316" i="7"/>
  <c r="K316" i="7"/>
  <c r="I316" i="7"/>
  <c r="H316" i="7"/>
  <c r="G316" i="7"/>
  <c r="F316" i="7"/>
  <c r="E316" i="7"/>
  <c r="J316" i="7"/>
  <c r="D316" i="7"/>
  <c r="C316" i="7"/>
  <c r="I292" i="7"/>
  <c r="H292" i="7"/>
  <c r="H296" i="7" s="1"/>
  <c r="G292" i="7"/>
  <c r="F292" i="7"/>
  <c r="F296" i="7" s="1"/>
  <c r="E292" i="7"/>
  <c r="C288" i="7"/>
  <c r="C292" i="7" l="1"/>
  <c r="G296" i="7"/>
  <c r="E296" i="7"/>
  <c r="I296" i="7"/>
  <c r="O316" i="7"/>
  <c r="I320" i="7"/>
  <c r="K320" i="7"/>
  <c r="H320" i="7"/>
  <c r="L320" i="7"/>
  <c r="F320" i="7"/>
  <c r="E320" i="7"/>
  <c r="N320" i="7"/>
  <c r="M320" i="7"/>
  <c r="G320" i="7"/>
  <c r="J320" i="7"/>
  <c r="C320" i="7"/>
  <c r="D320" i="7"/>
  <c r="D288" i="7"/>
  <c r="D292" i="7" s="1"/>
  <c r="C296" i="7" l="1"/>
  <c r="C300" i="7" s="1"/>
  <c r="O288" i="7"/>
  <c r="D296" i="7"/>
  <c r="D300" i="7" s="1"/>
  <c r="E324" i="7"/>
  <c r="K324" i="7"/>
  <c r="F324" i="7"/>
  <c r="I324" i="7"/>
  <c r="M324" i="7"/>
  <c r="L324" i="7"/>
  <c r="H324" i="7"/>
  <c r="N324" i="7"/>
  <c r="G324" i="7"/>
  <c r="D324" i="7"/>
  <c r="C324" i="7"/>
  <c r="O320" i="7"/>
  <c r="J324" i="7"/>
  <c r="I300" i="7"/>
  <c r="H300" i="7"/>
  <c r="G300" i="7"/>
  <c r="F300" i="7"/>
  <c r="E300" i="7"/>
  <c r="O324" i="7" l="1"/>
  <c r="N203" i="7"/>
  <c r="L203" i="7"/>
  <c r="K203" i="7"/>
  <c r="N202" i="7"/>
  <c r="L202" i="7"/>
  <c r="K202" i="7"/>
  <c r="N201" i="7"/>
  <c r="L201" i="7"/>
  <c r="K201" i="7"/>
  <c r="N200" i="7"/>
  <c r="L200" i="7"/>
  <c r="K200" i="7"/>
  <c r="N199" i="7"/>
  <c r="L199" i="7"/>
  <c r="K199" i="7"/>
  <c r="N166" i="7"/>
  <c r="N111" i="7"/>
  <c r="N86" i="7"/>
  <c r="N283" i="7" s="1"/>
  <c r="M214" i="7" l="1"/>
  <c r="M199" i="7"/>
  <c r="N282" i="7"/>
  <c r="N297" i="7" s="1"/>
  <c r="N179" i="7"/>
  <c r="M216" i="7"/>
  <c r="M201" i="7"/>
  <c r="M218" i="7"/>
  <c r="M203" i="7"/>
  <c r="M215" i="7"/>
  <c r="M200" i="7"/>
  <c r="M217" i="7"/>
  <c r="M202" i="7"/>
  <c r="L214" i="7"/>
  <c r="N193" i="7"/>
  <c r="N214" i="7"/>
  <c r="O186" i="7"/>
  <c r="O199" i="7" s="1"/>
  <c r="K214" i="7"/>
  <c r="L215" i="7"/>
  <c r="L217" i="7"/>
  <c r="N215" i="7"/>
  <c r="N216" i="7"/>
  <c r="N217" i="7"/>
  <c r="N218" i="7"/>
  <c r="L216" i="7"/>
  <c r="L218" i="7"/>
  <c r="O187" i="7"/>
  <c r="O200" i="7" s="1"/>
  <c r="K215" i="7"/>
  <c r="O188" i="7"/>
  <c r="O201" i="7" s="1"/>
  <c r="K216" i="7"/>
  <c r="O189" i="7"/>
  <c r="O202" i="7" s="1"/>
  <c r="K217" i="7"/>
  <c r="O190" i="7"/>
  <c r="O203" i="7" s="1"/>
  <c r="K218" i="7"/>
  <c r="N98" i="7"/>
  <c r="N307" i="7" s="1"/>
  <c r="G30" i="6"/>
  <c r="N291" i="7" l="1"/>
  <c r="N293" i="7"/>
  <c r="N289" i="7"/>
  <c r="N287" i="7"/>
  <c r="N295" i="7"/>
  <c r="N301" i="7"/>
  <c r="N299" i="7"/>
  <c r="N284" i="7"/>
  <c r="N306" i="7"/>
  <c r="N315" i="7" s="1"/>
  <c r="N206" i="7"/>
  <c r="N221" i="7"/>
  <c r="N308" i="7" l="1"/>
  <c r="N311" i="7"/>
  <c r="N317" i="7"/>
  <c r="N319" i="7"/>
  <c r="N323" i="7"/>
  <c r="N325" i="7"/>
  <c r="N321" i="7"/>
  <c r="N313" i="7"/>
  <c r="J218" i="7"/>
  <c r="I218" i="7"/>
  <c r="H218" i="7"/>
  <c r="G218" i="7"/>
  <c r="F218" i="7"/>
  <c r="E218" i="7"/>
  <c r="D218" i="7"/>
  <c r="J217" i="7"/>
  <c r="I217" i="7"/>
  <c r="H217" i="7"/>
  <c r="G217" i="7"/>
  <c r="J216" i="7"/>
  <c r="I216" i="7"/>
  <c r="H216" i="7"/>
  <c r="G216" i="7"/>
  <c r="F216" i="7"/>
  <c r="E216" i="7"/>
  <c r="D216" i="7"/>
  <c r="J215" i="7"/>
  <c r="I215" i="7"/>
  <c r="G215" i="7"/>
  <c r="F215" i="7"/>
  <c r="E215" i="7"/>
  <c r="D215" i="7"/>
  <c r="J214" i="7"/>
  <c r="I214" i="7"/>
  <c r="H214" i="7"/>
  <c r="C218" i="7"/>
  <c r="C217" i="7"/>
  <c r="C216" i="7"/>
  <c r="C215" i="7"/>
  <c r="B212" i="7"/>
  <c r="M221" i="7"/>
  <c r="L221" i="7"/>
  <c r="K221" i="7"/>
  <c r="O110" i="7"/>
  <c r="O109" i="7"/>
  <c r="J108" i="7"/>
  <c r="I108" i="7"/>
  <c r="H108" i="7"/>
  <c r="G108" i="7"/>
  <c r="F108" i="7"/>
  <c r="E108" i="7"/>
  <c r="D108" i="7"/>
  <c r="C108" i="7"/>
  <c r="J107" i="7"/>
  <c r="I107" i="7"/>
  <c r="H107" i="7"/>
  <c r="G107" i="7"/>
  <c r="F107" i="7"/>
  <c r="E107" i="7"/>
  <c r="D107" i="7"/>
  <c r="C107" i="7"/>
  <c r="J106" i="7"/>
  <c r="I106" i="7"/>
  <c r="H106" i="7"/>
  <c r="G106" i="7"/>
  <c r="F106" i="7"/>
  <c r="E106" i="7"/>
  <c r="D106" i="7"/>
  <c r="C106" i="7"/>
  <c r="J105" i="7"/>
  <c r="I105" i="7"/>
  <c r="H105" i="7"/>
  <c r="G105" i="7"/>
  <c r="E105" i="7"/>
  <c r="D105" i="7"/>
  <c r="C105" i="7"/>
  <c r="K111" i="7"/>
  <c r="J104" i="7"/>
  <c r="I104" i="7"/>
  <c r="H104" i="7"/>
  <c r="G104" i="7"/>
  <c r="F104" i="7"/>
  <c r="E104" i="7"/>
  <c r="D104" i="7"/>
  <c r="C104" i="7"/>
  <c r="M111" i="7"/>
  <c r="L111" i="7"/>
  <c r="I262" i="7" l="1"/>
  <c r="F262" i="7"/>
  <c r="E262" i="7"/>
  <c r="J262" i="7"/>
  <c r="O257" i="7"/>
  <c r="C262" i="7"/>
  <c r="G262" i="7"/>
  <c r="D262" i="7"/>
  <c r="H262" i="7"/>
  <c r="M193" i="7"/>
  <c r="L193" i="7"/>
  <c r="K193" i="7"/>
  <c r="J193" i="7"/>
  <c r="I193" i="7"/>
  <c r="H193" i="7"/>
  <c r="G193" i="7"/>
  <c r="F193" i="7"/>
  <c r="E193" i="7"/>
  <c r="D193" i="7"/>
  <c r="C193" i="7"/>
  <c r="O218" i="7"/>
  <c r="O216" i="7"/>
  <c r="M98" i="7"/>
  <c r="M307" i="7" s="1"/>
  <c r="L98" i="7"/>
  <c r="L307" i="7" s="1"/>
  <c r="K98" i="7"/>
  <c r="K307" i="7" s="1"/>
  <c r="J98" i="7"/>
  <c r="J307" i="7" s="1"/>
  <c r="I98" i="7"/>
  <c r="I307" i="7" s="1"/>
  <c r="H98" i="7"/>
  <c r="H307" i="7" s="1"/>
  <c r="G98" i="7"/>
  <c r="G307" i="7" s="1"/>
  <c r="F98" i="7"/>
  <c r="F307" i="7" s="1"/>
  <c r="E98" i="7"/>
  <c r="E307" i="7" s="1"/>
  <c r="D98" i="7"/>
  <c r="D307" i="7" s="1"/>
  <c r="C98" i="7"/>
  <c r="C307" i="7" s="1"/>
  <c r="O108" i="7"/>
  <c r="O107" i="7"/>
  <c r="O106" i="7"/>
  <c r="O104" i="7"/>
  <c r="M166" i="7"/>
  <c r="L166" i="7"/>
  <c r="K166" i="7"/>
  <c r="J166" i="7"/>
  <c r="I166" i="7"/>
  <c r="F162" i="7"/>
  <c r="E162" i="7"/>
  <c r="D162" i="7"/>
  <c r="H160" i="7"/>
  <c r="G159" i="7"/>
  <c r="G172" i="7" s="1"/>
  <c r="F159" i="7"/>
  <c r="E159" i="7"/>
  <c r="D159" i="7"/>
  <c r="C159" i="7"/>
  <c r="M86" i="7"/>
  <c r="L86" i="7"/>
  <c r="L283" i="7" s="1"/>
  <c r="K86" i="7"/>
  <c r="J86" i="7"/>
  <c r="J283" i="7" s="1"/>
  <c r="I86" i="7"/>
  <c r="H86" i="7"/>
  <c r="H283" i="7" s="1"/>
  <c r="G86" i="7"/>
  <c r="G283" i="7" s="1"/>
  <c r="E86" i="7"/>
  <c r="D86" i="7"/>
  <c r="D283" i="7" s="1"/>
  <c r="C86" i="7"/>
  <c r="C283" i="7" s="1"/>
  <c r="F80" i="7"/>
  <c r="I28" i="1" s="1"/>
  <c r="M37" i="1" l="1"/>
  <c r="O259" i="7"/>
  <c r="O274" i="7"/>
  <c r="O264" i="7"/>
  <c r="E217" i="7"/>
  <c r="E175" i="7"/>
  <c r="C172" i="7"/>
  <c r="H306" i="7"/>
  <c r="H311" i="7" s="1"/>
  <c r="H206" i="7"/>
  <c r="F173" i="7"/>
  <c r="O160" i="7"/>
  <c r="O215" i="7" s="1"/>
  <c r="H173" i="7"/>
  <c r="F214" i="7"/>
  <c r="G37" i="1"/>
  <c r="F172" i="7"/>
  <c r="K282" i="7"/>
  <c r="K299" i="7" s="1"/>
  <c r="K179" i="7"/>
  <c r="C306" i="7"/>
  <c r="C311" i="7" s="1"/>
  <c r="C206" i="7"/>
  <c r="G306" i="7"/>
  <c r="G311" i="7" s="1"/>
  <c r="G206" i="7"/>
  <c r="F217" i="7"/>
  <c r="F175" i="7"/>
  <c r="L282" i="7"/>
  <c r="L293" i="7" s="1"/>
  <c r="L179" i="7"/>
  <c r="D306" i="7"/>
  <c r="D311" i="7" s="1"/>
  <c r="D206" i="7"/>
  <c r="D214" i="7"/>
  <c r="D172" i="7"/>
  <c r="I179" i="7"/>
  <c r="M282" i="7"/>
  <c r="M287" i="7" s="1"/>
  <c r="M179" i="7"/>
  <c r="E306" i="7"/>
  <c r="E311" i="7" s="1"/>
  <c r="E206" i="7"/>
  <c r="I306" i="7"/>
  <c r="I311" i="7" s="1"/>
  <c r="I206" i="7"/>
  <c r="E214" i="7"/>
  <c r="E172" i="7"/>
  <c r="D175" i="7"/>
  <c r="J179" i="7"/>
  <c r="F306" i="7"/>
  <c r="F311" i="7" s="1"/>
  <c r="F206" i="7"/>
  <c r="J306" i="7"/>
  <c r="J311" i="7" s="1"/>
  <c r="J206" i="7"/>
  <c r="O262" i="7"/>
  <c r="K306" i="7"/>
  <c r="K319" i="7" s="1"/>
  <c r="K206" i="7"/>
  <c r="L306" i="7"/>
  <c r="L311" i="7" s="1"/>
  <c r="L206" i="7"/>
  <c r="M306" i="7"/>
  <c r="M311" i="7" s="1"/>
  <c r="M206" i="7"/>
  <c r="O80" i="7"/>
  <c r="O162" i="7"/>
  <c r="K295" i="7"/>
  <c r="O159" i="7"/>
  <c r="R307" i="7"/>
  <c r="M283" i="7"/>
  <c r="K284" i="7"/>
  <c r="K283" i="7"/>
  <c r="E111" i="7"/>
  <c r="E283" i="7"/>
  <c r="I111" i="7"/>
  <c r="I283" i="7"/>
  <c r="G308" i="7"/>
  <c r="G321" i="7"/>
  <c r="I317" i="7"/>
  <c r="O307" i="7"/>
  <c r="J111" i="7"/>
  <c r="C166" i="7"/>
  <c r="C179" i="7" s="1"/>
  <c r="C214" i="7"/>
  <c r="G111" i="7"/>
  <c r="H215" i="7"/>
  <c r="I282" i="7"/>
  <c r="I221" i="7"/>
  <c r="H111" i="7"/>
  <c r="D217" i="7"/>
  <c r="J282" i="7"/>
  <c r="J221" i="7"/>
  <c r="G166" i="7"/>
  <c r="G179" i="7" s="1"/>
  <c r="G214" i="7"/>
  <c r="F86" i="7"/>
  <c r="F105" i="7"/>
  <c r="O193" i="7"/>
  <c r="C111" i="7"/>
  <c r="E166" i="7"/>
  <c r="E179" i="7" s="1"/>
  <c r="D111" i="7"/>
  <c r="F166" i="7"/>
  <c r="O98" i="7"/>
  <c r="D166" i="7"/>
  <c r="D179" i="7" s="1"/>
  <c r="H166" i="7"/>
  <c r="H179" i="7" s="1"/>
  <c r="M295" i="7" l="1"/>
  <c r="G315" i="7"/>
  <c r="K293" i="7"/>
  <c r="K289" i="7"/>
  <c r="D313" i="7"/>
  <c r="I319" i="7"/>
  <c r="G323" i="7"/>
  <c r="K301" i="7"/>
  <c r="E315" i="7"/>
  <c r="F321" i="7"/>
  <c r="H313" i="7"/>
  <c r="D308" i="7"/>
  <c r="K323" i="7"/>
  <c r="D325" i="7"/>
  <c r="D315" i="7"/>
  <c r="D321" i="7"/>
  <c r="D319" i="7"/>
  <c r="F179" i="7"/>
  <c r="D317" i="7"/>
  <c r="D323" i="7"/>
  <c r="I53" i="1"/>
  <c r="H321" i="7"/>
  <c r="C319" i="7"/>
  <c r="F313" i="7"/>
  <c r="E308" i="7"/>
  <c r="H308" i="7"/>
  <c r="F323" i="7"/>
  <c r="L299" i="7"/>
  <c r="O175" i="7"/>
  <c r="E321" i="7"/>
  <c r="E323" i="7"/>
  <c r="H319" i="7"/>
  <c r="O172" i="7"/>
  <c r="O173" i="7"/>
  <c r="M325" i="7"/>
  <c r="M297" i="7"/>
  <c r="M313" i="7"/>
  <c r="I321" i="7"/>
  <c r="E325" i="7"/>
  <c r="E319" i="7"/>
  <c r="H325" i="7"/>
  <c r="H315" i="7"/>
  <c r="G325" i="7"/>
  <c r="G313" i="7"/>
  <c r="C321" i="7"/>
  <c r="F325" i="7"/>
  <c r="F315" i="7"/>
  <c r="M301" i="7"/>
  <c r="K291" i="7"/>
  <c r="K297" i="7"/>
  <c r="K308" i="7"/>
  <c r="I315" i="7"/>
  <c r="E317" i="7"/>
  <c r="E313" i="7"/>
  <c r="H317" i="7"/>
  <c r="H323" i="7"/>
  <c r="G317" i="7"/>
  <c r="G319" i="7"/>
  <c r="F308" i="7"/>
  <c r="K287" i="7"/>
  <c r="M299" i="7"/>
  <c r="M321" i="7"/>
  <c r="M315" i="7"/>
  <c r="K325" i="7"/>
  <c r="K313" i="7"/>
  <c r="J308" i="7"/>
  <c r="F317" i="7"/>
  <c r="F319" i="7"/>
  <c r="K311" i="7"/>
  <c r="M317" i="7"/>
  <c r="M319" i="7"/>
  <c r="K321" i="7"/>
  <c r="K315" i="7"/>
  <c r="J323" i="7"/>
  <c r="M308" i="7"/>
  <c r="M323" i="7"/>
  <c r="K317" i="7"/>
  <c r="C323" i="7"/>
  <c r="R306" i="7"/>
  <c r="S307" i="7" s="1"/>
  <c r="L287" i="7"/>
  <c r="I308" i="7"/>
  <c r="I323" i="7"/>
  <c r="C308" i="7"/>
  <c r="C313" i="7"/>
  <c r="J321" i="7"/>
  <c r="J315" i="7"/>
  <c r="M293" i="7"/>
  <c r="L291" i="7"/>
  <c r="L289" i="7"/>
  <c r="C317" i="7"/>
  <c r="J325" i="7"/>
  <c r="J313" i="7"/>
  <c r="L297" i="7"/>
  <c r="J287" i="7"/>
  <c r="I325" i="7"/>
  <c r="I313" i="7"/>
  <c r="C325" i="7"/>
  <c r="C315" i="7"/>
  <c r="J317" i="7"/>
  <c r="J319" i="7"/>
  <c r="M284" i="7"/>
  <c r="M291" i="7"/>
  <c r="M289" i="7"/>
  <c r="L301" i="7"/>
  <c r="L295" i="7"/>
  <c r="L284" i="7"/>
  <c r="L308" i="7"/>
  <c r="L323" i="7"/>
  <c r="O86" i="7"/>
  <c r="O111" i="7" s="1"/>
  <c r="L317" i="7"/>
  <c r="L319" i="7"/>
  <c r="L313" i="7"/>
  <c r="O306" i="7"/>
  <c r="O311" i="7" s="1"/>
  <c r="L325" i="7"/>
  <c r="O206" i="7"/>
  <c r="L321" i="7"/>
  <c r="L315" i="7"/>
  <c r="O217" i="7"/>
  <c r="O214" i="7"/>
  <c r="O105" i="7"/>
  <c r="I293" i="7"/>
  <c r="I287" i="7"/>
  <c r="F111" i="7"/>
  <c r="F283" i="7"/>
  <c r="O308" i="7"/>
  <c r="O166" i="7"/>
  <c r="J299" i="7"/>
  <c r="J284" i="7"/>
  <c r="I295" i="7"/>
  <c r="I301" i="7"/>
  <c r="I291" i="7"/>
  <c r="I289" i="7"/>
  <c r="I299" i="7"/>
  <c r="I297" i="7"/>
  <c r="I284" i="7"/>
  <c r="H282" i="7"/>
  <c r="H221" i="7"/>
  <c r="D282" i="7"/>
  <c r="D221" i="7"/>
  <c r="E282" i="7"/>
  <c r="E221" i="7"/>
  <c r="F282" i="7"/>
  <c r="F221" i="7"/>
  <c r="G282" i="7"/>
  <c r="G221" i="7"/>
  <c r="C282" i="7"/>
  <c r="C221" i="7"/>
  <c r="O283" i="7" l="1"/>
  <c r="O179" i="7"/>
  <c r="O325" i="7"/>
  <c r="O313" i="7"/>
  <c r="O315" i="7"/>
  <c r="O321" i="7"/>
  <c r="O323" i="7"/>
  <c r="O317" i="7"/>
  <c r="O319" i="7"/>
  <c r="F293" i="7"/>
  <c r="F287" i="7"/>
  <c r="C287" i="7"/>
  <c r="O282" i="7"/>
  <c r="D293" i="7"/>
  <c r="D287" i="7"/>
  <c r="G293" i="7"/>
  <c r="G287" i="7"/>
  <c r="E293" i="7"/>
  <c r="E287" i="7"/>
  <c r="H293" i="7"/>
  <c r="H287" i="7"/>
  <c r="C293" i="7"/>
  <c r="O221" i="7"/>
  <c r="C295" i="7"/>
  <c r="C291" i="7"/>
  <c r="C289" i="7"/>
  <c r="C299" i="7"/>
  <c r="C297" i="7"/>
  <c r="C284" i="7"/>
  <c r="C301" i="7"/>
  <c r="F295" i="7"/>
  <c r="F301" i="7"/>
  <c r="F291" i="7"/>
  <c r="F299" i="7"/>
  <c r="F297" i="7"/>
  <c r="F284" i="7"/>
  <c r="F289" i="7"/>
  <c r="D297" i="7"/>
  <c r="D295" i="7"/>
  <c r="D301" i="7"/>
  <c r="D291" i="7"/>
  <c r="D289" i="7"/>
  <c r="D299" i="7"/>
  <c r="D284" i="7"/>
  <c r="G297" i="7"/>
  <c r="G284" i="7"/>
  <c r="G295" i="7"/>
  <c r="G301" i="7"/>
  <c r="G291" i="7"/>
  <c r="G289" i="7"/>
  <c r="G299" i="7"/>
  <c r="E297" i="7"/>
  <c r="E301" i="7"/>
  <c r="E291" i="7"/>
  <c r="E289" i="7"/>
  <c r="E299" i="7"/>
  <c r="E284" i="7"/>
  <c r="E295" i="7"/>
  <c r="H289" i="7"/>
  <c r="H284" i="7"/>
  <c r="H295" i="7"/>
  <c r="H301" i="7"/>
  <c r="H291" i="7"/>
  <c r="H299" i="7"/>
  <c r="H297" i="7"/>
  <c r="O287" i="7" l="1"/>
  <c r="R283" i="7"/>
  <c r="O299" i="7"/>
  <c r="O284" i="7"/>
  <c r="H3" i="2"/>
  <c r="F3" i="2"/>
  <c r="G3" i="6" l="1"/>
  <c r="E3" i="6"/>
  <c r="C3" i="6"/>
  <c r="F33" i="2"/>
  <c r="D33" i="2"/>
  <c r="J3" i="2" l="1"/>
  <c r="I3" i="6" s="1"/>
  <c r="I29" i="6" l="1"/>
  <c r="E29" i="6"/>
  <c r="C12" i="6"/>
  <c r="C8" i="6"/>
  <c r="I19" i="6"/>
  <c r="E19" i="6"/>
  <c r="E12" i="6"/>
  <c r="H9" i="6"/>
  <c r="I8" i="6"/>
  <c r="G8" i="6"/>
  <c r="E8" i="6"/>
  <c r="G6" i="6" l="1"/>
  <c r="H15" i="6"/>
  <c r="H8" i="6"/>
  <c r="H7" i="6"/>
  <c r="H13" i="6"/>
  <c r="H16" i="6"/>
  <c r="D15" i="6"/>
  <c r="D16" i="6"/>
  <c r="H25" i="6"/>
  <c r="G19" i="6"/>
  <c r="H19" i="6" s="1"/>
  <c r="G12" i="6"/>
  <c r="H12" i="6" s="1"/>
  <c r="C19" i="6"/>
  <c r="D19" i="6" s="1"/>
  <c r="D12" i="6"/>
  <c r="H14" i="6"/>
  <c r="I12" i="6"/>
  <c r="D20" i="6"/>
  <c r="D21" i="6"/>
  <c r="D22" i="6"/>
  <c r="D25" i="6"/>
  <c r="D13" i="6"/>
  <c r="D14" i="6"/>
  <c r="H20" i="6"/>
  <c r="H21" i="6"/>
  <c r="H22" i="6"/>
  <c r="D7" i="6"/>
  <c r="D8" i="6"/>
  <c r="C6" i="6"/>
  <c r="D9" i="6"/>
  <c r="C11" i="6"/>
  <c r="C18" i="6" s="1"/>
  <c r="D18" i="6" s="1"/>
  <c r="G11" i="6"/>
  <c r="G18" i="6" l="1"/>
  <c r="H18" i="6" s="1"/>
  <c r="C24" i="6"/>
  <c r="D24" i="6" s="1"/>
  <c r="D11" i="6"/>
  <c r="H11" i="6"/>
  <c r="G24" i="6" l="1"/>
  <c r="H24" i="6" s="1"/>
  <c r="C27" i="6"/>
  <c r="D27" i="6" l="1"/>
  <c r="G27" i="6"/>
  <c r="H27" i="6" l="1"/>
  <c r="G50" i="2" l="1"/>
  <c r="D50" i="2"/>
  <c r="C53" i="2"/>
  <c r="M36" i="1" l="1"/>
  <c r="L36" i="1"/>
  <c r="K36" i="1"/>
  <c r="J36" i="1"/>
  <c r="G36" i="1"/>
  <c r="F36" i="1"/>
  <c r="D36" i="1"/>
  <c r="C36" i="1"/>
  <c r="I33" i="1" l="1"/>
  <c r="B33" i="1"/>
  <c r="F21" i="2" l="1"/>
  <c r="F16" i="2"/>
  <c r="F8" i="2"/>
  <c r="D21" i="2"/>
  <c r="O239" i="7" l="1"/>
  <c r="O240" i="7" s="1"/>
  <c r="J240" i="7"/>
  <c r="O294" i="7"/>
  <c r="O295" i="7" s="1"/>
  <c r="J295" i="7"/>
  <c r="O291" i="7"/>
  <c r="J291" i="7"/>
  <c r="D8" i="2"/>
  <c r="M270" i="7" l="1"/>
  <c r="O269" i="7"/>
  <c r="M271" i="7"/>
  <c r="O289" i="7"/>
  <c r="J292" i="7"/>
  <c r="O292" i="7" s="1"/>
  <c r="J289" i="7"/>
  <c r="O270" i="7" l="1"/>
  <c r="M272" i="7"/>
  <c r="M275" i="7"/>
  <c r="J296" i="7"/>
  <c r="J293" i="7"/>
  <c r="M276" i="7" l="1"/>
  <c r="J300" i="7"/>
  <c r="J297" i="7"/>
  <c r="O296" i="7"/>
  <c r="O293" i="7"/>
  <c r="J301" i="7" l="1"/>
  <c r="O300" i="7"/>
  <c r="O301" i="7" s="1"/>
  <c r="O297" i="7"/>
  <c r="J7" i="2" l="1"/>
  <c r="K25" i="2" l="1"/>
  <c r="I7" i="6"/>
  <c r="K7" i="2"/>
  <c r="M53" i="1"/>
  <c r="L53" i="1"/>
  <c r="E28" i="2"/>
  <c r="G53" i="1"/>
  <c r="F7" i="2"/>
  <c r="G25" i="2" s="1"/>
  <c r="G28" i="2" l="1"/>
  <c r="G27" i="2"/>
  <c r="J25" i="6"/>
  <c r="J13" i="6"/>
  <c r="J19" i="6"/>
  <c r="I11" i="6"/>
  <c r="J14" i="6"/>
  <c r="J7" i="6"/>
  <c r="J20" i="6"/>
  <c r="J12" i="6"/>
  <c r="J15" i="6"/>
  <c r="J21" i="6"/>
  <c r="J8" i="6"/>
  <c r="J16" i="6"/>
  <c r="J22" i="6"/>
  <c r="J9" i="6"/>
  <c r="I7" i="2"/>
  <c r="E7" i="6"/>
  <c r="G11" i="2"/>
  <c r="G18" i="2"/>
  <c r="G7" i="2"/>
  <c r="G13" i="2"/>
  <c r="G17" i="2"/>
  <c r="G12" i="2"/>
  <c r="G14" i="2"/>
  <c r="G10" i="2"/>
  <c r="G22" i="2"/>
  <c r="G9" i="2"/>
  <c r="G23" i="2"/>
  <c r="F15" i="2"/>
  <c r="G24" i="2"/>
  <c r="G16" i="2"/>
  <c r="G8" i="2"/>
  <c r="G21" i="2"/>
  <c r="F53" i="1"/>
  <c r="E11" i="2"/>
  <c r="E14" i="2"/>
  <c r="E24" i="2"/>
  <c r="E9" i="2"/>
  <c r="E21" i="2"/>
  <c r="E22" i="2"/>
  <c r="E27" i="2"/>
  <c r="E12" i="2"/>
  <c r="E23" i="2"/>
  <c r="E7" i="2"/>
  <c r="E10" i="2"/>
  <c r="E13" i="2"/>
  <c r="E8" i="2"/>
  <c r="D15" i="2"/>
  <c r="J26" i="17" s="1"/>
  <c r="H5" i="2"/>
  <c r="J5" i="2"/>
  <c r="D5" i="2"/>
  <c r="F5" i="2"/>
  <c r="J234" i="7" l="1"/>
  <c r="F237" i="7"/>
  <c r="F248" i="7" s="1"/>
  <c r="F250" i="7" s="1"/>
  <c r="F234" i="7"/>
  <c r="O233" i="7"/>
  <c r="J11" i="6"/>
  <c r="I18" i="6"/>
  <c r="E15" i="2"/>
  <c r="F20" i="2"/>
  <c r="G15" i="2"/>
  <c r="F14" i="6"/>
  <c r="F15" i="6"/>
  <c r="F20" i="6"/>
  <c r="F21" i="6"/>
  <c r="F7" i="6"/>
  <c r="F9" i="6"/>
  <c r="F16" i="6"/>
  <c r="F22" i="6"/>
  <c r="F19" i="6"/>
  <c r="F13" i="6"/>
  <c r="F8" i="6"/>
  <c r="E11" i="6"/>
  <c r="F25" i="6"/>
  <c r="F12" i="6"/>
  <c r="H6" i="2"/>
  <c r="G53" i="2" s="1"/>
  <c r="I5" i="6"/>
  <c r="I6" i="6" s="1"/>
  <c r="J6" i="2"/>
  <c r="H53" i="2" s="1"/>
  <c r="E5" i="6"/>
  <c r="E6" i="6" s="1"/>
  <c r="F6" i="2"/>
  <c r="E63" i="2"/>
  <c r="E61" i="2"/>
  <c r="E57" i="2"/>
  <c r="D6" i="2"/>
  <c r="D53" i="2" s="1"/>
  <c r="D57" i="2"/>
  <c r="L28" i="1"/>
  <c r="M28" i="1"/>
  <c r="F28" i="1"/>
  <c r="G28" i="1"/>
  <c r="O234" i="7" l="1"/>
  <c r="O26" i="17"/>
  <c r="E53" i="2"/>
  <c r="F53" i="2" s="1"/>
  <c r="F238" i="7"/>
  <c r="F241" i="7"/>
  <c r="F16" i="17" s="1"/>
  <c r="F57" i="2"/>
  <c r="I24" i="6"/>
  <c r="J18" i="6"/>
  <c r="F26" i="2"/>
  <c r="G20" i="2"/>
  <c r="F11" i="6"/>
  <c r="E18" i="6"/>
  <c r="I53" i="2"/>
  <c r="B17" i="4" s="1"/>
  <c r="D59" i="2"/>
  <c r="F55" i="2"/>
  <c r="E59" i="2" l="1"/>
  <c r="E65" i="2" s="1"/>
  <c r="F245" i="7"/>
  <c r="F242" i="7"/>
  <c r="F29" i="2"/>
  <c r="E39" i="2" s="1"/>
  <c r="E37" i="2"/>
  <c r="I27" i="6"/>
  <c r="J27" i="6" s="1"/>
  <c r="J24" i="6"/>
  <c r="F18" i="6"/>
  <c r="E24" i="6"/>
  <c r="G26" i="2"/>
  <c r="B15" i="4"/>
  <c r="F59" i="2" l="1"/>
  <c r="F246" i="7"/>
  <c r="G29" i="2"/>
  <c r="E45" i="2"/>
  <c r="F24" i="6"/>
  <c r="E27" i="6"/>
  <c r="F27" i="6" s="1"/>
  <c r="I11" i="2" l="1"/>
  <c r="I28" i="2" l="1"/>
  <c r="K11" i="2" l="1"/>
  <c r="K24" i="2"/>
  <c r="K14" i="2"/>
  <c r="K23" i="2"/>
  <c r="K18" i="2" l="1"/>
  <c r="H63" i="2"/>
  <c r="J21" i="2"/>
  <c r="K22" i="2"/>
  <c r="J16" i="2"/>
  <c r="K17" i="2"/>
  <c r="H61" i="2"/>
  <c r="K9" i="2"/>
  <c r="K12" i="2"/>
  <c r="K10" i="2"/>
  <c r="K13" i="2"/>
  <c r="K28" i="2"/>
  <c r="K21" i="2" l="1"/>
  <c r="K16" i="2"/>
  <c r="J8" i="2"/>
  <c r="K8" i="2" l="1"/>
  <c r="J15" i="2"/>
  <c r="H57" i="2"/>
  <c r="H59" i="2" s="1"/>
  <c r="H65" i="2" s="1"/>
  <c r="J20" i="2" l="1"/>
  <c r="K15" i="2"/>
  <c r="J26" i="2" l="1"/>
  <c r="K20" i="2"/>
  <c r="G37" i="2" l="1"/>
  <c r="B6" i="4"/>
  <c r="K26" i="2"/>
  <c r="B12" i="4" s="1"/>
  <c r="K27" i="2" l="1"/>
  <c r="J29" i="2"/>
  <c r="G39" i="2" l="1"/>
  <c r="G45" i="2" s="1"/>
  <c r="K29" i="2"/>
  <c r="I23" i="2"/>
  <c r="I24" i="2"/>
  <c r="H21" i="2" l="1"/>
  <c r="I22" i="2"/>
  <c r="I21" i="2" l="1"/>
  <c r="B10" i="4"/>
  <c r="I9" i="2" l="1"/>
  <c r="I55" i="2"/>
  <c r="I10" i="2" l="1"/>
  <c r="I12" i="2"/>
  <c r="I27" i="2" l="1"/>
  <c r="I14" i="2" l="1"/>
  <c r="I13" i="2" l="1"/>
  <c r="H8" i="2"/>
  <c r="H15" i="2" l="1"/>
  <c r="I8" i="2"/>
  <c r="G57" i="2"/>
  <c r="I57" i="2" l="1"/>
  <c r="B11" i="4" s="1"/>
  <c r="G59" i="2"/>
  <c r="I15" i="2"/>
  <c r="I59" i="2" l="1"/>
  <c r="N267" i="7" l="1"/>
  <c r="O265" i="7"/>
  <c r="O266" i="7" s="1"/>
  <c r="N266" i="7"/>
  <c r="N271" i="7" l="1"/>
  <c r="N14" i="17" s="1"/>
  <c r="O267" i="7"/>
  <c r="N268" i="7"/>
  <c r="O14" i="17" l="1"/>
  <c r="O268" i="7"/>
  <c r="O271" i="7"/>
  <c r="O272" i="7" s="1"/>
  <c r="N272" i="7"/>
  <c r="N275" i="7"/>
  <c r="N276" i="7" l="1"/>
  <c r="O275" i="7"/>
  <c r="O276" i="7" s="1"/>
  <c r="J31" i="17" l="1"/>
  <c r="J236" i="7"/>
  <c r="J237" i="7"/>
  <c r="I248" i="7" s="1"/>
  <c r="I250" i="7" s="1"/>
  <c r="J238" i="7" l="1"/>
  <c r="J241" i="7"/>
  <c r="J242" i="7" l="1"/>
  <c r="J16" i="17"/>
  <c r="J245" i="7"/>
  <c r="J246" i="7" l="1"/>
  <c r="L31" i="17" l="1"/>
  <c r="O235" i="7"/>
  <c r="O236" i="7" s="1"/>
  <c r="L236" i="7"/>
  <c r="L237" i="7"/>
  <c r="O237" i="7" s="1"/>
  <c r="O31" i="17" l="1"/>
  <c r="O238" i="7"/>
  <c r="O241" i="7"/>
  <c r="O242" i="7" s="1"/>
  <c r="L238" i="7"/>
  <c r="L241" i="7"/>
  <c r="L242" i="7" l="1"/>
  <c r="L16" i="17"/>
  <c r="L245" i="7"/>
  <c r="O16" i="17" l="1"/>
  <c r="L246" i="7"/>
  <c r="O245" i="7"/>
  <c r="O246" i="7" s="1"/>
  <c r="E17" i="2" l="1"/>
  <c r="G61" i="2"/>
  <c r="E18" i="2"/>
  <c r="G63" i="2"/>
  <c r="I63" i="2" s="1"/>
  <c r="D61" i="2"/>
  <c r="F61" i="2" s="1"/>
  <c r="D63" i="2" l="1"/>
  <c r="D65" i="2" s="1"/>
  <c r="F65" i="2" s="1"/>
  <c r="D16" i="2"/>
  <c r="E16" i="2" s="1"/>
  <c r="G65" i="2"/>
  <c r="I65" i="2" s="1"/>
  <c r="I61" i="2"/>
  <c r="H16" i="2"/>
  <c r="D20" i="2" l="1"/>
  <c r="D26" i="2" s="1"/>
  <c r="F63" i="2"/>
  <c r="B9" i="4"/>
  <c r="B8" i="4" s="1"/>
  <c r="B21" i="4" s="1"/>
  <c r="H20" i="2"/>
  <c r="I16" i="2"/>
  <c r="E20" i="2" l="1"/>
  <c r="H26" i="2"/>
  <c r="I20" i="2"/>
  <c r="D29" i="2"/>
  <c r="D37" i="2"/>
  <c r="E26" i="2"/>
  <c r="E29" i="2" l="1"/>
  <c r="D39" i="2"/>
  <c r="D45" i="2" s="1"/>
  <c r="F37" i="2"/>
  <c r="H29" i="2"/>
  <c r="B23" i="4"/>
  <c r="I26" i="2"/>
  <c r="I29" i="2" l="1"/>
  <c r="F39" i="2"/>
  <c r="F45" i="2" s="1"/>
  <c r="EJ24" i="13"/>
  <c r="EN24" i="13"/>
  <c r="EP24" i="13" s="1"/>
  <c r="EP27" i="13" s="1"/>
  <c r="EH27" i="13"/>
  <c r="EJ27" i="13"/>
  <c r="EJ29" i="13" s="1"/>
  <c r="EH29" i="13"/>
  <c r="EN27" i="13" l="1"/>
</calcChain>
</file>

<file path=xl/comments1.xml><?xml version="1.0" encoding="utf-8"?>
<comments xmlns="http://schemas.openxmlformats.org/spreadsheetml/2006/main">
  <authors>
    <author>Author</author>
  </authors>
  <commentList>
    <comment ref="C28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Prior period depreciation adujusement</t>
        </r>
      </text>
    </comment>
  </commentList>
</comments>
</file>

<file path=xl/sharedStrings.xml><?xml version="1.0" encoding="utf-8"?>
<sst xmlns="http://schemas.openxmlformats.org/spreadsheetml/2006/main" count="2518" uniqueCount="283">
  <si>
    <t>VVF (India) Limited</t>
  </si>
  <si>
    <t xml:space="preserve">Sales Performance </t>
  </si>
  <si>
    <t>Particulars</t>
  </si>
  <si>
    <t>ABP</t>
  </si>
  <si>
    <t>Actual</t>
  </si>
  <si>
    <t>Variance             ( ABP  Vs ACT)</t>
  </si>
  <si>
    <t>Sales Volume</t>
  </si>
  <si>
    <t>Sales Value</t>
  </si>
  <si>
    <t>Qty. in MT</t>
  </si>
  <si>
    <t>P.Y</t>
  </si>
  <si>
    <t>EBIDTA -ACTUAL</t>
  </si>
  <si>
    <t>EBIDTA - ABP</t>
  </si>
  <si>
    <t>Add :</t>
  </si>
  <si>
    <t xml:space="preserve">Less: </t>
  </si>
  <si>
    <t xml:space="preserve">PY Actual </t>
  </si>
  <si>
    <t>JO</t>
  </si>
  <si>
    <t>DOY KIDS</t>
  </si>
  <si>
    <t>BACTERSHIELD SOAP</t>
  </si>
  <si>
    <t>BACTERSHIELD HW</t>
  </si>
  <si>
    <t>JO HD</t>
  </si>
  <si>
    <t>DOY FACEWASH</t>
  </si>
  <si>
    <t>% ACH</t>
  </si>
  <si>
    <t>CPD</t>
  </si>
  <si>
    <t>Sales Value ( Rs in Cr)</t>
  </si>
  <si>
    <t>Sales Volume ( In MT)</t>
  </si>
  <si>
    <t>Sales in MT</t>
  </si>
  <si>
    <t xml:space="preserve">Raw materials consumed </t>
  </si>
  <si>
    <t>Packaging Material / Additives</t>
  </si>
  <si>
    <t>Processing Cost</t>
  </si>
  <si>
    <t>Freight - Logistics</t>
  </si>
  <si>
    <t>Impact of Difference in Volume &amp; Price</t>
  </si>
  <si>
    <t>Gross Margin</t>
  </si>
  <si>
    <t>COGS</t>
  </si>
  <si>
    <t>Marketing &amp; Selling Expenses</t>
  </si>
  <si>
    <t>Marketing Expenses</t>
  </si>
  <si>
    <t>Selling Expenses</t>
  </si>
  <si>
    <t>Net Contribution</t>
  </si>
  <si>
    <t>General, Admin. Exps</t>
  </si>
  <si>
    <t>Distribution O.H</t>
  </si>
  <si>
    <t>H.O Overhead</t>
  </si>
  <si>
    <t>Shared Service Overhead</t>
  </si>
  <si>
    <t>Operating Profit (EBIDTA)</t>
  </si>
  <si>
    <t>Finance Cost</t>
  </si>
  <si>
    <t>Profit Before Depreciation and Tax</t>
  </si>
  <si>
    <t>Net  Revenue</t>
  </si>
  <si>
    <t>Net  Revenue/MT</t>
  </si>
  <si>
    <t>%</t>
  </si>
  <si>
    <t>ACT</t>
  </si>
  <si>
    <t>Rs Cr</t>
  </si>
  <si>
    <t>Savings in  H.O  Overhead</t>
  </si>
  <si>
    <t>Savings in Markeitng &amp; Selling Overhead</t>
  </si>
  <si>
    <t>Gross Contribution imapct due to NR down</t>
  </si>
  <si>
    <t>EBITDA</t>
  </si>
  <si>
    <t>PBT</t>
  </si>
  <si>
    <t xml:space="preserve">VVF </t>
  </si>
  <si>
    <t xml:space="preserve">Synergy </t>
  </si>
  <si>
    <t xml:space="preserve">Value Rs in Crs </t>
  </si>
  <si>
    <t>VVF+ SYN PBT</t>
  </si>
  <si>
    <t xml:space="preserve">LY </t>
  </si>
  <si>
    <t>Act</t>
  </si>
  <si>
    <t>Var ( +/-)</t>
  </si>
  <si>
    <t>Noodle Cost</t>
  </si>
  <si>
    <t>Marketing Cost</t>
  </si>
  <si>
    <t>Selling Cost</t>
  </si>
  <si>
    <t>Gross Contribution imapct due to Volume</t>
  </si>
  <si>
    <t>Gross Contribution</t>
  </si>
  <si>
    <t xml:space="preserve">Purchase </t>
  </si>
  <si>
    <t>Establishment Expenses</t>
  </si>
  <si>
    <t xml:space="preserve">Adminstrative Expenses </t>
  </si>
  <si>
    <t>Other Expenses</t>
  </si>
  <si>
    <t>Depreciation</t>
  </si>
  <si>
    <t>Sales, Tour and Travel Expenses</t>
  </si>
  <si>
    <t>C &amp; F Commission</t>
  </si>
  <si>
    <t>Freight and Forwarding Expenses</t>
  </si>
  <si>
    <t>Others</t>
  </si>
  <si>
    <t>% Gwth Over P.Y</t>
  </si>
  <si>
    <t>% Gwth over P.Y</t>
  </si>
  <si>
    <t>DOYCARE</t>
  </si>
  <si>
    <t>FY 14-15</t>
  </si>
  <si>
    <t>Volume ( MT)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</si>
  <si>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</si>
  <si>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</si>
  <si>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</si>
  <si>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</si>
  <si>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</si>
  <si>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</si>
  <si>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</si>
  <si>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</si>
  <si>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</si>
  <si>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</si>
  <si>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</si>
  <si>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</si>
  <si>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</si>
  <si>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Value ( Rs Crs)</t>
  </si>
  <si>
    <t>FY 13-14</t>
  </si>
  <si>
    <t>Growth CY VS LY</t>
  </si>
  <si>
    <t xml:space="preserve">% </t>
  </si>
  <si>
    <t xml:space="preserve">FINANCE COST </t>
  </si>
  <si>
    <t xml:space="preserve">PBT </t>
  </si>
  <si>
    <t xml:space="preserve">General, Admin. </t>
  </si>
  <si>
    <t xml:space="preserve">Gross Contribution </t>
  </si>
  <si>
    <t xml:space="preserve">Sales </t>
  </si>
  <si>
    <t xml:space="preserve">Marketing &amp; Selling </t>
  </si>
  <si>
    <t>Value  ( Rs. Crores)</t>
  </si>
  <si>
    <t>Net  Revenue(Rs.) /MT</t>
  </si>
  <si>
    <t xml:space="preserve">Volume </t>
  </si>
  <si>
    <t xml:space="preserve">Noodle Cost </t>
  </si>
  <si>
    <t>Excise On FG</t>
  </si>
  <si>
    <t>NR/MT</t>
  </si>
  <si>
    <t>JO SOAPS</t>
  </si>
  <si>
    <t>DOYCARE SOAPS</t>
  </si>
  <si>
    <t>BACTERSHIELD SOAPS</t>
  </si>
  <si>
    <t>DOYCARE  FACEWASH</t>
  </si>
  <si>
    <t>DOY TRANSPARENT SOAPS</t>
  </si>
  <si>
    <t>Profit Before Tax</t>
  </si>
  <si>
    <t>FY 15-16</t>
  </si>
  <si>
    <t>DOY KIDS SOAPS</t>
  </si>
  <si>
    <t>Depreciaion</t>
  </si>
  <si>
    <t>FINANCE COST &amp;DEP</t>
  </si>
  <si>
    <t>Aug</t>
  </si>
  <si>
    <t>Total % on QTY</t>
  </si>
  <si>
    <t>Total NR/MT</t>
  </si>
  <si>
    <t xml:space="preserve"> MT</t>
  </si>
  <si>
    <t>% on QTY</t>
  </si>
  <si>
    <t>JO 100x4</t>
  </si>
  <si>
    <t>JO 30G</t>
  </si>
  <si>
    <t>JO 55x5</t>
  </si>
  <si>
    <t>JO 60x4</t>
  </si>
  <si>
    <t>JO 60x5</t>
  </si>
  <si>
    <t>JO 100x8</t>
  </si>
  <si>
    <t>JO 65</t>
  </si>
  <si>
    <t>JO 125x4</t>
  </si>
  <si>
    <t>JO 65x3</t>
  </si>
  <si>
    <t>JO 65x4</t>
  </si>
  <si>
    <t>JO 40G</t>
  </si>
  <si>
    <t>JO 70x3</t>
  </si>
  <si>
    <t>JO 75x3</t>
  </si>
  <si>
    <t>JO 80</t>
  </si>
  <si>
    <t>JO 100x5</t>
  </si>
  <si>
    <t>JO 150x4</t>
  </si>
  <si>
    <t>Grand Total</t>
  </si>
  <si>
    <t>JO NR MOVEMENT</t>
  </si>
  <si>
    <t>SKU</t>
  </si>
  <si>
    <t>Sept</t>
  </si>
  <si>
    <t>Brand5 
Desc</t>
  </si>
  <si>
    <t>DOY TRANSPARENT</t>
  </si>
  <si>
    <t>OCT</t>
  </si>
  <si>
    <t>Total  MT</t>
  </si>
  <si>
    <t>JO 55+10x4</t>
  </si>
  <si>
    <t>JO Net GC MOVEMENT</t>
  </si>
  <si>
    <t>Schme</t>
  </si>
  <si>
    <t>Net GC</t>
  </si>
  <si>
    <t>JO Mehendi</t>
  </si>
  <si>
    <t>VVF Dispacth</t>
  </si>
  <si>
    <t>JO MEHENDI</t>
  </si>
  <si>
    <t>Value ( Rs. Cr)</t>
  </si>
  <si>
    <t>NOV</t>
  </si>
  <si>
    <t>DEC</t>
  </si>
  <si>
    <t>JAN</t>
  </si>
  <si>
    <t>INST BUSINESS</t>
  </si>
  <si>
    <t>FEB</t>
  </si>
  <si>
    <t>MARCH</t>
  </si>
  <si>
    <t>FY 16-17</t>
  </si>
  <si>
    <t>TRUTH SOAPS</t>
  </si>
  <si>
    <t>TRUTH LIQUIDS</t>
  </si>
  <si>
    <t>DOYCARE LIQUIDS</t>
  </si>
  <si>
    <t>DOY KIDS LIQUIDS</t>
  </si>
  <si>
    <t>BS HAND SANITIZER</t>
  </si>
  <si>
    <t xml:space="preserve">Sale including vvf direct despatches </t>
  </si>
  <si>
    <t>2016-17</t>
  </si>
  <si>
    <t>Rs. in  Crs.</t>
  </si>
  <si>
    <t>Variance Analysis /MT</t>
  </si>
  <si>
    <t>MAY</t>
  </si>
  <si>
    <t>DOY NR MOVEMENT</t>
  </si>
  <si>
    <t>DC CU 50G</t>
  </si>
  <si>
    <t>DCAV 75G</t>
  </si>
  <si>
    <t>DC CU 75G</t>
  </si>
  <si>
    <t>DCAV 125G</t>
  </si>
  <si>
    <t>DCAV 50G</t>
  </si>
  <si>
    <t>DC CU 125G</t>
  </si>
  <si>
    <t>DCC 75G</t>
  </si>
  <si>
    <t>DCC 125G</t>
  </si>
  <si>
    <t>DC ML 50G</t>
  </si>
  <si>
    <t>DCC 50G</t>
  </si>
  <si>
    <t>DCH 125G</t>
  </si>
  <si>
    <t>DCH 50G</t>
  </si>
  <si>
    <t>DCH 75G</t>
  </si>
  <si>
    <t>DCAV 100G</t>
  </si>
  <si>
    <t>DC ML 125G</t>
  </si>
  <si>
    <t>DC SN 75G</t>
  </si>
  <si>
    <t>DC ML 75G</t>
  </si>
  <si>
    <t>DC SN 125G</t>
  </si>
  <si>
    <t>DC SN 50G</t>
  </si>
  <si>
    <t>Pure &amp; Aloe 70</t>
  </si>
  <si>
    <t>Pure &amp; Satin 70</t>
  </si>
  <si>
    <t>Pure &amp; Silk 70</t>
  </si>
  <si>
    <t>BS NR MOVEMENT</t>
  </si>
  <si>
    <t>BS 70G</t>
  </si>
  <si>
    <t>BS 34G</t>
  </si>
  <si>
    <t>BS 125G</t>
  </si>
  <si>
    <t>BS 60G</t>
  </si>
  <si>
    <t>BS 100G</t>
  </si>
  <si>
    <t>DOY Net GC MOVEMENT</t>
  </si>
  <si>
    <t>BS Net GC MOVEMENT</t>
  </si>
  <si>
    <t>JUNE</t>
  </si>
  <si>
    <t>JO 125</t>
  </si>
  <si>
    <t>Pure &amp; Aloe 125G</t>
  </si>
  <si>
    <t>Pure &amp; Satin 125G</t>
  </si>
  <si>
    <t>Pure &amp; Silk 125G</t>
  </si>
  <si>
    <t>JULY</t>
  </si>
  <si>
    <t xml:space="preserve">Realsn/MT </t>
  </si>
  <si>
    <t>FY 15/16</t>
  </si>
  <si>
    <t>FY 16/17</t>
  </si>
  <si>
    <t>Vol MT</t>
  </si>
  <si>
    <t>YEAR</t>
  </si>
  <si>
    <t>AUGUST</t>
  </si>
  <si>
    <t>JO 150x8</t>
  </si>
  <si>
    <t>AUG</t>
  </si>
  <si>
    <t>Net NR</t>
  </si>
  <si>
    <t>MT/PM</t>
  </si>
  <si>
    <t xml:space="preserve">PRICE IMPACT </t>
  </si>
  <si>
    <t>Value</t>
  </si>
  <si>
    <t xml:space="preserve">JO 50X5  GM pack change </t>
  </si>
  <si>
    <t>100X4 -60 gm pack change</t>
  </si>
  <si>
    <t>125X4 marp change 75 to 80</t>
  </si>
  <si>
    <t>QPS impact</t>
  </si>
  <si>
    <t>Reduction in trade margin 80 gm</t>
  </si>
  <si>
    <t>Sodium Gluconate noodle cost impact</t>
  </si>
  <si>
    <t>DOYCARE  125X4 - MRP Change</t>
  </si>
  <si>
    <t>DOY Transparent MRP Change</t>
  </si>
  <si>
    <t xml:space="preserve">65X4 to 60X4 </t>
  </si>
  <si>
    <t>BRAND</t>
  </si>
  <si>
    <t>jo</t>
  </si>
  <si>
    <t>DOYCARE SOAPS(Pure Crème)</t>
  </si>
  <si>
    <t>DOYCARE SOAPS( Base)</t>
  </si>
  <si>
    <t>SEPTEMBER</t>
  </si>
  <si>
    <t>SEPT</t>
  </si>
  <si>
    <t>JO 50x5</t>
  </si>
  <si>
    <t>OCTOBER</t>
  </si>
  <si>
    <t>NOVEMBER</t>
  </si>
  <si>
    <t>%  Gwth over L.Y</t>
  </si>
  <si>
    <t>PY Actual  FY  15-16</t>
  </si>
  <si>
    <t>Value Rs Cr</t>
  </si>
  <si>
    <t>EBITDA  Rs Cr</t>
  </si>
  <si>
    <t>COGS/MT</t>
  </si>
  <si>
    <t>S&amp;M/MT</t>
  </si>
  <si>
    <t>DECEMBER</t>
  </si>
  <si>
    <t>Stock Prov</t>
  </si>
  <si>
    <t>Estimated  EBITDA  FY 16-17</t>
  </si>
  <si>
    <t>Less:  Variable Margin in CMB Result</t>
  </si>
  <si>
    <t xml:space="preserve">Revised EBITDA </t>
  </si>
  <si>
    <t>Rs Crores</t>
  </si>
  <si>
    <t>CPD EBITDA Recasting</t>
  </si>
  <si>
    <t>Less:  CSS O.H debit in  CPD Result</t>
  </si>
  <si>
    <t>Less:  R&amp;D  O.H debit  in  CPD Result</t>
  </si>
  <si>
    <t>Gross Contribution  impact in COGS</t>
  </si>
  <si>
    <t>JAN          ( ACT)</t>
  </si>
  <si>
    <t>%  Gwth Over L.Y (Jan -March 16)</t>
  </si>
  <si>
    <t>JANUARY 17</t>
  </si>
  <si>
    <t>BS 60x4G</t>
  </si>
  <si>
    <t>JO 60</t>
  </si>
  <si>
    <t>JAN 17</t>
  </si>
  <si>
    <t>FEB          ( ACT)</t>
  </si>
  <si>
    <t>FEBRUARY 17</t>
  </si>
  <si>
    <t>Pure &amp; Silk 65G</t>
  </si>
  <si>
    <t>Pure &amp; Aloe 65G</t>
  </si>
  <si>
    <t>Pure &amp; Satin 65G</t>
  </si>
  <si>
    <t>FEB 17</t>
  </si>
  <si>
    <t>FTM  March 17</t>
  </si>
  <si>
    <t>YTD  ( March  17)</t>
  </si>
  <si>
    <t>January -  March  '17 (Actual)</t>
  </si>
  <si>
    <t>MARCH          (ACT)</t>
  </si>
  <si>
    <t>Q4                 (Actual)</t>
  </si>
  <si>
    <t>FY 16-17 Actual</t>
  </si>
  <si>
    <t>ACT 16-17</t>
  </si>
  <si>
    <t>ABP VS ACTUAL   -  YTD   Mar '17</t>
  </si>
  <si>
    <t>MARCH 17</t>
  </si>
  <si>
    <t>2015-16</t>
  </si>
  <si>
    <t>ABP FY 16/17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</si>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</sst>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 * #,##0.0_ ;_ * \-#,##0.0_ ;_ * &quot;-&quot;??_ ;_ @_ "/>
    <numFmt numFmtId="168" formatCode="_ * #,##0_ ;_ * \-#,##0_ ;_ * &quot;-&quot;??_ ;_ @_ "/>
    <numFmt numFmtId="169" formatCode="0.0%"/>
    <numFmt numFmtId="170" formatCode="0.000%"/>
    <numFmt numFmtId="171" formatCode="&quot;Rs.&quot;\ #,##0.00_);\(&quot;Rs.&quot;\ #,##0.00\)"/>
    <numFmt numFmtId="172" formatCode="_(&quot;Rs.&quot;\ * #,##0_);_(&quot;Rs.&quot;\ * \(#,##0\);_(&quot;Rs.&quot;\ * &quot;-&quot;_);_(@_)"/>
    <numFmt numFmtId="173" formatCode="&quot;$&quot;#,\);\(&quot;$&quot;#,##0\)"/>
    <numFmt numFmtId="174" formatCode="_(* #,##0.0_);_(* \(#,##0.0\);_(* &quot;-&quot;??_);_(@_)"/>
    <numFmt numFmtId="175" formatCode="_ * #,##0.000_ ;_ * \-#,##0.000_ ;_ * &quot;-&quot;??_ ;_ @_ "/>
    <numFmt numFmtId="176" formatCode="_(* #,##0.000_);_(* \(#,##0.000\);_(* &quot;-&quot;??_);_(@_)"/>
    <numFmt numFmtId="177" formatCode="_ * #,##0.0000_ ;_ * \-#,##0.0000_ ;_ * &quot;-&quot;??_ ;_ 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Tms Rmn"/>
    </font>
    <font>
      <b/>
      <sz val="8"/>
      <color indexed="24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sz val="10"/>
      <name val="MS Sans Serif"/>
      <family val="2"/>
    </font>
    <font>
      <sz val="12"/>
      <name val="Helv"/>
    </font>
    <font>
      <sz val="10"/>
      <name val="Courier"/>
      <family val="3"/>
    </font>
    <font>
      <b/>
      <sz val="11"/>
      <color indexed="8"/>
      <name val="Calibri"/>
      <family val="2"/>
    </font>
    <font>
      <sz val="24"/>
      <color indexed="9"/>
      <name val="SWISS"/>
    </font>
    <font>
      <b/>
      <sz val="14"/>
      <name val="SWISS"/>
    </font>
    <font>
      <b/>
      <sz val="12"/>
      <name val="Arial"/>
      <family val="2"/>
    </font>
    <font>
      <b/>
      <sz val="14"/>
      <name val="Helv"/>
    </font>
    <font>
      <sz val="7"/>
      <name val="Small Fonts"/>
      <family val="2"/>
    </font>
    <font>
      <sz val="10"/>
      <name val="Century Gothic"/>
      <family val="2"/>
    </font>
    <font>
      <sz val="8"/>
      <name val="Arial Narrow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24"/>
      <color indexed="13"/>
      <name val="Helv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name val="Tahoma"/>
      <family val="2"/>
    </font>
    <font>
      <sz val="11"/>
      <color rgb="FFC00000"/>
      <name val="Calibri"/>
      <family val="2"/>
    </font>
    <font>
      <b/>
      <sz val="11"/>
      <color rgb="FFC00000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40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2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4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4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7" borderId="0" applyNumberFormat="0" applyBorder="0" applyAlignment="0" applyProtection="0"/>
    <xf numFmtId="0" fontId="14" fillId="15" borderId="0" applyNumberFormat="0" applyBorder="0" applyAlignment="0" applyProtection="0"/>
    <xf numFmtId="0" fontId="14" fillId="10" borderId="0" applyNumberFormat="0" applyBorder="0" applyAlignment="0" applyProtection="0"/>
    <xf numFmtId="0" fontId="15" fillId="16" borderId="0" applyNumberFormat="0" applyBorder="0" applyAlignment="0" applyProtection="0"/>
    <xf numFmtId="0" fontId="3" fillId="0" borderId="17" applyBorder="0">
      <alignment horizontal="centerContinuous"/>
    </xf>
    <xf numFmtId="0" fontId="16" fillId="0" borderId="0" applyNumberFormat="0" applyFill="0" applyBorder="0" applyAlignment="0" applyProtection="0"/>
    <xf numFmtId="49" fontId="17" fillId="0" borderId="0" applyFont="0" applyFill="0" applyBorder="0" applyAlignment="0" applyProtection="0">
      <alignment horizontal="left"/>
    </xf>
    <xf numFmtId="0" fontId="13" fillId="0" borderId="0" applyAlignment="0" applyProtection="0"/>
    <xf numFmtId="0" fontId="13" fillId="0" borderId="0" applyAlignment="0" applyProtection="0"/>
    <xf numFmtId="0" fontId="13" fillId="0" borderId="0" applyAlignment="0" applyProtection="0"/>
    <xf numFmtId="0" fontId="13" fillId="0" borderId="0" applyAlignment="0" applyProtection="0"/>
    <xf numFmtId="170" fontId="13" fillId="0" borderId="0" applyAlignment="0" applyProtection="0"/>
    <xf numFmtId="171" fontId="12" fillId="0" borderId="0" applyFill="0" applyBorder="0" applyAlignment="0" applyProtection="0"/>
    <xf numFmtId="49" fontId="12" fillId="0" borderId="0" applyNumberFormat="0" applyAlignment="0" applyProtection="0">
      <alignment horizontal="left"/>
    </xf>
    <xf numFmtId="49" fontId="18" fillId="0" borderId="18" applyNumberFormat="0" applyAlignment="0" applyProtection="0">
      <alignment horizontal="left" wrapText="1"/>
    </xf>
    <xf numFmtId="49" fontId="18" fillId="0" borderId="0" applyNumberFormat="0" applyAlignment="0" applyProtection="0">
      <alignment horizontal="left" wrapText="1"/>
    </xf>
    <xf numFmtId="49" fontId="19" fillId="0" borderId="0" applyAlignment="0" applyProtection="0">
      <alignment horizontal="left"/>
    </xf>
    <xf numFmtId="0" fontId="2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1" fillId="0" borderId="0"/>
    <xf numFmtId="0" fontId="21" fillId="0" borderId="19"/>
    <xf numFmtId="0" fontId="22" fillId="0" borderId="0"/>
    <xf numFmtId="0" fontId="22" fillId="0" borderId="19"/>
    <xf numFmtId="0" fontId="22" fillId="0" borderId="19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4" fillId="20" borderId="0"/>
    <xf numFmtId="0" fontId="25" fillId="0" borderId="20"/>
    <xf numFmtId="0" fontId="25" fillId="0" borderId="19"/>
    <xf numFmtId="0" fontId="25" fillId="21" borderId="19"/>
    <xf numFmtId="0" fontId="26" fillId="0" borderId="2" applyNumberFormat="0" applyAlignment="0" applyProtection="0">
      <alignment horizontal="left" vertical="center"/>
    </xf>
    <xf numFmtId="0" fontId="26" fillId="0" borderId="21">
      <alignment horizontal="left" vertical="center"/>
    </xf>
    <xf numFmtId="0" fontId="27" fillId="22" borderId="19"/>
    <xf numFmtId="37" fontId="28" fillId="0" borderId="0"/>
    <xf numFmtId="173" fontId="29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1" fillId="0" borderId="0"/>
    <xf numFmtId="0" fontId="22" fillId="0" borderId="0"/>
    <xf numFmtId="4" fontId="31" fillId="23" borderId="22" applyNumberFormat="0" applyProtection="0">
      <alignment vertical="center"/>
    </xf>
    <xf numFmtId="4" fontId="32" fillId="23" borderId="22" applyNumberFormat="0" applyProtection="0">
      <alignment vertical="center"/>
    </xf>
    <xf numFmtId="4" fontId="31" fillId="23" borderId="22" applyNumberFormat="0" applyProtection="0">
      <alignment horizontal="left" vertical="center" indent="1"/>
    </xf>
    <xf numFmtId="0" fontId="31" fillId="23" borderId="22" applyNumberFormat="0" applyProtection="0">
      <alignment horizontal="left" vertical="top" indent="1"/>
    </xf>
    <xf numFmtId="4" fontId="31" fillId="24" borderId="0" applyNumberFormat="0" applyProtection="0">
      <alignment horizontal="left" vertical="center" indent="1"/>
    </xf>
    <xf numFmtId="4" fontId="33" fillId="25" borderId="22" applyNumberFormat="0" applyProtection="0">
      <alignment horizontal="right" vertical="center"/>
    </xf>
    <xf numFmtId="4" fontId="33" fillId="26" borderId="22" applyNumberFormat="0" applyProtection="0">
      <alignment horizontal="right" vertical="center"/>
    </xf>
    <xf numFmtId="4" fontId="33" fillId="27" borderId="22" applyNumberFormat="0" applyProtection="0">
      <alignment horizontal="right" vertical="center"/>
    </xf>
    <xf numFmtId="4" fontId="33" fillId="28" borderId="22" applyNumberFormat="0" applyProtection="0">
      <alignment horizontal="right" vertical="center"/>
    </xf>
    <xf numFmtId="4" fontId="33" fillId="29" borderId="22" applyNumberFormat="0" applyProtection="0">
      <alignment horizontal="right" vertical="center"/>
    </xf>
    <xf numFmtId="4" fontId="33" fillId="30" borderId="22" applyNumberFormat="0" applyProtection="0">
      <alignment horizontal="right" vertical="center"/>
    </xf>
    <xf numFmtId="4" fontId="33" fillId="31" borderId="22" applyNumberFormat="0" applyProtection="0">
      <alignment horizontal="right" vertical="center"/>
    </xf>
    <xf numFmtId="4" fontId="33" fillId="32" borderId="22" applyNumberFormat="0" applyProtection="0">
      <alignment horizontal="right" vertical="center"/>
    </xf>
    <xf numFmtId="4" fontId="33" fillId="33" borderId="22" applyNumberFormat="0" applyProtection="0">
      <alignment horizontal="right" vertical="center"/>
    </xf>
    <xf numFmtId="4" fontId="31" fillId="34" borderId="23" applyNumberFormat="0" applyProtection="0">
      <alignment horizontal="left" vertical="center" indent="1"/>
    </xf>
    <xf numFmtId="4" fontId="33" fillId="35" borderId="0" applyNumberFormat="0" applyProtection="0">
      <alignment horizontal="left" vertical="center" indent="1"/>
    </xf>
    <xf numFmtId="4" fontId="34" fillId="36" borderId="0" applyNumberFormat="0" applyProtection="0">
      <alignment horizontal="left" vertical="center" indent="1"/>
    </xf>
    <xf numFmtId="4" fontId="33" fillId="24" borderId="22" applyNumberFormat="0" applyProtection="0">
      <alignment horizontal="right" vertical="center"/>
    </xf>
    <xf numFmtId="4" fontId="33" fillId="35" borderId="0" applyNumberFormat="0" applyProtection="0">
      <alignment horizontal="left" vertical="center" indent="1"/>
    </xf>
    <xf numFmtId="4" fontId="33" fillId="24" borderId="0" applyNumberFormat="0" applyProtection="0">
      <alignment horizontal="left" vertical="center" indent="1"/>
    </xf>
    <xf numFmtId="0" fontId="2" fillId="36" borderId="22" applyNumberFormat="0" applyProtection="0">
      <alignment horizontal="left" vertical="center" indent="1"/>
    </xf>
    <xf numFmtId="0" fontId="2" fillId="36" borderId="22" applyNumberFormat="0" applyProtection="0">
      <alignment horizontal="left" vertical="top" indent="1"/>
    </xf>
    <xf numFmtId="0" fontId="2" fillId="24" borderId="22" applyNumberFormat="0" applyProtection="0">
      <alignment horizontal="left" vertical="center" indent="1"/>
    </xf>
    <xf numFmtId="0" fontId="2" fillId="24" borderId="22" applyNumberFormat="0" applyProtection="0">
      <alignment horizontal="left" vertical="top" indent="1"/>
    </xf>
    <xf numFmtId="0" fontId="2" fillId="37" borderId="22" applyNumberFormat="0" applyProtection="0">
      <alignment horizontal="left" vertical="center" indent="1"/>
    </xf>
    <xf numFmtId="0" fontId="2" fillId="37" borderId="22" applyNumberFormat="0" applyProtection="0">
      <alignment horizontal="left" vertical="top" indent="1"/>
    </xf>
    <xf numFmtId="0" fontId="2" fillId="35" borderId="22" applyNumberFormat="0" applyProtection="0">
      <alignment horizontal="left" vertical="center" indent="1"/>
    </xf>
    <xf numFmtId="0" fontId="2" fillId="35" borderId="22" applyNumberFormat="0" applyProtection="0">
      <alignment horizontal="left" vertical="top" indent="1"/>
    </xf>
    <xf numFmtId="0" fontId="2" fillId="38" borderId="4" applyNumberFormat="0">
      <protection locked="0"/>
    </xf>
    <xf numFmtId="4" fontId="33" fillId="39" borderId="22" applyNumberFormat="0" applyProtection="0">
      <alignment vertical="center"/>
    </xf>
    <xf numFmtId="4" fontId="35" fillId="39" borderId="22" applyNumberFormat="0" applyProtection="0">
      <alignment vertical="center"/>
    </xf>
    <xf numFmtId="4" fontId="33" fillId="39" borderId="22" applyNumberFormat="0" applyProtection="0">
      <alignment horizontal="left" vertical="center" indent="1"/>
    </xf>
    <xf numFmtId="0" fontId="33" fillId="39" borderId="22" applyNumberFormat="0" applyProtection="0">
      <alignment horizontal="left" vertical="top" indent="1"/>
    </xf>
    <xf numFmtId="4" fontId="33" fillId="35" borderId="22" applyNumberFormat="0" applyProtection="0">
      <alignment horizontal="right" vertical="center"/>
    </xf>
    <xf numFmtId="4" fontId="35" fillId="35" borderId="22" applyNumberFormat="0" applyProtection="0">
      <alignment horizontal="right" vertical="center"/>
    </xf>
    <xf numFmtId="4" fontId="33" fillId="24" borderId="22" applyNumberFormat="0" applyProtection="0">
      <alignment horizontal="left" vertical="center" indent="1"/>
    </xf>
    <xf numFmtId="0" fontId="33" fillId="24" borderId="22" applyNumberFormat="0" applyProtection="0">
      <alignment horizontal="left" vertical="top" indent="1"/>
    </xf>
    <xf numFmtId="4" fontId="36" fillId="40" borderId="0" applyNumberFormat="0" applyProtection="0">
      <alignment horizontal="left" vertical="center" indent="1"/>
    </xf>
    <xf numFmtId="4" fontId="37" fillId="35" borderId="22" applyNumberFormat="0" applyProtection="0">
      <alignment horizontal="right" vertical="center"/>
    </xf>
    <xf numFmtId="0" fontId="3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0" fillId="0" borderId="4">
      <alignment horizontal="centerContinuous"/>
    </xf>
    <xf numFmtId="0" fontId="21" fillId="0" borderId="19"/>
    <xf numFmtId="0" fontId="39" fillId="41" borderId="0"/>
    <xf numFmtId="0" fontId="27" fillId="0" borderId="20"/>
    <xf numFmtId="0" fontId="27" fillId="0" borderId="19"/>
    <xf numFmtId="0" fontId="2" fillId="0" borderId="0"/>
  </cellStyleXfs>
  <cellXfs count="433">
    <xf numFmtId="0" fontId="0" fillId="0" borderId="0" xfId="0"/>
    <xf numFmtId="0" fontId="3" fillId="0" borderId="0" xfId="3" applyFont="1"/>
    <xf numFmtId="0" fontId="4" fillId="0" borderId="0" xfId="0" applyFont="1"/>
    <xf numFmtId="0" fontId="5" fillId="0" borderId="0" xfId="0" applyFont="1"/>
    <xf numFmtId="0" fontId="3" fillId="0" borderId="4" xfId="3" applyFont="1" applyBorder="1"/>
    <xf numFmtId="0" fontId="3" fillId="2" borderId="4" xfId="4" applyFont="1" applyFill="1" applyBorder="1" applyAlignment="1">
      <alignment horizontal="center" vertical="top" wrapText="1"/>
    </xf>
    <xf numFmtId="0" fontId="2" fillId="0" borderId="4" xfId="3" applyFont="1" applyFill="1" applyBorder="1" applyAlignment="1">
      <alignment vertical="center"/>
    </xf>
    <xf numFmtId="0" fontId="3" fillId="3" borderId="4" xfId="3" applyFont="1" applyFill="1" applyBorder="1" applyAlignment="1">
      <alignment horizontal="left"/>
    </xf>
    <xf numFmtId="167" fontId="4" fillId="0" borderId="0" xfId="1" applyNumberFormat="1" applyFont="1"/>
    <xf numFmtId="0" fontId="7" fillId="0" borderId="0" xfId="0" applyFont="1"/>
    <xf numFmtId="0" fontId="8" fillId="0" borderId="0" xfId="0" applyFont="1"/>
    <xf numFmtId="0" fontId="0" fillId="0" borderId="11" xfId="0" applyBorder="1"/>
    <xf numFmtId="0" fontId="6" fillId="0" borderId="5" xfId="0" applyFont="1" applyBorder="1" applyAlignment="1">
      <alignment horizontal="center"/>
    </xf>
    <xf numFmtId="0" fontId="6" fillId="0" borderId="12" xfId="0" applyFont="1" applyBorder="1"/>
    <xf numFmtId="0" fontId="0" fillId="0" borderId="12" xfId="0" applyBorder="1"/>
    <xf numFmtId="0" fontId="10" fillId="0" borderId="12" xfId="0" applyFont="1" applyBorder="1"/>
    <xf numFmtId="0" fontId="0" fillId="0" borderId="15" xfId="0" applyBorder="1"/>
    <xf numFmtId="0" fontId="4" fillId="4" borderId="0" xfId="0" applyFont="1" applyFill="1"/>
    <xf numFmtId="0" fontId="5" fillId="4" borderId="0" xfId="0" applyFont="1" applyFill="1"/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0" fillId="4" borderId="0" xfId="4" applyFont="1" applyFill="1" applyAlignment="1">
      <alignment horizontal="center"/>
    </xf>
    <xf numFmtId="43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0" xfId="0" applyFont="1" applyFill="1" applyAlignment="1"/>
    <xf numFmtId="0" fontId="3" fillId="4" borderId="0" xfId="4" applyFont="1" applyFill="1" applyAlignment="1"/>
    <xf numFmtId="167" fontId="4" fillId="0" borderId="0" xfId="1" applyNumberFormat="1" applyFont="1" applyAlignment="1"/>
    <xf numFmtId="0" fontId="3" fillId="42" borderId="4" xfId="4" applyFont="1" applyFill="1" applyBorder="1" applyAlignment="1">
      <alignment horizontal="center" vertical="top" wrapText="1"/>
    </xf>
    <xf numFmtId="0" fontId="6" fillId="42" borderId="12" xfId="0" applyFont="1" applyFill="1" applyBorder="1"/>
    <xf numFmtId="0" fontId="10" fillId="5" borderId="12" xfId="0" applyFont="1" applyFill="1" applyBorder="1"/>
    <xf numFmtId="168" fontId="4" fillId="0" borderId="0" xfId="1" applyNumberFormat="1" applyFont="1" applyAlignment="1"/>
    <xf numFmtId="168" fontId="4" fillId="4" borderId="0" xfId="1" applyNumberFormat="1" applyFont="1" applyFill="1" applyAlignment="1"/>
    <xf numFmtId="168" fontId="3" fillId="42" borderId="4" xfId="1" applyNumberFormat="1" applyFont="1" applyFill="1" applyBorder="1" applyAlignment="1">
      <alignment horizontal="center" vertical="top" wrapText="1"/>
    </xf>
    <xf numFmtId="0" fontId="9" fillId="4" borderId="6" xfId="0" applyFont="1" applyFill="1" applyBorder="1"/>
    <xf numFmtId="0" fontId="9" fillId="4" borderId="7" xfId="0" applyFont="1" applyFill="1" applyBorder="1"/>
    <xf numFmtId="0" fontId="9" fillId="4" borderId="8" xfId="0" applyFont="1" applyFill="1" applyBorder="1"/>
    <xf numFmtId="0" fontId="9" fillId="4" borderId="9" xfId="0" applyFont="1" applyFill="1" applyBorder="1"/>
    <xf numFmtId="166" fontId="4" fillId="0" borderId="0" xfId="0" applyNumberFormat="1" applyFont="1"/>
    <xf numFmtId="0" fontId="2" fillId="44" borderId="29" xfId="0" applyFont="1" applyFill="1" applyBorder="1" applyAlignment="1">
      <alignment horizontal="left"/>
    </xf>
    <xf numFmtId="169" fontId="12" fillId="0" borderId="30" xfId="89" applyNumberFormat="1" applyFont="1" applyBorder="1"/>
    <xf numFmtId="169" fontId="43" fillId="0" borderId="30" xfId="89" applyNumberFormat="1" applyFont="1" applyBorder="1"/>
    <xf numFmtId="0" fontId="2" fillId="44" borderId="29" xfId="0" applyFont="1" applyFill="1" applyBorder="1" applyAlignment="1"/>
    <xf numFmtId="0" fontId="46" fillId="44" borderId="29" xfId="0" applyFont="1" applyFill="1" applyBorder="1" applyAlignment="1">
      <alignment horizontal="left"/>
    </xf>
    <xf numFmtId="0" fontId="45" fillId="44" borderId="29" xfId="0" quotePrefix="1" applyFont="1" applyFill="1" applyBorder="1" applyAlignment="1">
      <alignment horizontal="left"/>
    </xf>
    <xf numFmtId="0" fontId="46" fillId="44" borderId="8" xfId="0" quotePrefix="1" applyFont="1" applyFill="1" applyBorder="1" applyAlignment="1">
      <alignment horizontal="left"/>
    </xf>
    <xf numFmtId="0" fontId="45" fillId="44" borderId="8" xfId="0" quotePrefix="1" applyFont="1" applyFill="1" applyBorder="1" applyAlignment="1">
      <alignment horizontal="left"/>
    </xf>
    <xf numFmtId="0" fontId="3" fillId="0" borderId="35" xfId="0" applyFont="1" applyFill="1" applyBorder="1" applyAlignment="1"/>
    <xf numFmtId="0" fontId="3" fillId="44" borderId="8" xfId="0" quotePrefix="1" applyFont="1" applyFill="1" applyBorder="1" applyAlignment="1"/>
    <xf numFmtId="165" fontId="3" fillId="0" borderId="26" xfId="58" applyFont="1" applyFill="1" applyBorder="1" applyAlignment="1">
      <alignment horizontal="center"/>
    </xf>
    <xf numFmtId="165" fontId="3" fillId="0" borderId="27" xfId="58" applyFont="1" applyFill="1" applyBorder="1" applyAlignment="1">
      <alignment horizontal="center"/>
    </xf>
    <xf numFmtId="0" fontId="40" fillId="4" borderId="37" xfId="0" applyFont="1" applyFill="1" applyBorder="1"/>
    <xf numFmtId="0" fontId="47" fillId="4" borderId="38" xfId="141" applyFont="1" applyFill="1" applyBorder="1" applyAlignment="1">
      <alignment vertical="center"/>
    </xf>
    <xf numFmtId="0" fontId="47" fillId="4" borderId="38" xfId="141" applyFont="1" applyFill="1" applyBorder="1" applyAlignment="1">
      <alignment vertical="center" wrapText="1"/>
    </xf>
    <xf numFmtId="0" fontId="3" fillId="4" borderId="38" xfId="0" applyFont="1" applyFill="1" applyBorder="1" applyAlignment="1"/>
    <xf numFmtId="0" fontId="3" fillId="4" borderId="39" xfId="0" applyFont="1" applyFill="1" applyBorder="1" applyAlignment="1">
      <alignment horizontal="left"/>
    </xf>
    <xf numFmtId="0" fontId="42" fillId="45" borderId="10" xfId="0" applyFont="1" applyFill="1" applyBorder="1" applyAlignment="1"/>
    <xf numFmtId="169" fontId="44" fillId="45" borderId="3" xfId="89" applyNumberFormat="1" applyFont="1" applyFill="1" applyBorder="1"/>
    <xf numFmtId="0" fontId="42" fillId="45" borderId="1" xfId="0" applyFont="1" applyFill="1" applyBorder="1" applyAlignment="1">
      <alignment horizontal="left"/>
    </xf>
    <xf numFmtId="0" fontId="42" fillId="45" borderId="1" xfId="0" applyFont="1" applyFill="1" applyBorder="1" applyAlignment="1"/>
    <xf numFmtId="0" fontId="6" fillId="0" borderId="12" xfId="0" applyFont="1" applyFill="1" applyBorder="1"/>
    <xf numFmtId="0" fontId="8" fillId="0" borderId="8" xfId="0" applyFont="1" applyBorder="1"/>
    <xf numFmtId="0" fontId="49" fillId="0" borderId="8" xfId="0" applyFont="1" applyBorder="1"/>
    <xf numFmtId="0" fontId="48" fillId="0" borderId="1" xfId="0" applyFont="1" applyBorder="1"/>
    <xf numFmtId="0" fontId="8" fillId="0" borderId="41" xfId="0" applyFont="1" applyBorder="1" applyAlignment="1">
      <alignment horizontal="center"/>
    </xf>
    <xf numFmtId="43" fontId="8" fillId="0" borderId="9" xfId="1" applyFont="1" applyBorder="1" applyAlignment="1">
      <alignment horizontal="center"/>
    </xf>
    <xf numFmtId="43" fontId="8" fillId="0" borderId="9" xfId="1" applyFont="1" applyBorder="1"/>
    <xf numFmtId="0" fontId="48" fillId="4" borderId="37" xfId="0" applyFont="1" applyFill="1" applyBorder="1"/>
    <xf numFmtId="0" fontId="48" fillId="4" borderId="39" xfId="0" applyFont="1" applyFill="1" applyBorder="1"/>
    <xf numFmtId="9" fontId="3" fillId="2" borderId="4" xfId="2" applyFont="1" applyFill="1" applyBorder="1" applyAlignment="1">
      <alignment horizontal="center" vertical="top" wrapText="1"/>
    </xf>
    <xf numFmtId="43" fontId="8" fillId="0" borderId="0" xfId="1" applyFont="1"/>
    <xf numFmtId="0" fontId="48" fillId="0" borderId="37" xfId="0" applyFont="1" applyBorder="1"/>
    <xf numFmtId="0" fontId="8" fillId="0" borderId="38" xfId="0" applyFont="1" applyBorder="1"/>
    <xf numFmtId="0" fontId="8" fillId="0" borderId="39" xfId="0" applyFont="1" applyBorder="1"/>
    <xf numFmtId="0" fontId="8" fillId="0" borderId="5" xfId="0" applyFont="1" applyBorder="1" applyAlignment="1">
      <alignment horizontal="center"/>
    </xf>
    <xf numFmtId="166" fontId="8" fillId="0" borderId="38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66" fontId="8" fillId="0" borderId="9" xfId="1" applyNumberFormat="1" applyFont="1" applyBorder="1" applyAlignment="1">
      <alignment horizontal="center"/>
    </xf>
    <xf numFmtId="166" fontId="8" fillId="0" borderId="38" xfId="1" applyNumberFormat="1" applyFont="1" applyBorder="1" applyAlignment="1">
      <alignment horizontal="center"/>
    </xf>
    <xf numFmtId="166" fontId="8" fillId="0" borderId="39" xfId="0" applyNumberFormat="1" applyFont="1" applyBorder="1" applyAlignment="1">
      <alignment horizontal="center"/>
    </xf>
    <xf numFmtId="166" fontId="8" fillId="0" borderId="41" xfId="0" applyNumberFormat="1" applyFont="1" applyBorder="1" applyAlignment="1">
      <alignment horizontal="center"/>
    </xf>
    <xf numFmtId="0" fontId="48" fillId="4" borderId="1" xfId="0" applyFont="1" applyFill="1" applyBorder="1"/>
    <xf numFmtId="0" fontId="8" fillId="4" borderId="2" xfId="0" applyFont="1" applyFill="1" applyBorder="1"/>
    <xf numFmtId="0" fontId="8" fillId="4" borderId="3" xfId="0" applyFont="1" applyFill="1" applyBorder="1"/>
    <xf numFmtId="168" fontId="4" fillId="0" borderId="0" xfId="1" applyNumberFormat="1" applyFont="1"/>
    <xf numFmtId="168" fontId="4" fillId="0" borderId="0" xfId="1" applyNumberFormat="1" applyFont="1" applyAlignment="1">
      <alignment horizontal="center"/>
    </xf>
    <xf numFmtId="43" fontId="50" fillId="0" borderId="0" xfId="1" applyFont="1"/>
    <xf numFmtId="0" fontId="50" fillId="0" borderId="0" xfId="0" applyFont="1"/>
    <xf numFmtId="165" fontId="8" fillId="0" borderId="0" xfId="0" applyNumberFormat="1" applyFont="1"/>
    <xf numFmtId="166" fontId="8" fillId="0" borderId="0" xfId="0" applyNumberFormat="1" applyFont="1"/>
    <xf numFmtId="43" fontId="8" fillId="0" borderId="0" xfId="0" applyNumberFormat="1" applyFont="1"/>
    <xf numFmtId="43" fontId="0" fillId="0" borderId="0" xfId="1" applyFont="1"/>
    <xf numFmtId="0" fontId="3" fillId="4" borderId="37" xfId="0" applyFont="1" applyFill="1" applyBorder="1" applyAlignment="1"/>
    <xf numFmtId="168" fontId="0" fillId="0" borderId="0" xfId="1" applyNumberFormat="1" applyFont="1"/>
    <xf numFmtId="168" fontId="0" fillId="0" borderId="0" xfId="0" applyNumberFormat="1"/>
    <xf numFmtId="165" fontId="0" fillId="0" borderId="0" xfId="0" applyNumberFormat="1"/>
    <xf numFmtId="165" fontId="3" fillId="0" borderId="44" xfId="58" applyFont="1" applyFill="1" applyBorder="1" applyAlignment="1">
      <alignment horizontal="center"/>
    </xf>
    <xf numFmtId="0" fontId="0" fillId="0" borderId="6" xfId="0" applyBorder="1"/>
    <xf numFmtId="0" fontId="0" fillId="0" borderId="45" xfId="0" applyBorder="1"/>
    <xf numFmtId="0" fontId="0" fillId="0" borderId="7" xfId="0" applyBorder="1"/>
    <xf numFmtId="0" fontId="0" fillId="42" borderId="5" xfId="0" applyFill="1" applyBorder="1"/>
    <xf numFmtId="0" fontId="0" fillId="0" borderId="2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38" xfId="0" applyBorder="1"/>
    <xf numFmtId="0" fontId="0" fillId="0" borderId="0" xfId="0" applyBorder="1" applyAlignment="1">
      <alignment horizontal="center"/>
    </xf>
    <xf numFmtId="166" fontId="0" fillId="0" borderId="0" xfId="64" applyNumberFormat="1" applyFont="1" applyBorder="1" applyAlignment="1">
      <alignment horizontal="center"/>
    </xf>
    <xf numFmtId="166" fontId="0" fillId="0" borderId="9" xfId="64" applyNumberFormat="1" applyFont="1" applyBorder="1" applyAlignment="1">
      <alignment horizontal="center"/>
    </xf>
    <xf numFmtId="165" fontId="0" fillId="0" borderId="0" xfId="64" applyFont="1" applyBorder="1" applyAlignment="1">
      <alignment horizontal="center"/>
    </xf>
    <xf numFmtId="165" fontId="0" fillId="0" borderId="9" xfId="64" applyFont="1" applyBorder="1" applyAlignment="1">
      <alignment horizontal="center"/>
    </xf>
    <xf numFmtId="0" fontId="6" fillId="0" borderId="5" xfId="0" applyFont="1" applyBorder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7" xfId="0" applyFill="1" applyBorder="1"/>
    <xf numFmtId="0" fontId="0" fillId="0" borderId="0" xfId="0" applyFill="1"/>
    <xf numFmtId="0" fontId="0" fillId="0" borderId="38" xfId="0" applyFill="1" applyBorder="1"/>
    <xf numFmtId="169" fontId="0" fillId="0" borderId="8" xfId="2" applyNumberFormat="1" applyFont="1" applyFill="1" applyBorder="1"/>
    <xf numFmtId="169" fontId="0" fillId="0" borderId="0" xfId="2" applyNumberFormat="1" applyFont="1" applyFill="1" applyBorder="1"/>
    <xf numFmtId="169" fontId="0" fillId="0" borderId="9" xfId="2" applyNumberFormat="1" applyFont="1" applyFill="1" applyBorder="1" applyAlignment="1">
      <alignment horizontal="center"/>
    </xf>
    <xf numFmtId="169" fontId="0" fillId="0" borderId="0" xfId="2" applyNumberFormat="1" applyFont="1" applyFill="1"/>
    <xf numFmtId="169" fontId="6" fillId="0" borderId="8" xfId="2" applyNumberFormat="1" applyFont="1" applyFill="1" applyBorder="1"/>
    <xf numFmtId="169" fontId="6" fillId="0" borderId="0" xfId="2" applyNumberFormat="1" applyFont="1" applyFill="1" applyBorder="1"/>
    <xf numFmtId="169" fontId="6" fillId="0" borderId="9" xfId="2" applyNumberFormat="1" applyFon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169" fontId="6" fillId="0" borderId="10" xfId="2" applyNumberFormat="1" applyFont="1" applyFill="1" applyBorder="1"/>
    <xf numFmtId="169" fontId="6" fillId="0" borderId="42" xfId="2" applyNumberFormat="1" applyFont="1" applyFill="1" applyBorder="1"/>
    <xf numFmtId="169" fontId="6" fillId="0" borderId="41" xfId="2" applyNumberFormat="1" applyFont="1" applyFill="1" applyBorder="1" applyAlignment="1">
      <alignment horizontal="center"/>
    </xf>
    <xf numFmtId="0" fontId="6" fillId="0" borderId="38" xfId="0" applyFont="1" applyFill="1" applyBorder="1"/>
    <xf numFmtId="0" fontId="6" fillId="0" borderId="0" xfId="0" applyFont="1" applyFill="1"/>
    <xf numFmtId="0" fontId="6" fillId="42" borderId="5" xfId="0" applyFont="1" applyFill="1" applyBorder="1"/>
    <xf numFmtId="0" fontId="6" fillId="46" borderId="38" xfId="0" applyFont="1" applyFill="1" applyBorder="1"/>
    <xf numFmtId="0" fontId="53" fillId="46" borderId="38" xfId="0" applyFont="1" applyFill="1" applyBorder="1"/>
    <xf numFmtId="0" fontId="53" fillId="0" borderId="0" xfId="0" applyFont="1" applyFill="1"/>
    <xf numFmtId="168" fontId="53" fillId="46" borderId="8" xfId="1" applyNumberFormat="1" applyFont="1" applyFill="1" applyBorder="1"/>
    <xf numFmtId="168" fontId="53" fillId="46" borderId="0" xfId="1" applyNumberFormat="1" applyFont="1" applyFill="1" applyBorder="1"/>
    <xf numFmtId="168" fontId="53" fillId="46" borderId="9" xfId="1" applyNumberFormat="1" applyFont="1" applyFill="1" applyBorder="1"/>
    <xf numFmtId="0" fontId="53" fillId="0" borderId="38" xfId="0" applyFont="1" applyFill="1" applyBorder="1"/>
    <xf numFmtId="43" fontId="53" fillId="0" borderId="8" xfId="1" applyFont="1" applyFill="1" applyBorder="1"/>
    <xf numFmtId="43" fontId="53" fillId="0" borderId="0" xfId="1" applyFont="1" applyFill="1" applyBorder="1"/>
    <xf numFmtId="43" fontId="53" fillId="0" borderId="9" xfId="1" applyFont="1" applyFill="1" applyBorder="1"/>
    <xf numFmtId="0" fontId="54" fillId="42" borderId="38" xfId="0" applyFont="1" applyFill="1" applyBorder="1"/>
    <xf numFmtId="0" fontId="55" fillId="42" borderId="38" xfId="0" applyFont="1" applyFill="1" applyBorder="1"/>
    <xf numFmtId="167" fontId="2" fillId="0" borderId="4" xfId="1" applyNumberFormat="1" applyFont="1" applyFill="1" applyBorder="1" applyAlignment="1">
      <alignment horizontal="right"/>
    </xf>
    <xf numFmtId="167" fontId="2" fillId="0" borderId="4" xfId="1" applyNumberFormat="1" applyFont="1" applyBorder="1" applyAlignment="1">
      <alignment horizontal="center"/>
    </xf>
    <xf numFmtId="167" fontId="3" fillId="3" borderId="4" xfId="1" applyNumberFormat="1" applyFont="1" applyFill="1" applyBorder="1" applyAlignment="1">
      <alignment horizontal="right"/>
    </xf>
    <xf numFmtId="169" fontId="2" fillId="0" borderId="4" xfId="2" applyNumberFormat="1" applyFont="1" applyBorder="1" applyAlignment="1">
      <alignment horizontal="center"/>
    </xf>
    <xf numFmtId="169" fontId="3" fillId="3" borderId="4" xfId="2" applyNumberFormat="1" applyFont="1" applyFill="1" applyBorder="1" applyAlignment="1">
      <alignment horizontal="center"/>
    </xf>
    <xf numFmtId="174" fontId="2" fillId="0" borderId="4" xfId="5" applyNumberFormat="1" applyFont="1" applyFill="1" applyBorder="1" applyAlignment="1">
      <alignment horizontal="right"/>
    </xf>
    <xf numFmtId="174" fontId="2" fillId="0" borderId="24" xfId="1" applyNumberFormat="1" applyFont="1" applyBorder="1" applyAlignment="1">
      <alignment horizontal="right"/>
    </xf>
    <xf numFmtId="174" fontId="3" fillId="42" borderId="4" xfId="5" applyNumberFormat="1" applyFont="1" applyFill="1" applyBorder="1" applyAlignment="1">
      <alignment horizontal="right"/>
    </xf>
    <xf numFmtId="167" fontId="3" fillId="42" borderId="4" xfId="1" applyNumberFormat="1" applyFont="1" applyFill="1" applyBorder="1" applyAlignment="1">
      <alignment horizontal="center"/>
    </xf>
    <xf numFmtId="167" fontId="3" fillId="42" borderId="4" xfId="1" applyNumberFormat="1" applyFont="1" applyFill="1" applyBorder="1" applyAlignment="1">
      <alignment horizontal="right"/>
    </xf>
    <xf numFmtId="167" fontId="2" fillId="0" borderId="4" xfId="1" applyNumberFormat="1" applyFont="1" applyBorder="1" applyAlignment="1"/>
    <xf numFmtId="169" fontId="2" fillId="0" borderId="4" xfId="2" applyNumberFormat="1" applyFont="1" applyBorder="1" applyAlignment="1"/>
    <xf numFmtId="169" fontId="3" fillId="42" borderId="4" xfId="2" applyNumberFormat="1" applyFont="1" applyFill="1" applyBorder="1" applyAlignment="1"/>
    <xf numFmtId="169" fontId="4" fillId="0" borderId="0" xfId="0" applyNumberFormat="1" applyFont="1"/>
    <xf numFmtId="174" fontId="0" fillId="0" borderId="0" xfId="64" applyNumberFormat="1" applyFont="1" applyBorder="1" applyAlignment="1">
      <alignment horizontal="center"/>
    </xf>
    <xf numFmtId="174" fontId="0" fillId="0" borderId="9" xfId="64" applyNumberFormat="1" applyFont="1" applyBorder="1" applyAlignment="1">
      <alignment horizontal="center"/>
    </xf>
    <xf numFmtId="174" fontId="6" fillId="0" borderId="2" xfId="64" applyNumberFormat="1" applyFont="1" applyBorder="1" applyAlignment="1">
      <alignment horizontal="center"/>
    </xf>
    <xf numFmtId="174" fontId="6" fillId="0" borderId="3" xfId="64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169" fontId="0" fillId="0" borderId="0" xfId="64" applyNumberFormat="1" applyFont="1" applyBorder="1" applyAlignment="1">
      <alignment horizontal="center"/>
    </xf>
    <xf numFmtId="169" fontId="0" fillId="0" borderId="9" xfId="2" applyNumberFormat="1" applyFont="1" applyBorder="1" applyAlignment="1">
      <alignment horizontal="center"/>
    </xf>
    <xf numFmtId="169" fontId="0" fillId="0" borderId="9" xfId="64" applyNumberFormat="1" applyFont="1" applyBorder="1" applyAlignment="1">
      <alignment horizontal="center"/>
    </xf>
    <xf numFmtId="169" fontId="6" fillId="0" borderId="2" xfId="2" applyNumberFormat="1" applyFont="1" applyBorder="1" applyAlignment="1">
      <alignment horizontal="center"/>
    </xf>
    <xf numFmtId="169" fontId="6" fillId="0" borderId="2" xfId="64" applyNumberFormat="1" applyFont="1" applyBorder="1" applyAlignment="1">
      <alignment horizontal="center"/>
    </xf>
    <xf numFmtId="169" fontId="6" fillId="0" borderId="3" xfId="2" applyNumberFormat="1" applyFont="1" applyBorder="1" applyAlignment="1">
      <alignment horizontal="center"/>
    </xf>
    <xf numFmtId="174" fontId="0" fillId="0" borderId="0" xfId="64" applyNumberFormat="1" applyFont="1"/>
    <xf numFmtId="169" fontId="6" fillId="0" borderId="1" xfId="2" applyNumberFormat="1" applyFont="1" applyBorder="1" applyAlignment="1">
      <alignment horizontal="center"/>
    </xf>
    <xf numFmtId="167" fontId="0" fillId="0" borderId="6" xfId="1" applyNumberFormat="1" applyFont="1" applyFill="1" applyBorder="1" applyAlignment="1">
      <alignment horizontal="center"/>
    </xf>
    <xf numFmtId="167" fontId="0" fillId="0" borderId="45" xfId="1" applyNumberFormat="1" applyFont="1" applyFill="1" applyBorder="1" applyAlignment="1">
      <alignment horizontal="center"/>
    </xf>
    <xf numFmtId="167" fontId="0" fillId="0" borderId="8" xfId="1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167" fontId="53" fillId="46" borderId="8" xfId="1" applyNumberFormat="1" applyFont="1" applyFill="1" applyBorder="1"/>
    <xf numFmtId="167" fontId="53" fillId="46" borderId="0" xfId="1" applyNumberFormat="1" applyFont="1" applyFill="1" applyBorder="1"/>
    <xf numFmtId="167" fontId="53" fillId="46" borderId="9" xfId="1" applyNumberFormat="1" applyFont="1" applyFill="1" applyBorder="1"/>
    <xf numFmtId="167" fontId="6" fillId="0" borderId="8" xfId="1" applyNumberFormat="1" applyFont="1" applyFill="1" applyBorder="1"/>
    <xf numFmtId="167" fontId="6" fillId="0" borderId="0" xfId="1" applyNumberFormat="1" applyFont="1" applyFill="1" applyBorder="1"/>
    <xf numFmtId="167" fontId="6" fillId="0" borderId="9" xfId="1" applyNumberFormat="1" applyFont="1" applyFill="1" applyBorder="1" applyAlignment="1">
      <alignment horizontal="center"/>
    </xf>
    <xf numFmtId="167" fontId="54" fillId="42" borderId="8" xfId="1" applyNumberFormat="1" applyFont="1" applyFill="1" applyBorder="1" applyAlignment="1">
      <alignment horizontal="center"/>
    </xf>
    <xf numFmtId="167" fontId="54" fillId="42" borderId="0" xfId="1" applyNumberFormat="1" applyFont="1" applyFill="1" applyBorder="1"/>
    <xf numFmtId="167" fontId="54" fillId="42" borderId="0" xfId="1" applyNumberFormat="1" applyFont="1" applyFill="1" applyBorder="1" applyAlignment="1">
      <alignment horizontal="center"/>
    </xf>
    <xf numFmtId="167" fontId="54" fillId="42" borderId="9" xfId="1" applyNumberFormat="1" applyFont="1" applyFill="1" applyBorder="1" applyAlignment="1">
      <alignment horizontal="center"/>
    </xf>
    <xf numFmtId="167" fontId="0" fillId="46" borderId="8" xfId="1" applyNumberFormat="1" applyFont="1" applyFill="1" applyBorder="1" applyAlignment="1">
      <alignment horizontal="center"/>
    </xf>
    <xf numFmtId="167" fontId="0" fillId="46" borderId="0" xfId="1" applyNumberFormat="1" applyFont="1" applyFill="1" applyBorder="1"/>
    <xf numFmtId="167" fontId="0" fillId="46" borderId="0" xfId="1" applyNumberFormat="1" applyFont="1" applyFill="1" applyBorder="1" applyAlignment="1">
      <alignment horizontal="center"/>
    </xf>
    <xf numFmtId="167" fontId="0" fillId="46" borderId="9" xfId="1" applyNumberFormat="1" applyFont="1" applyFill="1" applyBorder="1" applyAlignment="1">
      <alignment horizontal="center"/>
    </xf>
    <xf numFmtId="167" fontId="53" fillId="0" borderId="8" xfId="1" applyNumberFormat="1" applyFont="1" applyFill="1" applyBorder="1"/>
    <xf numFmtId="167" fontId="53" fillId="0" borderId="0" xfId="1" applyNumberFormat="1" applyFont="1" applyFill="1" applyBorder="1"/>
    <xf numFmtId="167" fontId="53" fillId="0" borderId="9" xfId="1" applyNumberFormat="1" applyFont="1" applyFill="1" applyBorder="1"/>
    <xf numFmtId="167" fontId="55" fillId="42" borderId="8" xfId="1" applyNumberFormat="1" applyFont="1" applyFill="1" applyBorder="1"/>
    <xf numFmtId="167" fontId="55" fillId="42" borderId="0" xfId="1" applyNumberFormat="1" applyFont="1" applyFill="1" applyBorder="1"/>
    <xf numFmtId="167" fontId="55" fillId="42" borderId="9" xfId="1" applyNumberFormat="1" applyFont="1" applyFill="1" applyBorder="1"/>
    <xf numFmtId="167" fontId="6" fillId="46" borderId="8" xfId="1" applyNumberFormat="1" applyFont="1" applyFill="1" applyBorder="1" applyAlignment="1">
      <alignment horizontal="center"/>
    </xf>
    <xf numFmtId="167" fontId="6" fillId="46" borderId="0" xfId="1" applyNumberFormat="1" applyFont="1" applyFill="1" applyBorder="1"/>
    <xf numFmtId="167" fontId="6" fillId="46" borderId="0" xfId="1" applyNumberFormat="1" applyFont="1" applyFill="1" applyBorder="1" applyAlignment="1">
      <alignment horizontal="center"/>
    </xf>
    <xf numFmtId="167" fontId="6" fillId="46" borderId="9" xfId="1" applyNumberFormat="1" applyFont="1" applyFill="1" applyBorder="1" applyAlignment="1">
      <alignment horizontal="center"/>
    </xf>
    <xf numFmtId="174" fontId="43" fillId="0" borderId="40" xfId="58" applyNumberFormat="1" applyFont="1" applyBorder="1"/>
    <xf numFmtId="167" fontId="43" fillId="0" borderId="40" xfId="1" applyNumberFormat="1" applyFont="1" applyBorder="1"/>
    <xf numFmtId="167" fontId="44" fillId="45" borderId="31" xfId="1" applyNumberFormat="1" applyFont="1" applyFill="1" applyBorder="1"/>
    <xf numFmtId="167" fontId="12" fillId="0" borderId="28" xfId="1" applyNumberFormat="1" applyFont="1" applyBorder="1"/>
    <xf numFmtId="167" fontId="43" fillId="0" borderId="28" xfId="1" applyNumberFormat="1" applyFont="1" applyFill="1" applyBorder="1"/>
    <xf numFmtId="167" fontId="43" fillId="0" borderId="34" xfId="1" applyNumberFormat="1" applyFont="1" applyBorder="1"/>
    <xf numFmtId="167" fontId="12" fillId="0" borderId="34" xfId="1" applyNumberFormat="1" applyFont="1" applyBorder="1"/>
    <xf numFmtId="167" fontId="43" fillId="0" borderId="32" xfId="1" applyNumberFormat="1" applyFont="1" applyBorder="1"/>
    <xf numFmtId="167" fontId="44" fillId="45" borderId="31" xfId="1" applyNumberFormat="1" applyFont="1" applyFill="1" applyBorder="1" applyAlignment="1"/>
    <xf numFmtId="167" fontId="8" fillId="0" borderId="0" xfId="1" applyNumberFormat="1" applyFont="1"/>
    <xf numFmtId="167" fontId="44" fillId="45" borderId="31" xfId="58" applyNumberFormat="1" applyFont="1" applyFill="1" applyBorder="1"/>
    <xf numFmtId="167" fontId="12" fillId="0" borderId="28" xfId="58" applyNumberFormat="1" applyFont="1" applyBorder="1"/>
    <xf numFmtId="167" fontId="43" fillId="0" borderId="28" xfId="58" applyNumberFormat="1" applyFont="1" applyFill="1" applyBorder="1"/>
    <xf numFmtId="167" fontId="43" fillId="0" borderId="34" xfId="58" applyNumberFormat="1" applyFont="1" applyBorder="1"/>
    <xf numFmtId="169" fontId="43" fillId="0" borderId="30" xfId="2" applyNumberFormat="1" applyFont="1" applyBorder="1"/>
    <xf numFmtId="10" fontId="43" fillId="0" borderId="30" xfId="2" applyNumberFormat="1" applyFont="1" applyBorder="1"/>
    <xf numFmtId="174" fontId="3" fillId="0" borderId="25" xfId="58" applyNumberFormat="1" applyFont="1" applyBorder="1" applyAlignment="1"/>
    <xf numFmtId="167" fontId="6" fillId="0" borderId="13" xfId="1" applyNumberFormat="1" applyFont="1" applyBorder="1"/>
    <xf numFmtId="167" fontId="0" fillId="0" borderId="14" xfId="1" applyNumberFormat="1" applyFont="1" applyBorder="1"/>
    <xf numFmtId="167" fontId="6" fillId="43" borderId="14" xfId="1" applyNumberFormat="1" applyFont="1" applyFill="1" applyBorder="1"/>
    <xf numFmtId="167" fontId="6" fillId="0" borderId="14" xfId="1" applyNumberFormat="1" applyFont="1" applyBorder="1"/>
    <xf numFmtId="167" fontId="6" fillId="0" borderId="14" xfId="1" applyNumberFormat="1" applyFont="1" applyFill="1" applyBorder="1"/>
    <xf numFmtId="167" fontId="41" fillId="42" borderId="14" xfId="1" applyNumberFormat="1" applyFont="1" applyFill="1" applyBorder="1"/>
    <xf numFmtId="167" fontId="0" fillId="0" borderId="16" xfId="1" applyNumberFormat="1" applyFont="1" applyBorder="1"/>
    <xf numFmtId="167" fontId="3" fillId="0" borderId="25" xfId="1" applyNumberFormat="1" applyFont="1" applyBorder="1" applyAlignment="1"/>
    <xf numFmtId="167" fontId="0" fillId="0" borderId="0" xfId="1" applyNumberFormat="1" applyFont="1"/>
    <xf numFmtId="174" fontId="3" fillId="0" borderId="33" xfId="58" applyNumberFormat="1" applyFont="1" applyBorder="1" applyAlignment="1"/>
    <xf numFmtId="169" fontId="4" fillId="0" borderId="0" xfId="2" applyNumberFormat="1" applyFont="1" applyAlignment="1">
      <alignment horizontal="center"/>
    </xf>
    <xf numFmtId="169" fontId="4" fillId="0" borderId="0" xfId="2" applyNumberFormat="1" applyFont="1" applyAlignment="1"/>
    <xf numFmtId="169" fontId="2" fillId="0" borderId="4" xfId="2" applyNumberFormat="1" applyFont="1" applyFill="1" applyBorder="1" applyAlignment="1">
      <alignment horizontal="center"/>
    </xf>
    <xf numFmtId="169" fontId="4" fillId="0" borderId="0" xfId="2" applyNumberFormat="1" applyFont="1"/>
    <xf numFmtId="43" fontId="6" fillId="0" borderId="0" xfId="1" applyNumberFormat="1" applyFont="1" applyFill="1" applyBorder="1"/>
    <xf numFmtId="169" fontId="6" fillId="0" borderId="9" xfId="2" applyNumberFormat="1" applyFont="1" applyFill="1" applyBorder="1"/>
    <xf numFmtId="165" fontId="6" fillId="0" borderId="0" xfId="0" applyNumberFormat="1" applyFont="1" applyFill="1"/>
    <xf numFmtId="175" fontId="44" fillId="45" borderId="31" xfId="1" applyNumberFormat="1" applyFont="1" applyFill="1" applyBorder="1" applyAlignment="1"/>
    <xf numFmtId="43" fontId="44" fillId="45" borderId="31" xfId="1" applyNumberFormat="1" applyFont="1" applyFill="1" applyBorder="1" applyAlignment="1"/>
    <xf numFmtId="175" fontId="0" fillId="0" borderId="0" xfId="1" applyNumberFormat="1" applyFont="1"/>
    <xf numFmtId="167" fontId="0" fillId="0" borderId="0" xfId="0" applyNumberFormat="1"/>
    <xf numFmtId="168" fontId="0" fillId="0" borderId="0" xfId="1" applyNumberFormat="1" applyFont="1" applyFill="1"/>
    <xf numFmtId="0" fontId="6" fillId="0" borderId="0" xfId="0" applyFont="1" applyBorder="1"/>
    <xf numFmtId="174" fontId="6" fillId="0" borderId="0" xfId="64" applyNumberFormat="1" applyFont="1" applyBorder="1" applyAlignment="1">
      <alignment horizontal="center"/>
    </xf>
    <xf numFmtId="165" fontId="6" fillId="0" borderId="0" xfId="64" applyFont="1" applyBorder="1" applyAlignment="1">
      <alignment horizontal="center"/>
    </xf>
    <xf numFmtId="0" fontId="0" fillId="47" borderId="5" xfId="0" applyFill="1" applyBorder="1"/>
    <xf numFmtId="168" fontId="0" fillId="0" borderId="0" xfId="1" applyNumberFormat="1" applyFont="1" applyBorder="1" applyAlignment="1">
      <alignment horizontal="center"/>
    </xf>
    <xf numFmtId="168" fontId="6" fillId="0" borderId="2" xfId="1" applyNumberFormat="1" applyFont="1" applyBorder="1" applyAlignment="1">
      <alignment horizontal="center"/>
    </xf>
    <xf numFmtId="168" fontId="0" fillId="0" borderId="9" xfId="1" applyNumberFormat="1" applyFont="1" applyBorder="1" applyAlignment="1">
      <alignment horizontal="center"/>
    </xf>
    <xf numFmtId="168" fontId="6" fillId="0" borderId="3" xfId="1" applyNumberFormat="1" applyFont="1" applyBorder="1" applyAlignment="1">
      <alignment horizontal="center"/>
    </xf>
    <xf numFmtId="174" fontId="0" fillId="0" borderId="0" xfId="0" applyNumberFormat="1"/>
    <xf numFmtId="165" fontId="0" fillId="0" borderId="0" xfId="64" applyNumberFormat="1" applyFont="1" applyBorder="1" applyAlignment="1">
      <alignment horizontal="center"/>
    </xf>
    <xf numFmtId="168" fontId="6" fillId="0" borderId="0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0" borderId="8" xfId="0" applyNumberFormat="1" applyBorder="1"/>
    <xf numFmtId="10" fontId="0" fillId="0" borderId="0" xfId="0" applyNumberFormat="1" applyBorder="1"/>
    <xf numFmtId="168" fontId="0" fillId="0" borderId="9" xfId="0" applyNumberFormat="1" applyBorder="1"/>
    <xf numFmtId="0" fontId="6" fillId="43" borderId="5" xfId="0" applyFont="1" applyFill="1" applyBorder="1"/>
    <xf numFmtId="168" fontId="6" fillId="43" borderId="1" xfId="0" applyNumberFormat="1" applyFont="1" applyFill="1" applyBorder="1"/>
    <xf numFmtId="10" fontId="6" fillId="43" borderId="2" xfId="0" applyNumberFormat="1" applyFont="1" applyFill="1" applyBorder="1"/>
    <xf numFmtId="168" fontId="6" fillId="43" borderId="3" xfId="0" applyNumberFormat="1" applyFont="1" applyFill="1" applyBorder="1"/>
    <xf numFmtId="168" fontId="0" fillId="0" borderId="0" xfId="64" applyNumberFormat="1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1" fontId="0" fillId="0" borderId="0" xfId="0" applyNumberFormat="1"/>
    <xf numFmtId="168" fontId="0" fillId="0" borderId="0" xfId="0" applyNumberFormat="1" applyBorder="1"/>
    <xf numFmtId="168" fontId="0" fillId="0" borderId="10" xfId="0" applyNumberFormat="1" applyBorder="1"/>
    <xf numFmtId="10" fontId="0" fillId="0" borderId="42" xfId="0" applyNumberFormat="1" applyBorder="1"/>
    <xf numFmtId="168" fontId="0" fillId="0" borderId="42" xfId="0" applyNumberFormat="1" applyBorder="1"/>
    <xf numFmtId="168" fontId="0" fillId="0" borderId="41" xfId="0" applyNumberFormat="1" applyBorder="1"/>
    <xf numFmtId="168" fontId="6" fillId="43" borderId="10" xfId="0" applyNumberFormat="1" applyFont="1" applyFill="1" applyBorder="1"/>
    <xf numFmtId="10" fontId="6" fillId="43" borderId="42" xfId="0" applyNumberFormat="1" applyFont="1" applyFill="1" applyBorder="1"/>
    <xf numFmtId="168" fontId="6" fillId="43" borderId="41" xfId="0" applyNumberFormat="1" applyFont="1" applyFill="1" applyBorder="1"/>
    <xf numFmtId="0" fontId="48" fillId="0" borderId="3" xfId="0" applyFont="1" applyBorder="1" applyAlignment="1">
      <alignment horizontal="center"/>
    </xf>
    <xf numFmtId="43" fontId="8" fillId="0" borderId="7" xfId="1" applyFont="1" applyBorder="1" applyAlignment="1">
      <alignment horizontal="center"/>
    </xf>
    <xf numFmtId="17" fontId="48" fillId="0" borderId="5" xfId="0" applyNumberFormat="1" applyFont="1" applyBorder="1" applyAlignment="1">
      <alignment horizontal="center"/>
    </xf>
    <xf numFmtId="43" fontId="8" fillId="0" borderId="37" xfId="1" applyFont="1" applyBorder="1" applyAlignment="1">
      <alignment horizontal="center"/>
    </xf>
    <xf numFmtId="43" fontId="8" fillId="0" borderId="38" xfId="1" applyFont="1" applyBorder="1"/>
    <xf numFmtId="17" fontId="4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7" fontId="0" fillId="0" borderId="7" xfId="1" applyNumberFormat="1" applyFont="1" applyBorder="1"/>
    <xf numFmtId="167" fontId="6" fillId="0" borderId="3" xfId="1" applyNumberFormat="1" applyFont="1" applyBorder="1" applyAlignment="1">
      <alignment horizontal="center"/>
    </xf>
    <xf numFmtId="167" fontId="0" fillId="0" borderId="9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6" fillId="0" borderId="2" xfId="1" applyNumberFormat="1" applyFont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168" fontId="56" fillId="0" borderId="0" xfId="0" applyNumberFormat="1" applyFont="1" applyBorder="1"/>
    <xf numFmtId="168" fontId="56" fillId="0" borderId="9" xfId="0" applyNumberFormat="1" applyFont="1" applyBorder="1"/>
    <xf numFmtId="165" fontId="0" fillId="0" borderId="0" xfId="0" applyNumberFormat="1" applyFill="1"/>
    <xf numFmtId="168" fontId="6" fillId="43" borderId="2" xfId="0" applyNumberFormat="1" applyFont="1" applyFill="1" applyBorder="1"/>
    <xf numFmtId="169" fontId="6" fillId="0" borderId="0" xfId="2" applyNumberFormat="1" applyFont="1" applyBorder="1" applyAlignment="1">
      <alignment horizontal="center"/>
    </xf>
    <xf numFmtId="169" fontId="6" fillId="0" borderId="0" xfId="64" applyNumberFormat="1" applyFont="1" applyBorder="1" applyAlignment="1">
      <alignment horizontal="center"/>
    </xf>
    <xf numFmtId="9" fontId="57" fillId="0" borderId="0" xfId="2" applyFont="1"/>
    <xf numFmtId="174" fontId="0" fillId="0" borderId="42" xfId="64" applyNumberFormat="1" applyFont="1" applyBorder="1" applyAlignment="1">
      <alignment horizontal="center"/>
    </xf>
    <xf numFmtId="167" fontId="6" fillId="0" borderId="2" xfId="64" applyNumberFormat="1" applyFont="1" applyBorder="1" applyAlignment="1">
      <alignment horizontal="center"/>
    </xf>
    <xf numFmtId="168" fontId="58" fillId="0" borderId="8" xfId="0" applyNumberFormat="1" applyFont="1" applyFill="1" applyBorder="1"/>
    <xf numFmtId="168" fontId="6" fillId="43" borderId="5" xfId="0" applyNumberFormat="1" applyFont="1" applyFill="1" applyBorder="1"/>
    <xf numFmtId="167" fontId="8" fillId="0" borderId="0" xfId="0" applyNumberFormat="1" applyFont="1"/>
    <xf numFmtId="168" fontId="8" fillId="0" borderId="0" xfId="0" applyNumberFormat="1" applyFont="1"/>
    <xf numFmtId="168" fontId="58" fillId="0" borderId="8" xfId="0" applyNumberFormat="1" applyFont="1" applyBorder="1"/>
    <xf numFmtId="10" fontId="58" fillId="0" borderId="0" xfId="0" applyNumberFormat="1" applyFont="1" applyBorder="1"/>
    <xf numFmtId="168" fontId="58" fillId="0" borderId="0" xfId="0" applyNumberFormat="1" applyFont="1" applyBorder="1"/>
    <xf numFmtId="168" fontId="58" fillId="0" borderId="9" xfId="0" applyNumberFormat="1" applyFont="1" applyBorder="1"/>
    <xf numFmtId="0" fontId="58" fillId="0" borderId="0" xfId="0" applyFont="1"/>
    <xf numFmtId="167" fontId="0" fillId="0" borderId="0" xfId="1" quotePrefix="1" applyNumberFormat="1" applyFont="1"/>
    <xf numFmtId="166" fontId="0" fillId="0" borderId="0" xfId="64" applyNumberFormat="1" applyFont="1"/>
    <xf numFmtId="166" fontId="0" fillId="0" borderId="8" xfId="64" applyNumberFormat="1" applyFont="1" applyBorder="1"/>
    <xf numFmtId="166" fontId="0" fillId="0" borderId="8" xfId="64" applyNumberFormat="1" applyFont="1" applyBorder="1" applyAlignment="1">
      <alignment horizontal="center"/>
    </xf>
    <xf numFmtId="10" fontId="6" fillId="43" borderId="5" xfId="0" applyNumberFormat="1" applyFont="1" applyFill="1" applyBorder="1"/>
    <xf numFmtId="0" fontId="6" fillId="0" borderId="38" xfId="0" applyFont="1" applyBorder="1"/>
    <xf numFmtId="0" fontId="6" fillId="0" borderId="6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8" fontId="56" fillId="0" borderId="8" xfId="0" applyNumberFormat="1" applyFont="1" applyBorder="1"/>
    <xf numFmtId="10" fontId="56" fillId="0" borderId="0" xfId="0" applyNumberFormat="1" applyFont="1" applyBorder="1"/>
    <xf numFmtId="9" fontId="6" fillId="43" borderId="41" xfId="2" applyFont="1" applyFill="1" applyBorder="1"/>
    <xf numFmtId="0" fontId="53" fillId="0" borderId="38" xfId="0" applyFont="1" applyBorder="1"/>
    <xf numFmtId="0" fontId="53" fillId="0" borderId="45" xfId="0" applyFont="1" applyBorder="1" applyAlignment="1">
      <alignment horizontal="center"/>
    </xf>
    <xf numFmtId="0" fontId="53" fillId="0" borderId="7" xfId="0" applyFont="1" applyBorder="1" applyAlignment="1">
      <alignment horizontal="center"/>
    </xf>
    <xf numFmtId="0" fontId="53" fillId="0" borderId="6" xfId="0" applyFont="1" applyBorder="1" applyAlignment="1">
      <alignment horizontal="center"/>
    </xf>
    <xf numFmtId="0" fontId="53" fillId="0" borderId="0" xfId="0" applyFont="1"/>
    <xf numFmtId="0" fontId="58" fillId="0" borderId="38" xfId="0" applyFont="1" applyBorder="1"/>
    <xf numFmtId="166" fontId="58" fillId="0" borderId="0" xfId="64" applyNumberFormat="1" applyFont="1" applyBorder="1"/>
    <xf numFmtId="166" fontId="58" fillId="0" borderId="8" xfId="64" applyNumberFormat="1" applyFont="1" applyBorder="1"/>
    <xf numFmtId="168" fontId="58" fillId="0" borderId="0" xfId="0" applyNumberFormat="1" applyFont="1"/>
    <xf numFmtId="0" fontId="58" fillId="0" borderId="8" xfId="0" applyFont="1" applyBorder="1" applyAlignment="1">
      <alignment horizontal="center"/>
    </xf>
    <xf numFmtId="166" fontId="58" fillId="0" borderId="8" xfId="64" applyNumberFormat="1" applyFont="1" applyBorder="1" applyAlignment="1">
      <alignment horizontal="center"/>
    </xf>
    <xf numFmtId="168" fontId="58" fillId="0" borderId="41" xfId="0" applyNumberFormat="1" applyFont="1" applyBorder="1"/>
    <xf numFmtId="168" fontId="58" fillId="0" borderId="10" xfId="0" applyNumberFormat="1" applyFont="1" applyBorder="1"/>
    <xf numFmtId="168" fontId="58" fillId="0" borderId="42" xfId="0" applyNumberFormat="1" applyFont="1" applyBorder="1"/>
    <xf numFmtId="10" fontId="58" fillId="0" borderId="42" xfId="0" applyNumberFormat="1" applyFont="1" applyBorder="1"/>
    <xf numFmtId="0" fontId="58" fillId="0" borderId="9" xfId="0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174" fontId="0" fillId="0" borderId="0" xfId="64" applyNumberFormat="1" applyFont="1" applyFill="1" applyBorder="1" applyAlignment="1">
      <alignment horizontal="center"/>
    </xf>
    <xf numFmtId="167" fontId="12" fillId="0" borderId="32" xfId="1" applyNumberFormat="1" applyFont="1" applyBorder="1"/>
    <xf numFmtId="10" fontId="0" fillId="0" borderId="0" xfId="2" applyNumberFormat="1" applyFont="1"/>
    <xf numFmtId="169" fontId="0" fillId="0" borderId="0" xfId="2" applyNumberFormat="1" applyFont="1"/>
    <xf numFmtId="0" fontId="59" fillId="0" borderId="3" xfId="0" applyFont="1" applyBorder="1" applyAlignment="1">
      <alignment horizontal="center" vertical="center"/>
    </xf>
    <xf numFmtId="0" fontId="59" fillId="0" borderId="39" xfId="0" applyFont="1" applyBorder="1" applyAlignment="1">
      <alignment vertical="center"/>
    </xf>
    <xf numFmtId="0" fontId="59" fillId="0" borderId="3" xfId="0" applyFont="1" applyBorder="1" applyAlignment="1">
      <alignment vertical="center"/>
    </xf>
    <xf numFmtId="168" fontId="59" fillId="0" borderId="41" xfId="1" applyNumberFormat="1" applyFont="1" applyBorder="1" applyAlignment="1">
      <alignment horizontal="right" vertical="center"/>
    </xf>
    <xf numFmtId="0" fontId="59" fillId="42" borderId="5" xfId="0" applyFont="1" applyFill="1" applyBorder="1" applyAlignment="1">
      <alignment vertical="center"/>
    </xf>
    <xf numFmtId="0" fontId="6" fillId="42" borderId="0" xfId="0" applyFont="1" applyFill="1" applyAlignment="1">
      <alignment horizontal="center"/>
    </xf>
    <xf numFmtId="166" fontId="6" fillId="43" borderId="5" xfId="64" applyNumberFormat="1" applyFont="1" applyFill="1" applyBorder="1"/>
    <xf numFmtId="168" fontId="6" fillId="0" borderId="0" xfId="0" applyNumberFormat="1" applyFont="1"/>
    <xf numFmtId="0" fontId="6" fillId="42" borderId="0" xfId="0" applyFont="1" applyFill="1" applyAlignment="1"/>
    <xf numFmtId="9" fontId="6" fillId="43" borderId="1" xfId="2" applyFont="1" applyFill="1" applyBorder="1"/>
    <xf numFmtId="176" fontId="6" fillId="0" borderId="2" xfId="64" applyNumberFormat="1" applyFont="1" applyBorder="1" applyAlignment="1">
      <alignment horizontal="center"/>
    </xf>
    <xf numFmtId="43" fontId="2" fillId="0" borderId="4" xfId="1" applyFont="1" applyBorder="1" applyAlignment="1"/>
    <xf numFmtId="43" fontId="2" fillId="0" borderId="4" xfId="1" applyNumberFormat="1" applyFont="1" applyFill="1" applyBorder="1" applyAlignment="1">
      <alignment horizontal="right" vertical="center"/>
    </xf>
    <xf numFmtId="43" fontId="3" fillId="3" borderId="4" xfId="1" applyNumberFormat="1" applyFont="1" applyFill="1" applyBorder="1" applyAlignment="1">
      <alignment horizontal="right"/>
    </xf>
    <xf numFmtId="43" fontId="4" fillId="0" borderId="0" xfId="1" applyNumberFormat="1" applyFont="1"/>
    <xf numFmtId="43" fontId="4" fillId="0" borderId="0" xfId="1" applyNumberFormat="1" applyFont="1" applyAlignment="1">
      <alignment horizontal="center"/>
    </xf>
    <xf numFmtId="43" fontId="4" fillId="0" borderId="0" xfId="0" applyNumberFormat="1" applyFont="1"/>
    <xf numFmtId="43" fontId="2" fillId="0" borderId="4" xfId="1" applyFont="1" applyFill="1" applyBorder="1" applyAlignment="1">
      <alignment horizontal="right"/>
    </xf>
    <xf numFmtId="43" fontId="3" fillId="3" borderId="4" xfId="1" applyFont="1" applyFill="1" applyBorder="1" applyAlignment="1">
      <alignment horizontal="right"/>
    </xf>
    <xf numFmtId="43" fontId="3" fillId="42" borderId="4" xfId="1" applyFont="1" applyFill="1" applyBorder="1" applyAlignment="1">
      <alignment horizontal="right"/>
    </xf>
    <xf numFmtId="43" fontId="3" fillId="42" borderId="4" xfId="1" applyFont="1" applyFill="1" applyBorder="1" applyAlignment="1">
      <alignment horizontal="center"/>
    </xf>
    <xf numFmtId="43" fontId="4" fillId="0" borderId="0" xfId="1" applyFont="1"/>
    <xf numFmtId="0" fontId="6" fillId="42" borderId="0" xfId="0" applyFont="1" applyFill="1" applyAlignment="1">
      <alignment horizontal="center"/>
    </xf>
    <xf numFmtId="0" fontId="41" fillId="42" borderId="0" xfId="0" applyFont="1" applyFill="1" applyAlignment="1">
      <alignment horizontal="center"/>
    </xf>
    <xf numFmtId="166" fontId="43" fillId="0" borderId="40" xfId="58" applyNumberFormat="1" applyFont="1" applyBorder="1"/>
    <xf numFmtId="166" fontId="0" fillId="0" borderId="0" xfId="64" applyNumberFormat="1" applyFont="1" applyBorder="1"/>
    <xf numFmtId="9" fontId="6" fillId="43" borderId="3" xfId="2" applyFont="1" applyFill="1" applyBorder="1"/>
    <xf numFmtId="43" fontId="59" fillId="0" borderId="41" xfId="1" applyFont="1" applyBorder="1" applyAlignment="1">
      <alignment horizontal="right" vertical="center"/>
    </xf>
    <xf numFmtId="166" fontId="59" fillId="0" borderId="41" xfId="1" applyNumberFormat="1" applyFont="1" applyBorder="1" applyAlignment="1">
      <alignment horizontal="right" vertical="center"/>
    </xf>
    <xf numFmtId="175" fontId="53" fillId="0" borderId="8" xfId="1" applyNumberFormat="1" applyFont="1" applyFill="1" applyBorder="1"/>
    <xf numFmtId="43" fontId="55" fillId="42" borderId="0" xfId="1" applyFont="1" applyFill="1" applyBorder="1"/>
    <xf numFmtId="177" fontId="6" fillId="0" borderId="0" xfId="1" applyNumberFormat="1" applyFont="1" applyFill="1" applyBorder="1"/>
    <xf numFmtId="43" fontId="6" fillId="0" borderId="0" xfId="1" applyFont="1"/>
    <xf numFmtId="167" fontId="0" fillId="0" borderId="0" xfId="2" applyNumberFormat="1" applyFont="1"/>
    <xf numFmtId="0" fontId="0" fillId="0" borderId="1" xfId="0" applyBorder="1"/>
    <xf numFmtId="0" fontId="0" fillId="0" borderId="3" xfId="0" applyBorder="1"/>
    <xf numFmtId="43" fontId="0" fillId="0" borderId="3" xfId="1" applyFont="1" applyBorder="1"/>
    <xf numFmtId="43" fontId="0" fillId="0" borderId="8" xfId="1" applyFont="1" applyBorder="1"/>
    <xf numFmtId="168" fontId="0" fillId="0" borderId="8" xfId="1" applyNumberFormat="1" applyFont="1" applyBorder="1"/>
    <xf numFmtId="0" fontId="0" fillId="0" borderId="0" xfId="0" applyFill="1" applyBorder="1" applyAlignment="1">
      <alignment horizontal="center"/>
    </xf>
    <xf numFmtId="166" fontId="6" fillId="43" borderId="39" xfId="64" applyNumberFormat="1" applyFont="1" applyFill="1" applyBorder="1"/>
    <xf numFmtId="10" fontId="6" fillId="43" borderId="39" xfId="0" applyNumberFormat="1" applyFont="1" applyFill="1" applyBorder="1"/>
    <xf numFmtId="0" fontId="0" fillId="0" borderId="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/>
    </xf>
    <xf numFmtId="168" fontId="0" fillId="0" borderId="9" xfId="1" applyNumberFormat="1" applyFont="1" applyBorder="1"/>
    <xf numFmtId="166" fontId="0" fillId="0" borderId="0" xfId="0" applyNumberFormat="1" applyBorder="1"/>
    <xf numFmtId="43" fontId="8" fillId="0" borderId="38" xfId="1" applyNumberFormat="1" applyFont="1" applyBorder="1"/>
    <xf numFmtId="43" fontId="8" fillId="0" borderId="9" xfId="1" applyNumberFormat="1" applyFont="1" applyBorder="1"/>
    <xf numFmtId="43" fontId="8" fillId="0" borderId="39" xfId="1" applyNumberFormat="1" applyFont="1" applyBorder="1"/>
    <xf numFmtId="43" fontId="8" fillId="0" borderId="41" xfId="1" applyNumberFormat="1" applyFont="1" applyBorder="1"/>
    <xf numFmtId="43" fontId="48" fillId="0" borderId="5" xfId="1" applyNumberFormat="1" applyFont="1" applyBorder="1"/>
    <xf numFmtId="43" fontId="48" fillId="0" borderId="3" xfId="1" applyNumberFormat="1" applyFont="1" applyBorder="1"/>
    <xf numFmtId="168" fontId="0" fillId="0" borderId="41" xfId="1" applyNumberFormat="1" applyFont="1" applyBorder="1"/>
    <xf numFmtId="166" fontId="60" fillId="0" borderId="0" xfId="64" applyNumberFormat="1" applyFont="1" applyFill="1"/>
    <xf numFmtId="43" fontId="0" fillId="0" borderId="9" xfId="1" applyFont="1" applyBorder="1" applyAlignment="1">
      <alignment horizontal="center"/>
    </xf>
    <xf numFmtId="0" fontId="61" fillId="0" borderId="39" xfId="0" applyFont="1" applyBorder="1" applyAlignment="1">
      <alignment vertical="center"/>
    </xf>
    <xf numFmtId="0" fontId="62" fillId="0" borderId="39" xfId="0" applyFont="1" applyBorder="1" applyAlignment="1">
      <alignment vertical="center"/>
    </xf>
    <xf numFmtId="43" fontId="62" fillId="0" borderId="41" xfId="1" applyFont="1" applyBorder="1" applyAlignment="1">
      <alignment horizontal="right" vertical="center"/>
    </xf>
    <xf numFmtId="168" fontId="62" fillId="0" borderId="41" xfId="1" applyNumberFormat="1" applyFont="1" applyBorder="1" applyAlignment="1">
      <alignment horizontal="right" vertical="center"/>
    </xf>
    <xf numFmtId="168" fontId="61" fillId="0" borderId="41" xfId="1" applyNumberFormat="1" applyFont="1" applyBorder="1" applyAlignment="1">
      <alignment horizontal="right" vertical="center"/>
    </xf>
    <xf numFmtId="166" fontId="62" fillId="0" borderId="41" xfId="1" applyNumberFormat="1" applyFont="1" applyBorder="1" applyAlignment="1">
      <alignment horizontal="right" vertical="center"/>
    </xf>
    <xf numFmtId="0" fontId="0" fillId="0" borderId="9" xfId="0" applyBorder="1"/>
    <xf numFmtId="168" fontId="0" fillId="0" borderId="5" xfId="0" applyNumberFormat="1" applyBorder="1"/>
    <xf numFmtId="168" fontId="0" fillId="0" borderId="3" xfId="0" applyNumberFormat="1" applyBorder="1"/>
    <xf numFmtId="43" fontId="0" fillId="0" borderId="5" xfId="1" applyFont="1" applyBorder="1"/>
    <xf numFmtId="0" fontId="59" fillId="42" borderId="5" xfId="0" applyFont="1" applyFill="1" applyBorder="1" applyAlignment="1">
      <alignment horizontal="center" vertical="center"/>
    </xf>
    <xf numFmtId="0" fontId="59" fillId="42" borderId="3" xfId="0" applyFont="1" applyFill="1" applyBorder="1" applyAlignment="1">
      <alignment horizontal="center" vertical="center"/>
    </xf>
    <xf numFmtId="1" fontId="0" fillId="0" borderId="5" xfId="0" applyNumberFormat="1" applyBorder="1"/>
    <xf numFmtId="0" fontId="3" fillId="3" borderId="1" xfId="3" applyFont="1" applyFill="1" applyBorder="1" applyAlignment="1">
      <alignment horizontal="center" vertical="center"/>
    </xf>
    <xf numFmtId="0" fontId="3" fillId="3" borderId="2" xfId="3" applyFont="1" applyFill="1" applyBorder="1" applyAlignment="1">
      <alignment horizontal="center" vertical="center"/>
    </xf>
    <xf numFmtId="0" fontId="3" fillId="3" borderId="3" xfId="3" applyFont="1" applyFill="1" applyBorder="1" applyAlignment="1">
      <alignment horizontal="center" vertical="center"/>
    </xf>
    <xf numFmtId="0" fontId="3" fillId="42" borderId="1" xfId="3" applyFont="1" applyFill="1" applyBorder="1" applyAlignment="1">
      <alignment horizontal="center" vertical="center"/>
    </xf>
    <xf numFmtId="0" fontId="3" fillId="42" borderId="2" xfId="3" applyFont="1" applyFill="1" applyBorder="1" applyAlignment="1">
      <alignment horizontal="center" vertical="center"/>
    </xf>
    <xf numFmtId="0" fontId="3" fillId="42" borderId="3" xfId="3" applyFont="1" applyFill="1" applyBorder="1" applyAlignment="1">
      <alignment horizontal="center" vertical="center"/>
    </xf>
    <xf numFmtId="165" fontId="3" fillId="0" borderId="36" xfId="58" applyFont="1" applyFill="1" applyBorder="1" applyAlignment="1">
      <alignment horizontal="center"/>
    </xf>
    <xf numFmtId="165" fontId="3" fillId="0" borderId="25" xfId="58" applyFont="1" applyFill="1" applyBorder="1" applyAlignment="1">
      <alignment horizontal="center"/>
    </xf>
    <xf numFmtId="17" fontId="3" fillId="0" borderId="2" xfId="58" applyNumberFormat="1" applyFont="1" applyFill="1" applyBorder="1" applyAlignment="1">
      <alignment horizontal="center"/>
    </xf>
    <xf numFmtId="17" fontId="3" fillId="0" borderId="3" xfId="58" applyNumberFormat="1" applyFont="1" applyFill="1" applyBorder="1" applyAlignment="1">
      <alignment horizontal="center"/>
    </xf>
    <xf numFmtId="165" fontId="48" fillId="0" borderId="1" xfId="0" applyNumberFormat="1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48" fillId="0" borderId="3" xfId="0" applyFont="1" applyBorder="1" applyAlignment="1">
      <alignment horizontal="center"/>
    </xf>
    <xf numFmtId="165" fontId="48" fillId="0" borderId="2" xfId="0" applyNumberFormat="1" applyFont="1" applyBorder="1" applyAlignment="1">
      <alignment horizontal="center"/>
    </xf>
    <xf numFmtId="165" fontId="3" fillId="0" borderId="43" xfId="58" applyFont="1" applyFill="1" applyBorder="1" applyAlignment="1">
      <alignment horizontal="center"/>
    </xf>
    <xf numFmtId="0" fontId="6" fillId="42" borderId="1" xfId="0" quotePrefix="1" applyFont="1" applyFill="1" applyBorder="1" applyAlignment="1">
      <alignment horizontal="center"/>
    </xf>
    <xf numFmtId="0" fontId="6" fillId="42" borderId="2" xfId="0" applyFont="1" applyFill="1" applyBorder="1" applyAlignment="1">
      <alignment horizontal="center"/>
    </xf>
    <xf numFmtId="0" fontId="6" fillId="42" borderId="3" xfId="0" applyFont="1" applyFill="1" applyBorder="1" applyAlignment="1">
      <alignment horizontal="center"/>
    </xf>
    <xf numFmtId="0" fontId="6" fillId="42" borderId="6" xfId="0" applyFont="1" applyFill="1" applyBorder="1" applyAlignment="1">
      <alignment horizontal="center"/>
    </xf>
    <xf numFmtId="0" fontId="6" fillId="42" borderId="45" xfId="0" applyFont="1" applyFill="1" applyBorder="1" applyAlignment="1">
      <alignment horizontal="center"/>
    </xf>
    <xf numFmtId="0" fontId="6" fillId="42" borderId="7" xfId="0" applyFont="1" applyFill="1" applyBorder="1" applyAlignment="1">
      <alignment horizontal="center"/>
    </xf>
    <xf numFmtId="0" fontId="6" fillId="42" borderId="1" xfId="0" applyFont="1" applyFill="1" applyBorder="1" applyAlignment="1">
      <alignment horizontal="center"/>
    </xf>
    <xf numFmtId="0" fontId="6" fillId="42" borderId="0" xfId="0" applyFont="1" applyFill="1" applyAlignment="1">
      <alignment horizontal="center"/>
    </xf>
    <xf numFmtId="0" fontId="6" fillId="42" borderId="6" xfId="0" quotePrefix="1" applyFont="1" applyFill="1" applyBorder="1" applyAlignment="1">
      <alignment horizontal="center"/>
    </xf>
    <xf numFmtId="0" fontId="41" fillId="42" borderId="0" xfId="0" applyFont="1" applyFill="1" applyAlignment="1">
      <alignment horizontal="center"/>
    </xf>
    <xf numFmtId="0" fontId="59" fillId="0" borderId="1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166" fontId="0" fillId="0" borderId="0" xfId="0" applyNumberFormat="1"/>
  </cellXfs>
  <cellStyles count="142">
    <cellStyle name="_CMB Sales ABP 2009-10(30.4.09)" xfId="11"/>
    <cellStyle name="_COB_revised" xfId="12"/>
    <cellStyle name="_Oct plan" xfId="13"/>
    <cellStyle name="_Oct plan_Oleo cost sheet for ABP 2010-11_Revised" xfId="14"/>
    <cellStyle name="_Oleo Cost Sheets MAy 14 updated with year costs" xfId="15"/>
    <cellStyle name="_Oleo Cost Sheets MAy 14 updated with year costs_Oleo cost sheet for ABP 2010-11_Revised" xfId="16"/>
    <cellStyle name="_Oleo Cost Sheets MAy 14 updated with year costs_VVF May 10" xfId="17"/>
    <cellStyle name="_PCP cost sheets ABP costs May 25thv2" xfId="18"/>
    <cellStyle name="_Profit_and_Loss_Statement_VVF_Consolidated_Final_with_New_Price_Realizationv 8" xfId="19"/>
    <cellStyle name="_RCCP_Oleo_ABP_v3" xfId="20"/>
    <cellStyle name="_RCCP_Oleo_ABP_v3_Oleo cost sheet for ABP 2010-11_Revised" xfId="21"/>
    <cellStyle name="_Supply comm_final" xfId="22"/>
    <cellStyle name="_Volume_realization_forecast" xfId="23"/>
    <cellStyle name="_VVF ABP 09-10 Vs. Actual 08-09 at 75%" xfId="24"/>
    <cellStyle name="_VVF March 09 .xls" xfId="25"/>
    <cellStyle name="Accent1 - 20%" xfId="26"/>
    <cellStyle name="Accent1 - 40%" xfId="27"/>
    <cellStyle name="Accent1 - 60%" xfId="28"/>
    <cellStyle name="Accent2 - 20%" xfId="29"/>
    <cellStyle name="Accent2 - 40%" xfId="30"/>
    <cellStyle name="Accent2 - 60%" xfId="31"/>
    <cellStyle name="Accent3 - 20%" xfId="32"/>
    <cellStyle name="Accent3 - 40%" xfId="33"/>
    <cellStyle name="Accent3 - 60%" xfId="34"/>
    <cellStyle name="Accent4 - 20%" xfId="35"/>
    <cellStyle name="Accent4 - 40%" xfId="36"/>
    <cellStyle name="Accent4 - 60%" xfId="37"/>
    <cellStyle name="Accent5 - 20%" xfId="38"/>
    <cellStyle name="Accent5 - 40%" xfId="39"/>
    <cellStyle name="Accent5 - 60%" xfId="40"/>
    <cellStyle name="Accent6 - 20%" xfId="41"/>
    <cellStyle name="Accent6 - 40%" xfId="42"/>
    <cellStyle name="Accent6 - 60%" xfId="43"/>
    <cellStyle name="ar" xfId="44"/>
    <cellStyle name="Body" xfId="45"/>
    <cellStyle name="Brand Align Left Text" xfId="46"/>
    <cellStyle name="Brand Default" xfId="47"/>
    <cellStyle name="Brand Default 2" xfId="48"/>
    <cellStyle name="Brand Default 3" xfId="49"/>
    <cellStyle name="Brand Default 4" xfId="50"/>
    <cellStyle name="Brand Default 5" xfId="51"/>
    <cellStyle name="Brand Percent" xfId="52"/>
    <cellStyle name="Brand Source" xfId="53"/>
    <cellStyle name="Brand Subtitle with Underline" xfId="54"/>
    <cellStyle name="Brand Subtitle without Underline" xfId="55"/>
    <cellStyle name="Brand Title" xfId="56"/>
    <cellStyle name="cashflow" xfId="57"/>
    <cellStyle name="Comma" xfId="1" builtinId="3"/>
    <cellStyle name="Comma 2" xfId="58"/>
    <cellStyle name="Comma 2 2" xfId="5"/>
    <cellStyle name="Comma 3" xfId="59"/>
    <cellStyle name="Comma 3 2" xfId="60"/>
    <cellStyle name="Comma 4" xfId="61"/>
    <cellStyle name="Comma 5" xfId="62"/>
    <cellStyle name="Comma 6" xfId="63"/>
    <cellStyle name="Comma 7" xfId="64"/>
    <cellStyle name="Comma 8" xfId="65"/>
    <cellStyle name="Currency 2" xfId="66"/>
    <cellStyle name="Custom - Style8" xfId="67"/>
    <cellStyle name="Data   - Style2" xfId="68"/>
    <cellStyle name="Define your own named style" xfId="69"/>
    <cellStyle name="Draw lines around data in range" xfId="70"/>
    <cellStyle name="Draw shadow and lines within range" xfId="71"/>
    <cellStyle name="Emphasis 1" xfId="72"/>
    <cellStyle name="Emphasis 2" xfId="73"/>
    <cellStyle name="Emphasis 3" xfId="74"/>
    <cellStyle name="Enlarge title text, yellow on blue" xfId="75"/>
    <cellStyle name="Format a column of totals" xfId="76"/>
    <cellStyle name="Format a row of totals" xfId="77"/>
    <cellStyle name="Format text as bold, black on yellow" xfId="78"/>
    <cellStyle name="Header1" xfId="79"/>
    <cellStyle name="Header2" xfId="80"/>
    <cellStyle name="Labels - Style3" xfId="81"/>
    <cellStyle name="no dec" xfId="82"/>
    <cellStyle name="Normal" xfId="0" builtinId="0"/>
    <cellStyle name="Normal - Style1" xfId="83"/>
    <cellStyle name="Normal 10" xfId="7"/>
    <cellStyle name="Normal 2" xfId="4"/>
    <cellStyle name="Normal 2 2" xfId="10"/>
    <cellStyle name="Normal 3" xfId="8"/>
    <cellStyle name="Normal 3 2" xfId="9"/>
    <cellStyle name="Normal 4" xfId="3"/>
    <cellStyle name="Normal 5" xfId="84"/>
    <cellStyle name="Normal 6" xfId="85"/>
    <cellStyle name="Normal 7" xfId="86"/>
    <cellStyle name="Normal 8" xfId="87"/>
    <cellStyle name="Normal 9" xfId="88"/>
    <cellStyle name="Normal_VVF Sept '08 new template v7 2" xfId="141"/>
    <cellStyle name="Percent" xfId="2" builtinId="5"/>
    <cellStyle name="Percent 2" xfId="89"/>
    <cellStyle name="Percent 2 2" xfId="6"/>
    <cellStyle name="Percent 3" xfId="90"/>
    <cellStyle name="Percent 4" xfId="91"/>
    <cellStyle name="Percent 5" xfId="92"/>
    <cellStyle name="Reset  - Style7" xfId="93"/>
    <cellStyle name="Reset range style to defaults" xfId="94"/>
    <cellStyle name="SAPBEXaggData" xfId="95"/>
    <cellStyle name="SAPBEXaggDataEmph" xfId="96"/>
    <cellStyle name="SAPBEXaggItem" xfId="97"/>
    <cellStyle name="SAPBEXaggItemX" xfId="98"/>
    <cellStyle name="SAPBEXchaText" xfId="99"/>
    <cellStyle name="SAPBEXexcBad7" xfId="100"/>
    <cellStyle name="SAPBEXexcBad8" xfId="101"/>
    <cellStyle name="SAPBEXexcBad9" xfId="102"/>
    <cellStyle name="SAPBEXexcCritical4" xfId="103"/>
    <cellStyle name="SAPBEXexcCritical5" xfId="104"/>
    <cellStyle name="SAPBEXexcCritical6" xfId="105"/>
    <cellStyle name="SAPBEXexcGood1" xfId="106"/>
    <cellStyle name="SAPBEXexcGood2" xfId="107"/>
    <cellStyle name="SAPBEXexcGood3" xfId="108"/>
    <cellStyle name="SAPBEXfilterDrill" xfId="109"/>
    <cellStyle name="SAPBEXfilterItem" xfId="110"/>
    <cellStyle name="SAPBEXfilterText" xfId="111"/>
    <cellStyle name="SAPBEXformats" xfId="112"/>
    <cellStyle name="SAPBEXheaderItem" xfId="113"/>
    <cellStyle name="SAPBEXheaderText" xfId="114"/>
    <cellStyle name="SAPBEXHLevel0" xfId="115"/>
    <cellStyle name="SAPBEXHLevel0X" xfId="116"/>
    <cellStyle name="SAPBEXHLevel1" xfId="117"/>
    <cellStyle name="SAPBEXHLevel1X" xfId="118"/>
    <cellStyle name="SAPBEXHLevel2" xfId="119"/>
    <cellStyle name="SAPBEXHLevel2X" xfId="120"/>
    <cellStyle name="SAPBEXHLevel3" xfId="121"/>
    <cellStyle name="SAPBEXHLevel3X" xfId="122"/>
    <cellStyle name="SAPBEXinputData" xfId="123"/>
    <cellStyle name="SAPBEXresData" xfId="124"/>
    <cellStyle name="SAPBEXresDataEmph" xfId="125"/>
    <cellStyle name="SAPBEXresItem" xfId="126"/>
    <cellStyle name="SAPBEXresItemX" xfId="127"/>
    <cellStyle name="SAPBEXstdData" xfId="128"/>
    <cellStyle name="SAPBEXstdDataEmph" xfId="129"/>
    <cellStyle name="SAPBEXstdItem" xfId="130"/>
    <cellStyle name="SAPBEXstdItemX" xfId="131"/>
    <cellStyle name="SAPBEXtitle" xfId="132"/>
    <cellStyle name="SAPBEXundefined" xfId="133"/>
    <cellStyle name="Sheet Title" xfId="134"/>
    <cellStyle name="Style 1" xfId="135"/>
    <cellStyle name="Subsidy" xfId="136"/>
    <cellStyle name="Table  - Style6" xfId="137"/>
    <cellStyle name="Title  - Style1" xfId="138"/>
    <cellStyle name="TotCol - Style5" xfId="139"/>
    <cellStyle name="TotRow - Style4" xfId="14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Trends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Month</c:v>
          </c:tx>
          <c:invertIfNegative val="0"/>
          <c:cat>
            <c:strRef>
              <c:f>'NR CoST Trends '!$C$2:$N$2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'NR CoST Trends '!$C$3:$O$3</c:f>
              <c:numCache>
                <c:formatCode>General</c:formatCode>
                <c:ptCount val="13"/>
              </c:numCache>
            </c:numRef>
          </c:val>
        </c:ser>
        <c:ser>
          <c:idx val="1"/>
          <c:order val="1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'NR CoST Trends '!$C$2:$N$2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'NR CoST Trends '!$C$4:$N$4</c:f>
              <c:numCache>
                <c:formatCode>_ * #,##0_ ;_ * \-#,##0_ ;_ * "-"??_ ;_ @_ </c:formatCode>
                <c:ptCount val="12"/>
                <c:pt idx="0">
                  <c:v>1490.6099498999993</c:v>
                </c:pt>
                <c:pt idx="1">
                  <c:v>1538.4068430000009</c:v>
                </c:pt>
                <c:pt idx="2">
                  <c:v>1685.2729776300901</c:v>
                </c:pt>
                <c:pt idx="3">
                  <c:v>1629.1348363000798</c:v>
                </c:pt>
                <c:pt idx="4">
                  <c:v>1643.5195188000803</c:v>
                </c:pt>
                <c:pt idx="5">
                  <c:v>1634.17028300009</c:v>
                </c:pt>
                <c:pt idx="6">
                  <c:v>1729.5467528631023</c:v>
                </c:pt>
                <c:pt idx="7">
                  <c:v>1610.9551312000381</c:v>
                </c:pt>
                <c:pt idx="8">
                  <c:v>1463.682381600049</c:v>
                </c:pt>
                <c:pt idx="9">
                  <c:v>1652.6503841700708</c:v>
                </c:pt>
                <c:pt idx="10">
                  <c:v>1579.1302829000899</c:v>
                </c:pt>
                <c:pt idx="11">
                  <c:v>1745.4893178344696</c:v>
                </c:pt>
              </c:numCache>
            </c:numRef>
          </c:val>
        </c:ser>
        <c:ser>
          <c:idx val="2"/>
          <c:order val="2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'NR CoST Trends '!$C$2:$N$2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'NR CoST Trends '!$C$6:$N$6</c:f>
              <c:numCache>
                <c:formatCode>_ * #,##0_ ;_ * \-#,##0_ ;_ * "-"??_ ;_ @_ </c:formatCode>
                <c:ptCount val="12"/>
                <c:pt idx="0">
                  <c:v>2175.2056633029993</c:v>
                </c:pt>
                <c:pt idx="1">
                  <c:v>2219.2162818000429</c:v>
                </c:pt>
                <c:pt idx="2">
                  <c:v>2364.9322429000581</c:v>
                </c:pt>
                <c:pt idx="3">
                  <c:v>1741.928564846</c:v>
                </c:pt>
                <c:pt idx="4">
                  <c:v>1897.6217682000413</c:v>
                </c:pt>
                <c:pt idx="5">
                  <c:v>1758.0234341400119</c:v>
                </c:pt>
                <c:pt idx="6">
                  <c:v>1248.5786361200371</c:v>
                </c:pt>
                <c:pt idx="7">
                  <c:v>1371.6259161200339</c:v>
                </c:pt>
                <c:pt idx="8">
                  <c:v>1685.7938133652683</c:v>
                </c:pt>
                <c:pt idx="9">
                  <c:v>1534.3266117040391</c:v>
                </c:pt>
                <c:pt idx="10">
                  <c:v>1568.2802946048494</c:v>
                </c:pt>
                <c:pt idx="11">
                  <c:v>1628.0141576000558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50060416"/>
        <c:axId val="150070400"/>
      </c:barChart>
      <c:catAx>
        <c:axId val="150060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0070400"/>
        <c:crosses val="autoZero"/>
        <c:auto val="1"/>
        <c:lblAlgn val="ctr"/>
        <c:lblOffset val="100"/>
        <c:noMultiLvlLbl val="0"/>
      </c:catAx>
      <c:valAx>
        <c:axId val="150070400"/>
        <c:scaling>
          <c:orientation val="minMax"/>
          <c:max val="2500"/>
          <c:min val="8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0060416"/>
        <c:crosses val="autoZero"/>
        <c:crossBetween val="between"/>
        <c:minorUnit val="10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514348</xdr:colOff>
      <xdr:row>33</xdr:row>
      <xdr:rowOff>152400</xdr:rowOff>
    </xdr:from>
    <xdr:to>
      <xdr:col>13</xdr:col>
      <xdr:colOff>609599</xdr:colOff>
      <xdr:row>54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STING\lanbak\SB~SC~BR\2000-01\04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INPUT bill"/>
      <sheetName val="RP"/>
      <sheetName val="bill p2"/>
      <sheetName val="Ann II A bill"/>
      <sheetName val="Ann - II bill"/>
      <sheetName val="CERT"/>
      <sheetName val="DESPATCH &amp; SALE"/>
      <sheetName val="inc det"/>
      <sheetName val="SALES &amp; SUB"/>
      <sheetName val="MSOD"/>
      <sheetName val="PURCH"/>
      <sheetName val="STOCK"/>
      <sheetName val="DEB_CLS"/>
      <sheetName val="msod-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78"/>
  <sheetViews>
    <sheetView workbookViewId="0">
      <selection activeCell="E6" sqref="E6"/>
    </sheetView>
  </sheetViews>
  <sheetFormatPr defaultRowHeight="14.25"/>
  <cols>
    <col min="1" max="1" width="4.7109375" style="2" customWidth="1"/>
    <col min="2" max="2" width="26.85546875" style="2" customWidth="1"/>
    <col min="3" max="3" width="10" style="2" customWidth="1"/>
    <col min="4" max="4" width="9.5703125" style="2" customWidth="1"/>
    <col min="5" max="5" width="10.5703125" style="2" customWidth="1"/>
    <col min="6" max="6" width="9.28515625" style="2" customWidth="1"/>
    <col min="7" max="7" width="11" style="2" customWidth="1"/>
    <col min="8" max="8" width="3.5703125" style="19" customWidth="1"/>
    <col min="9" max="9" width="11.140625" style="2" customWidth="1"/>
    <col min="10" max="10" width="10.7109375" style="2" customWidth="1"/>
    <col min="11" max="11" width="9.28515625" style="31" customWidth="1"/>
    <col min="12" max="12" width="10.28515625" style="24" customWidth="1"/>
    <col min="13" max="13" width="12.140625" style="24" customWidth="1"/>
    <col min="14" max="14" width="9.140625" style="2"/>
    <col min="15" max="15" width="26.42578125" style="2" customWidth="1"/>
    <col min="16" max="19" width="9.5703125" style="2" bestFit="1" customWidth="1"/>
    <col min="20" max="20" width="11" style="2" customWidth="1"/>
    <col min="21" max="21" width="9.28515625" style="2" bestFit="1" customWidth="1"/>
    <col min="22" max="22" width="9.5703125" style="2" bestFit="1" customWidth="1"/>
    <col min="23" max="23" width="9.28515625" style="2" bestFit="1" customWidth="1"/>
    <col min="24" max="24" width="11.5703125" style="2" customWidth="1"/>
    <col min="25" max="25" width="9.140625" style="2"/>
    <col min="26" max="26" width="28.28515625" style="2" customWidth="1"/>
    <col min="27" max="27" width="11.5703125" style="2" customWidth="1"/>
    <col min="28" max="28" width="11.7109375" style="2" customWidth="1"/>
    <col min="29" max="29" width="11.5703125" style="2" customWidth="1"/>
    <col min="30" max="30" width="10.7109375" style="2" bestFit="1" customWidth="1"/>
    <col min="31" max="31" width="9.42578125" style="2" customWidth="1"/>
    <col min="32" max="32" width="9.28515625" style="2" bestFit="1" customWidth="1"/>
    <col min="33" max="16384" width="9.140625" style="2"/>
  </cols>
  <sheetData>
    <row r="2" spans="2:32">
      <c r="B2" s="1" t="s">
        <v>0</v>
      </c>
    </row>
    <row r="3" spans="2:32">
      <c r="B3" s="1" t="s">
        <v>22</v>
      </c>
    </row>
    <row r="5" spans="2:32" ht="15.75">
      <c r="B5" s="9" t="s">
        <v>1</v>
      </c>
      <c r="E5" s="38"/>
      <c r="F5" s="38"/>
      <c r="G5" s="38"/>
    </row>
    <row r="7" spans="2:32" ht="15" thickBot="1"/>
    <row r="8" spans="2:32" ht="15.75" customHeight="1" thickBot="1">
      <c r="B8" s="404" t="s">
        <v>268</v>
      </c>
      <c r="C8" s="405"/>
      <c r="D8" s="405"/>
      <c r="E8" s="405"/>
      <c r="F8" s="405"/>
      <c r="G8" s="406"/>
      <c r="I8" s="407" t="s">
        <v>269</v>
      </c>
      <c r="J8" s="408"/>
      <c r="K8" s="408"/>
      <c r="L8" s="408"/>
      <c r="M8" s="409"/>
      <c r="O8" s="404" t="s">
        <v>270</v>
      </c>
      <c r="P8" s="405"/>
      <c r="Q8" s="405"/>
      <c r="R8" s="405"/>
      <c r="S8" s="405"/>
      <c r="T8" s="405"/>
      <c r="U8" s="405"/>
      <c r="V8" s="405"/>
      <c r="W8" s="405"/>
      <c r="X8" s="406"/>
      <c r="Z8" s="404" t="s">
        <v>273</v>
      </c>
      <c r="AA8" s="405"/>
      <c r="AB8" s="405"/>
      <c r="AC8" s="405"/>
      <c r="AD8" s="405"/>
      <c r="AE8" s="405"/>
      <c r="AF8" s="406"/>
    </row>
    <row r="9" spans="2:32">
      <c r="B9" s="17"/>
      <c r="C9" s="17"/>
      <c r="D9" s="17"/>
      <c r="E9" s="17"/>
      <c r="F9" s="17"/>
      <c r="G9" s="17"/>
      <c r="H9" s="20"/>
      <c r="I9" s="17"/>
      <c r="J9" s="17"/>
      <c r="K9" s="32"/>
      <c r="L9" s="25"/>
      <c r="M9" s="25"/>
      <c r="O9" s="17"/>
      <c r="P9" s="17"/>
      <c r="Q9" s="17"/>
      <c r="R9" s="17"/>
      <c r="S9" s="17"/>
      <c r="T9" s="17"/>
      <c r="U9" s="17"/>
      <c r="V9" s="20"/>
      <c r="W9" s="17"/>
      <c r="X9" s="20"/>
      <c r="Z9" s="17"/>
      <c r="AA9" s="17"/>
      <c r="AB9" s="17"/>
      <c r="AC9" s="17"/>
      <c r="AD9" s="20"/>
      <c r="AE9" s="17"/>
      <c r="AF9" s="20"/>
    </row>
    <row r="10" spans="2:32" ht="15">
      <c r="B10" s="18" t="s">
        <v>24</v>
      </c>
      <c r="C10" s="17"/>
      <c r="D10" s="17"/>
      <c r="E10" s="17"/>
      <c r="F10" s="17"/>
      <c r="G10" s="17"/>
      <c r="H10" s="20"/>
      <c r="I10" s="18" t="s">
        <v>6</v>
      </c>
      <c r="J10" s="17"/>
      <c r="K10" s="32"/>
      <c r="L10" s="26"/>
      <c r="M10" s="25"/>
      <c r="O10" s="18" t="s">
        <v>24</v>
      </c>
      <c r="Q10" s="17"/>
      <c r="R10" s="17"/>
      <c r="S10" s="17"/>
      <c r="T10" s="17"/>
      <c r="U10" s="17"/>
      <c r="V10" s="20"/>
      <c r="W10" s="17"/>
      <c r="X10" s="21" t="s">
        <v>8</v>
      </c>
      <c r="Z10" s="18" t="s">
        <v>24</v>
      </c>
      <c r="AB10" s="17"/>
      <c r="AC10" s="17"/>
      <c r="AD10" s="20"/>
      <c r="AE10" s="17"/>
      <c r="AF10" s="21" t="s">
        <v>8</v>
      </c>
    </row>
    <row r="11" spans="2:32" ht="50.25" customHeight="1">
      <c r="B11" s="4" t="s">
        <v>2</v>
      </c>
      <c r="C11" s="5" t="s">
        <v>3</v>
      </c>
      <c r="D11" s="5" t="s">
        <v>4</v>
      </c>
      <c r="E11" s="5" t="s">
        <v>58</v>
      </c>
      <c r="F11" s="5" t="s">
        <v>21</v>
      </c>
      <c r="G11" s="5" t="s">
        <v>76</v>
      </c>
      <c r="H11" s="2"/>
      <c r="I11" s="28" t="s">
        <v>9</v>
      </c>
      <c r="J11" s="33" t="s">
        <v>3</v>
      </c>
      <c r="K11" s="28" t="s">
        <v>4</v>
      </c>
      <c r="L11" s="28" t="s">
        <v>21</v>
      </c>
      <c r="M11" s="28" t="s">
        <v>75</v>
      </c>
      <c r="O11" s="4" t="s">
        <v>2</v>
      </c>
      <c r="P11" s="5" t="s">
        <v>3</v>
      </c>
      <c r="Q11" s="5" t="s">
        <v>256</v>
      </c>
      <c r="R11" s="5" t="s">
        <v>262</v>
      </c>
      <c r="S11" s="5" t="s">
        <v>271</v>
      </c>
      <c r="T11" s="28" t="s">
        <v>272</v>
      </c>
      <c r="U11" s="69" t="s">
        <v>21</v>
      </c>
      <c r="V11" s="5" t="s">
        <v>14</v>
      </c>
      <c r="W11" s="28" t="s">
        <v>5</v>
      </c>
      <c r="X11" s="5" t="s">
        <v>257</v>
      </c>
      <c r="Z11" s="4" t="s">
        <v>2</v>
      </c>
      <c r="AA11" s="5" t="s">
        <v>3</v>
      </c>
      <c r="AB11" s="5" t="s">
        <v>274</v>
      </c>
      <c r="AC11" s="69" t="s">
        <v>21</v>
      </c>
      <c r="AD11" s="5" t="s">
        <v>241</v>
      </c>
      <c r="AE11" s="28" t="s">
        <v>5</v>
      </c>
      <c r="AF11" s="5" t="s">
        <v>240</v>
      </c>
    </row>
    <row r="12" spans="2:32" ht="15.95" customHeight="1">
      <c r="B12" s="6" t="s">
        <v>109</v>
      </c>
      <c r="C12" s="142">
        <f>ABP!N5</f>
        <v>1626.6666666666667</v>
      </c>
      <c r="D12" s="142">
        <f>Trends!N5</f>
        <v>1463.9175660000549</v>
      </c>
      <c r="E12" s="143">
        <f>Trends!N49</f>
        <v>1595.5603883200699</v>
      </c>
      <c r="F12" s="145">
        <f>IFERROR(D12/C12,0)</f>
        <v>0.89994932336068945</v>
      </c>
      <c r="G12" s="145">
        <f>IFERROR((D12/E12-1),0)</f>
        <v>-8.2505697235702113E-2</v>
      </c>
      <c r="H12" s="2"/>
      <c r="I12" s="147">
        <f>SUM(Trends!C49:N49)</f>
        <v>16716.170516320763</v>
      </c>
      <c r="J12" s="152">
        <f>SUM(ABP!C5:N5)</f>
        <v>17739.999999999996</v>
      </c>
      <c r="K12" s="148">
        <f>Trends!O5</f>
        <v>18493.361071480442</v>
      </c>
      <c r="L12" s="153">
        <f>IFERROR(K12/J12,0)</f>
        <v>1.0424668022255044</v>
      </c>
      <c r="M12" s="153">
        <f>IFERROR(K12/I12-1,0)</f>
        <v>0.10631565126860409</v>
      </c>
      <c r="O12" s="6" t="s">
        <v>109</v>
      </c>
      <c r="P12" s="142">
        <f>SUM(ABP!L5:N5)</f>
        <v>4460</v>
      </c>
      <c r="Q12" s="142">
        <f>Trends!L5</f>
        <v>1236.046176960042</v>
      </c>
      <c r="R12" s="142">
        <f>Trends!M5</f>
        <v>1376.9285650000495</v>
      </c>
      <c r="S12" s="142">
        <f>Trends!N5</f>
        <v>1463.9175660000549</v>
      </c>
      <c r="T12" s="150">
        <f>Q12+R12+S12</f>
        <v>4076.8923079601464</v>
      </c>
      <c r="U12" s="226">
        <f t="shared" ref="U12:U27" si="0">IFERROR(T12/P12,0)</f>
        <v>0.91410141434084002</v>
      </c>
      <c r="V12" s="143">
        <f>SUM(Trends!L49:N49)</f>
        <v>4344.2978803202295</v>
      </c>
      <c r="W12" s="150">
        <f>-P12+T12</f>
        <v>-383.10769203985365</v>
      </c>
      <c r="X12" s="145">
        <f>IFERROR(T12/V12-1,)</f>
        <v>-6.155323132224344E-2</v>
      </c>
      <c r="Z12" s="6" t="s">
        <v>109</v>
      </c>
      <c r="AA12" s="142">
        <f>ABP!O5</f>
        <v>17739.999999999996</v>
      </c>
      <c r="AB12" s="142">
        <f>K12</f>
        <v>18493.361071480442</v>
      </c>
      <c r="AC12" s="226">
        <f>IFERROR(AB12/AA12,0)</f>
        <v>1.0424668022255044</v>
      </c>
      <c r="AD12" s="143">
        <f>Trends!O49</f>
        <v>16716.170516320763</v>
      </c>
      <c r="AE12" s="150">
        <f>-AA12+AB12</f>
        <v>753.36107148044539</v>
      </c>
      <c r="AF12" s="145">
        <f>IFERROR(AB12/AD12-1,)</f>
        <v>0.10631565126860409</v>
      </c>
    </row>
    <row r="13" spans="2:32" ht="15.95" customHeight="1">
      <c r="B13" s="6" t="s">
        <v>234</v>
      </c>
      <c r="C13" s="142">
        <f>ABP!N6</f>
        <v>80.241363521849166</v>
      </c>
      <c r="D13" s="142">
        <f>Trends!N6</f>
        <v>55.663375000000784</v>
      </c>
      <c r="E13" s="143">
        <f>Trends!N50</f>
        <v>82.230569999999901</v>
      </c>
      <c r="F13" s="145">
        <f t="shared" ref="F13:F27" si="1">IFERROR(D13/C13,0)</f>
        <v>0.69369926627485623</v>
      </c>
      <c r="G13" s="145">
        <f t="shared" ref="G13:G27" si="2">IFERROR((D13/E13-1),0)</f>
        <v>-0.32308173225601078</v>
      </c>
      <c r="H13" s="2"/>
      <c r="I13" s="147">
        <f>SUM(Trends!C50:N50)</f>
        <v>1523.9943307999974</v>
      </c>
      <c r="J13" s="152">
        <f>SUM(ABP!C6:N6)</f>
        <v>1487.1279999999997</v>
      </c>
      <c r="K13" s="148">
        <f>Trends!O6</f>
        <v>1202.4712687999943</v>
      </c>
      <c r="L13" s="153">
        <f t="shared" ref="L13:L27" si="3">IFERROR(K13/J13,0)</f>
        <v>0.80858626076571383</v>
      </c>
      <c r="M13" s="153">
        <f t="shared" ref="M13:M27" si="4">IFERROR(K13/I13-1,0)</f>
        <v>-0.21097392260719539</v>
      </c>
      <c r="O13" s="6" t="s">
        <v>234</v>
      </c>
      <c r="P13" s="142">
        <f>SUM(ABP!L6:N6)</f>
        <v>336.16455461425977</v>
      </c>
      <c r="Q13" s="142">
        <f>Trends!L6</f>
        <v>105.998159999997</v>
      </c>
      <c r="R13" s="142">
        <f>Trends!M6</f>
        <v>55.598999999999997</v>
      </c>
      <c r="S13" s="142">
        <f>Trends!N6</f>
        <v>55.663375000000784</v>
      </c>
      <c r="T13" s="150">
        <f t="shared" ref="T13:T27" si="5">Q13+R13+S13</f>
        <v>217.26053499999779</v>
      </c>
      <c r="U13" s="226">
        <f t="shared" si="0"/>
        <v>0.64629221617162669</v>
      </c>
      <c r="V13" s="143">
        <f>SUM(Trends!L50:N50)</f>
        <v>344.49817060000083</v>
      </c>
      <c r="W13" s="150">
        <f t="shared" ref="W13:W27" si="6">-P13+T13</f>
        <v>-118.90401961426198</v>
      </c>
      <c r="X13" s="145">
        <f t="shared" ref="X13:X28" si="7">IFERROR(T13/V13-1,)</f>
        <v>-0.36934197757392306</v>
      </c>
      <c r="Z13" s="6" t="s">
        <v>234</v>
      </c>
      <c r="AA13" s="142">
        <f>ABP!O6</f>
        <v>1487.1279999999997</v>
      </c>
      <c r="AB13" s="142">
        <f t="shared" ref="AB13:AB27" si="8">K13</f>
        <v>1202.4712687999943</v>
      </c>
      <c r="AC13" s="226">
        <f t="shared" ref="AC13:AC28" si="9">IFERROR(AB13/AA13,0)</f>
        <v>0.80858626076571383</v>
      </c>
      <c r="AD13" s="143">
        <f>Trends!O50</f>
        <v>1523.9943307999974</v>
      </c>
      <c r="AE13" s="150">
        <f t="shared" ref="AE13:AE27" si="10">-AA13+AB13</f>
        <v>-284.65673120000542</v>
      </c>
      <c r="AF13" s="145">
        <f t="shared" ref="AF13:AF27" si="11">IFERROR(AB13/AD13-1,)</f>
        <v>-0.21097392260719539</v>
      </c>
    </row>
    <row r="14" spans="2:32" ht="15.95" customHeight="1">
      <c r="B14" s="6" t="s">
        <v>233</v>
      </c>
      <c r="C14" s="142">
        <f>ABP!N7</f>
        <v>16.072696000000004</v>
      </c>
      <c r="D14" s="142">
        <f>Trends!N7</f>
        <v>59.419910000000215</v>
      </c>
      <c r="E14" s="143"/>
      <c r="F14" s="145">
        <f t="shared" ref="F14" si="12">IFERROR(D14/C14,0)</f>
        <v>3.6969472949653372</v>
      </c>
      <c r="G14" s="145">
        <f t="shared" ref="G14" si="13">IFERROR((D14/E14-1),0)</f>
        <v>0</v>
      </c>
      <c r="H14" s="2"/>
      <c r="I14" s="147"/>
      <c r="J14" s="152">
        <f>SUM(ABP!C7:N7)</f>
        <v>244.60339200000001</v>
      </c>
      <c r="K14" s="148">
        <f>Trends!O7</f>
        <v>572.67469000000051</v>
      </c>
      <c r="L14" s="153">
        <f t="shared" si="3"/>
        <v>2.3412377290336206</v>
      </c>
      <c r="M14" s="153">
        <f t="shared" si="4"/>
        <v>0</v>
      </c>
      <c r="O14" s="6" t="s">
        <v>233</v>
      </c>
      <c r="P14" s="142">
        <f>SUM(ABP!L7:N7)</f>
        <v>61.096035200000003</v>
      </c>
      <c r="Q14" s="142">
        <f>Trends!L7</f>
        <v>100.68</v>
      </c>
      <c r="R14" s="142">
        <f>Trends!M7</f>
        <v>77.986169999999987</v>
      </c>
      <c r="S14" s="142">
        <f>Trends!N7</f>
        <v>59.419910000000215</v>
      </c>
      <c r="T14" s="150">
        <f t="shared" si="5"/>
        <v>238.08608000000021</v>
      </c>
      <c r="U14" s="226">
        <f t="shared" si="0"/>
        <v>3.896915392637462</v>
      </c>
      <c r="V14" s="143"/>
      <c r="W14" s="150">
        <f t="shared" si="6"/>
        <v>176.99004480000019</v>
      </c>
      <c r="X14" s="145">
        <f t="shared" si="7"/>
        <v>0</v>
      </c>
      <c r="Z14" s="6" t="s">
        <v>233</v>
      </c>
      <c r="AA14" s="142">
        <f>ABP!O7</f>
        <v>244.60339200000001</v>
      </c>
      <c r="AB14" s="142">
        <f t="shared" si="8"/>
        <v>572.67469000000051</v>
      </c>
      <c r="AC14" s="226">
        <f t="shared" si="9"/>
        <v>2.3412377290336206</v>
      </c>
      <c r="AD14" s="143"/>
      <c r="AE14" s="150">
        <f t="shared" si="10"/>
        <v>328.07129800000052</v>
      </c>
      <c r="AF14" s="145">
        <f t="shared" si="11"/>
        <v>0</v>
      </c>
    </row>
    <row r="15" spans="2:32" ht="15.95" customHeight="1">
      <c r="B15" s="6" t="s">
        <v>116</v>
      </c>
      <c r="C15" s="142">
        <f>ABP!N8</f>
        <v>2.0833333333333339</v>
      </c>
      <c r="D15" s="142">
        <f>Trends!N8</f>
        <v>1.30755</v>
      </c>
      <c r="E15" s="143">
        <f>Trends!N51</f>
        <v>0.85544999999999805</v>
      </c>
      <c r="F15" s="145">
        <f t="shared" si="1"/>
        <v>0.62762399999999985</v>
      </c>
      <c r="G15" s="145">
        <f t="shared" si="2"/>
        <v>0.52849377520603547</v>
      </c>
      <c r="H15" s="2"/>
      <c r="I15" s="147">
        <f>SUM(Trends!C51:N51)</f>
        <v>17.269396999999998</v>
      </c>
      <c r="J15" s="152">
        <f>SUM(ABP!C8:N8)</f>
        <v>25.000000000000014</v>
      </c>
      <c r="K15" s="148">
        <f>Trends!O8</f>
        <v>24.604615599999978</v>
      </c>
      <c r="L15" s="153">
        <f t="shared" si="3"/>
        <v>0.98418462399999851</v>
      </c>
      <c r="M15" s="153">
        <f t="shared" si="4"/>
        <v>0.42475244503325627</v>
      </c>
      <c r="O15" s="6" t="s">
        <v>116</v>
      </c>
      <c r="P15" s="142">
        <f>SUM(ABP!L8:N8)</f>
        <v>6.2500000000000018</v>
      </c>
      <c r="Q15" s="142">
        <f>Trends!L8</f>
        <v>1.9343999999999997</v>
      </c>
      <c r="R15" s="142">
        <f>Trends!M8</f>
        <v>1.9806750000000015</v>
      </c>
      <c r="S15" s="142">
        <f>Trends!N8</f>
        <v>1.30755</v>
      </c>
      <c r="T15" s="150">
        <f t="shared" si="5"/>
        <v>5.2226250000000007</v>
      </c>
      <c r="U15" s="226">
        <f t="shared" si="0"/>
        <v>0.83561999999999992</v>
      </c>
      <c r="V15" s="143">
        <f>SUM(Trends!L51:N51)</f>
        <v>3.6838518000000007</v>
      </c>
      <c r="W15" s="150">
        <f t="shared" si="6"/>
        <v>-1.027375000000001</v>
      </c>
      <c r="X15" s="145">
        <f t="shared" si="7"/>
        <v>0.41770768302894257</v>
      </c>
      <c r="Z15" s="6" t="s">
        <v>116</v>
      </c>
      <c r="AA15" s="142">
        <f>ABP!O8</f>
        <v>25.000000000000014</v>
      </c>
      <c r="AB15" s="142">
        <f t="shared" si="8"/>
        <v>24.604615599999978</v>
      </c>
      <c r="AC15" s="226">
        <f t="shared" si="9"/>
        <v>0.98418462399999851</v>
      </c>
      <c r="AD15" s="143">
        <f>Trends!O51</f>
        <v>17.269396999999998</v>
      </c>
      <c r="AE15" s="150">
        <f t="shared" si="10"/>
        <v>-0.39538440000003661</v>
      </c>
      <c r="AF15" s="145">
        <f t="shared" si="11"/>
        <v>0.42475244503325627</v>
      </c>
    </row>
    <row r="16" spans="2:32" ht="15.95" customHeight="1">
      <c r="B16" s="6" t="s">
        <v>111</v>
      </c>
      <c r="C16" s="142">
        <f>ABP!N9</f>
        <v>60.000000000000007</v>
      </c>
      <c r="D16" s="142">
        <f>Trends!N9</f>
        <v>23.274100999999977</v>
      </c>
      <c r="E16" s="143">
        <f>Trends!N52</f>
        <v>36.8912919999999</v>
      </c>
      <c r="F16" s="145">
        <f t="shared" si="1"/>
        <v>0.38790168333333291</v>
      </c>
      <c r="G16" s="145">
        <f t="shared" si="2"/>
        <v>-0.36911667392944547</v>
      </c>
      <c r="H16" s="2"/>
      <c r="I16" s="147">
        <f>SUM(Trends!C52:N52)</f>
        <v>590.21296891200075</v>
      </c>
      <c r="J16" s="152">
        <f>SUM(ABP!C9:N9)</f>
        <v>684</v>
      </c>
      <c r="K16" s="148">
        <f>Trends!O9</f>
        <v>386.22775999999953</v>
      </c>
      <c r="L16" s="153">
        <f t="shared" si="3"/>
        <v>0.56466046783625667</v>
      </c>
      <c r="M16" s="153">
        <f t="shared" si="4"/>
        <v>-0.34561288832407022</v>
      </c>
      <c r="O16" s="6" t="s">
        <v>111</v>
      </c>
      <c r="P16" s="142">
        <f>SUM(ABP!L9:N9)</f>
        <v>170</v>
      </c>
      <c r="Q16" s="142">
        <f>Trends!L9</f>
        <v>44.039013999999909</v>
      </c>
      <c r="R16" s="142">
        <f>Trends!M9</f>
        <v>28.664563999999952</v>
      </c>
      <c r="S16" s="142">
        <f>Trends!N9</f>
        <v>23.274100999999977</v>
      </c>
      <c r="T16" s="150">
        <f t="shared" si="5"/>
        <v>95.977678999999839</v>
      </c>
      <c r="U16" s="226">
        <f t="shared" si="0"/>
        <v>0.56457458235294022</v>
      </c>
      <c r="V16" s="143">
        <f>SUM(Trends!L52:N52)</f>
        <v>127.75709499999988</v>
      </c>
      <c r="W16" s="150">
        <f t="shared" si="6"/>
        <v>-74.022321000000161</v>
      </c>
      <c r="X16" s="145">
        <f t="shared" si="7"/>
        <v>-0.24874873681183862</v>
      </c>
      <c r="Z16" s="6" t="s">
        <v>111</v>
      </c>
      <c r="AA16" s="142">
        <f>ABP!O9</f>
        <v>684</v>
      </c>
      <c r="AB16" s="142">
        <f t="shared" si="8"/>
        <v>386.22775999999953</v>
      </c>
      <c r="AC16" s="226">
        <f t="shared" si="9"/>
        <v>0.56466046783625667</v>
      </c>
      <c r="AD16" s="143">
        <f>Trends!O52</f>
        <v>590.21296891200075</v>
      </c>
      <c r="AE16" s="150">
        <f t="shared" si="10"/>
        <v>-297.77224000000047</v>
      </c>
      <c r="AF16" s="145">
        <f t="shared" si="11"/>
        <v>-0.34561288832407022</v>
      </c>
    </row>
    <row r="17" spans="2:32" ht="15.95" customHeight="1">
      <c r="B17" s="6" t="s">
        <v>113</v>
      </c>
      <c r="C17" s="142">
        <f>ABP!N10</f>
        <v>7</v>
      </c>
      <c r="D17" s="142">
        <f>Trends!N10</f>
        <v>3.9473267999999901</v>
      </c>
      <c r="E17" s="143">
        <f>Trends!N53</f>
        <v>6.2125506000000001</v>
      </c>
      <c r="F17" s="145">
        <f t="shared" si="1"/>
        <v>0.56390382857142718</v>
      </c>
      <c r="G17" s="145">
        <f t="shared" si="2"/>
        <v>-0.36462057950884297</v>
      </c>
      <c r="H17" s="2"/>
      <c r="I17" s="147">
        <f>SUM(Trends!C53:N53)</f>
        <v>81.356247600000842</v>
      </c>
      <c r="J17" s="152">
        <f>SUM(ABP!C10:N10)</f>
        <v>180</v>
      </c>
      <c r="K17" s="148">
        <f>Trends!O10</f>
        <v>203.68450180000181</v>
      </c>
      <c r="L17" s="153">
        <f t="shared" si="3"/>
        <v>1.1315805655555655</v>
      </c>
      <c r="M17" s="153">
        <f t="shared" si="4"/>
        <v>1.5036122954126969</v>
      </c>
      <c r="O17" s="6" t="s">
        <v>113</v>
      </c>
      <c r="P17" s="142">
        <f>SUM(ABP!L10:N10)</f>
        <v>44</v>
      </c>
      <c r="Q17" s="142">
        <f>Trends!L10</f>
        <v>24.156700000000281</v>
      </c>
      <c r="R17" s="142">
        <f>Trends!M10</f>
        <v>11.238974399999996</v>
      </c>
      <c r="S17" s="142">
        <f>Trends!N10</f>
        <v>3.9473267999999901</v>
      </c>
      <c r="T17" s="150">
        <f t="shared" si="5"/>
        <v>39.343001200000266</v>
      </c>
      <c r="U17" s="226">
        <f t="shared" si="0"/>
        <v>0.89415911818182425</v>
      </c>
      <c r="V17" s="143">
        <f>SUM(Trends!L53:N53)</f>
        <v>40.122147600000055</v>
      </c>
      <c r="W17" s="150">
        <f t="shared" si="6"/>
        <v>-4.6569987999997338</v>
      </c>
      <c r="X17" s="145">
        <f t="shared" si="7"/>
        <v>-1.9419359296703909E-2</v>
      </c>
      <c r="Z17" s="6" t="s">
        <v>113</v>
      </c>
      <c r="AA17" s="142">
        <f>ABP!O10</f>
        <v>180</v>
      </c>
      <c r="AB17" s="142">
        <f t="shared" si="8"/>
        <v>203.68450180000181</v>
      </c>
      <c r="AC17" s="226">
        <f t="shared" si="9"/>
        <v>1.1315805655555655</v>
      </c>
      <c r="AD17" s="143">
        <f>Trends!O53</f>
        <v>81.356247600000842</v>
      </c>
      <c r="AE17" s="150">
        <f t="shared" si="10"/>
        <v>23.684501800001811</v>
      </c>
      <c r="AF17" s="145">
        <f t="shared" si="11"/>
        <v>1.5036122954126969</v>
      </c>
    </row>
    <row r="18" spans="2:32" ht="15.95" customHeight="1">
      <c r="B18" s="6" t="s">
        <v>19</v>
      </c>
      <c r="C18" s="142">
        <f>ABP!N11</f>
        <v>0</v>
      </c>
      <c r="D18" s="142">
        <f>Trends!N11</f>
        <v>0</v>
      </c>
      <c r="E18" s="143">
        <f>Trends!N54</f>
        <v>0</v>
      </c>
      <c r="F18" s="145">
        <f t="shared" si="1"/>
        <v>0</v>
      </c>
      <c r="G18" s="145">
        <f t="shared" si="2"/>
        <v>0</v>
      </c>
      <c r="H18" s="2"/>
      <c r="I18" s="147">
        <f>SUM(Trends!C54:N54)</f>
        <v>0.10476876000000002</v>
      </c>
      <c r="J18" s="152">
        <f>SUM(ABP!C11:N11)</f>
        <v>0</v>
      </c>
      <c r="K18" s="148">
        <f>Trends!O11</f>
        <v>0</v>
      </c>
      <c r="L18" s="153">
        <f t="shared" si="3"/>
        <v>0</v>
      </c>
      <c r="M18" s="153">
        <f t="shared" si="4"/>
        <v>-1</v>
      </c>
      <c r="O18" s="6" t="s">
        <v>19</v>
      </c>
      <c r="P18" s="142">
        <f>SUM(ABP!L11:N11)</f>
        <v>0</v>
      </c>
      <c r="Q18" s="142">
        <f>Trends!L11</f>
        <v>0</v>
      </c>
      <c r="R18" s="142">
        <f>Trends!M11</f>
        <v>0</v>
      </c>
      <c r="S18" s="142">
        <f>Trends!N11</f>
        <v>0</v>
      </c>
      <c r="T18" s="150">
        <f t="shared" si="5"/>
        <v>0</v>
      </c>
      <c r="U18" s="226">
        <f t="shared" si="0"/>
        <v>0</v>
      </c>
      <c r="V18" s="143">
        <f>SUM(Trends!L54:N54)</f>
        <v>0</v>
      </c>
      <c r="W18" s="150">
        <f t="shared" si="6"/>
        <v>0</v>
      </c>
      <c r="X18" s="145">
        <f t="shared" si="7"/>
        <v>0</v>
      </c>
      <c r="Z18" s="6" t="s">
        <v>19</v>
      </c>
      <c r="AA18" s="142">
        <f>ABP!O11</f>
        <v>0</v>
      </c>
      <c r="AB18" s="142">
        <f t="shared" si="8"/>
        <v>0</v>
      </c>
      <c r="AC18" s="226">
        <f t="shared" si="9"/>
        <v>0</v>
      </c>
      <c r="AD18" s="143">
        <f>Trends!O54</f>
        <v>0.10476876000000002</v>
      </c>
      <c r="AE18" s="150">
        <f t="shared" si="10"/>
        <v>0</v>
      </c>
      <c r="AF18" s="145">
        <f t="shared" si="11"/>
        <v>-1</v>
      </c>
    </row>
    <row r="19" spans="2:32" ht="15.95" customHeight="1">
      <c r="B19" s="6" t="s">
        <v>154</v>
      </c>
      <c r="C19" s="142">
        <f>ABP!N12</f>
        <v>0</v>
      </c>
      <c r="D19" s="142">
        <f>Trends!N12</f>
        <v>0</v>
      </c>
      <c r="E19" s="143">
        <f>Trends!N55</f>
        <v>4.3200000000000001E-3</v>
      </c>
      <c r="F19" s="145">
        <f t="shared" si="1"/>
        <v>0</v>
      </c>
      <c r="G19" s="145">
        <f t="shared" si="2"/>
        <v>-1</v>
      </c>
      <c r="H19" s="2"/>
      <c r="I19" s="147">
        <f>SUM(Trends!C55:N55)</f>
        <v>0.93174000000000001</v>
      </c>
      <c r="J19" s="152">
        <f>SUM(ABP!C12:N12)</f>
        <v>5.9999999999999991</v>
      </c>
      <c r="K19" s="148">
        <f>Trends!O12</f>
        <v>1.2959999999999999E-2</v>
      </c>
      <c r="L19" s="153">
        <f t="shared" si="3"/>
        <v>2.16E-3</v>
      </c>
      <c r="M19" s="153">
        <f t="shared" si="4"/>
        <v>-0.98609054027947707</v>
      </c>
      <c r="O19" s="6" t="s">
        <v>154</v>
      </c>
      <c r="P19" s="142">
        <f>SUM(ABP!L12:N12)</f>
        <v>1.2</v>
      </c>
      <c r="Q19" s="142">
        <f>Trends!L12</f>
        <v>0</v>
      </c>
      <c r="R19" s="142">
        <f>Trends!M12</f>
        <v>0</v>
      </c>
      <c r="S19" s="142">
        <f>Trends!N12</f>
        <v>0</v>
      </c>
      <c r="T19" s="150">
        <f t="shared" si="5"/>
        <v>0</v>
      </c>
      <c r="U19" s="226">
        <f t="shared" si="0"/>
        <v>0</v>
      </c>
      <c r="V19" s="143">
        <f>SUM(Trends!L55:N55)</f>
        <v>1.728E-2</v>
      </c>
      <c r="W19" s="150">
        <f t="shared" si="6"/>
        <v>-1.2</v>
      </c>
      <c r="X19" s="145">
        <f t="shared" si="7"/>
        <v>-1</v>
      </c>
      <c r="Z19" s="6" t="s">
        <v>154</v>
      </c>
      <c r="AA19" s="142">
        <f>ABP!O12</f>
        <v>5.9999999999999991</v>
      </c>
      <c r="AB19" s="142">
        <f t="shared" si="8"/>
        <v>1.2959999999999999E-2</v>
      </c>
      <c r="AC19" s="226">
        <f t="shared" si="9"/>
        <v>2.16E-3</v>
      </c>
      <c r="AD19" s="143">
        <f>Trends!O55</f>
        <v>0.93174000000000001</v>
      </c>
      <c r="AE19" s="150">
        <f t="shared" si="10"/>
        <v>-5.9870399999999995</v>
      </c>
      <c r="AF19" s="145">
        <f t="shared" si="11"/>
        <v>-0.98609054027947707</v>
      </c>
    </row>
    <row r="20" spans="2:32" ht="15.95" customHeight="1">
      <c r="B20" s="6" t="s">
        <v>112</v>
      </c>
      <c r="C20" s="142">
        <f>ABP!N13</f>
        <v>1.6833333333333333</v>
      </c>
      <c r="D20" s="142">
        <f>Trends!N13</f>
        <v>3.5424995999999922</v>
      </c>
      <c r="E20" s="143">
        <f>Trends!N56</f>
        <v>4.3684574999999999</v>
      </c>
      <c r="F20" s="145">
        <f t="shared" si="1"/>
        <v>2.1044552079207874</v>
      </c>
      <c r="G20" s="145">
        <f t="shared" si="2"/>
        <v>-0.18907312249232311</v>
      </c>
      <c r="H20" s="2"/>
      <c r="I20" s="147">
        <f>SUM(Trends!C56:N56)</f>
        <v>48.492784990999922</v>
      </c>
      <c r="J20" s="152">
        <f>SUM(ABP!C13:N13)</f>
        <v>20.2</v>
      </c>
      <c r="K20" s="148">
        <f>Trends!O13</f>
        <v>51.841175655000065</v>
      </c>
      <c r="L20" s="153">
        <f t="shared" si="3"/>
        <v>2.5663948344059437</v>
      </c>
      <c r="M20" s="153">
        <f t="shared" si="4"/>
        <v>6.904925474215573E-2</v>
      </c>
      <c r="O20" s="6" t="s">
        <v>112</v>
      </c>
      <c r="P20" s="142">
        <f>SUM(ABP!L13:N13)</f>
        <v>5.05</v>
      </c>
      <c r="Q20" s="142">
        <f>Trends!L13</f>
        <v>6.8929248000000145</v>
      </c>
      <c r="R20" s="142">
        <f>Trends!M13</f>
        <v>3.5042495199999855</v>
      </c>
      <c r="S20" s="142">
        <f>Trends!N13</f>
        <v>3.5424995999999922</v>
      </c>
      <c r="T20" s="150">
        <f t="shared" si="5"/>
        <v>13.939673919999992</v>
      </c>
      <c r="U20" s="226">
        <f t="shared" si="0"/>
        <v>2.7603314693069292</v>
      </c>
      <c r="V20" s="143">
        <f>SUM(Trends!L56:N56)</f>
        <v>8.6231289700000033</v>
      </c>
      <c r="W20" s="150">
        <f t="shared" si="6"/>
        <v>8.8896739199999928</v>
      </c>
      <c r="X20" s="145">
        <f t="shared" si="7"/>
        <v>0.61654475637513118</v>
      </c>
      <c r="Z20" s="6" t="s">
        <v>112</v>
      </c>
      <c r="AA20" s="142">
        <f>ABP!O13</f>
        <v>20.2</v>
      </c>
      <c r="AB20" s="142">
        <f t="shared" si="8"/>
        <v>51.841175655000065</v>
      </c>
      <c r="AC20" s="226">
        <f t="shared" si="9"/>
        <v>2.5663948344059437</v>
      </c>
      <c r="AD20" s="143">
        <f>Trends!O56</f>
        <v>48.492784990999922</v>
      </c>
      <c r="AE20" s="150">
        <f t="shared" si="10"/>
        <v>31.641175655000065</v>
      </c>
      <c r="AF20" s="145">
        <f t="shared" si="11"/>
        <v>6.904925474215573E-2</v>
      </c>
    </row>
    <row r="21" spans="2:32" ht="15.95" customHeight="1">
      <c r="B21" s="6" t="s">
        <v>18</v>
      </c>
      <c r="C21" s="142">
        <f>ABP!N14</f>
        <v>35.000000000000007</v>
      </c>
      <c r="D21" s="142">
        <f>Trends!N14</f>
        <v>16.213543199999986</v>
      </c>
      <c r="E21" s="143">
        <f>Trends!N57</f>
        <v>19.1742894144</v>
      </c>
      <c r="F21" s="145">
        <f t="shared" si="1"/>
        <v>0.46324409142857093</v>
      </c>
      <c r="G21" s="145">
        <f t="shared" si="2"/>
        <v>-0.15441230443598486</v>
      </c>
      <c r="H21" s="2"/>
      <c r="I21" s="147">
        <f>SUM(Trends!C57:N57)</f>
        <v>423.42890481439895</v>
      </c>
      <c r="J21" s="152">
        <f>SUM(ABP!C14:N14)</f>
        <v>432</v>
      </c>
      <c r="K21" s="148">
        <f>Trends!O14</f>
        <v>253.72212076799968</v>
      </c>
      <c r="L21" s="153">
        <f t="shared" si="3"/>
        <v>0.58731972399999932</v>
      </c>
      <c r="M21" s="153">
        <f t="shared" si="4"/>
        <v>-0.40079168454687009</v>
      </c>
      <c r="O21" s="6" t="s">
        <v>18</v>
      </c>
      <c r="P21" s="142">
        <f>SUM(ABP!L14:N14)</f>
        <v>110</v>
      </c>
      <c r="Q21" s="142">
        <f>Trends!L14</f>
        <v>13.693532543999982</v>
      </c>
      <c r="R21" s="142">
        <f>Trends!M14</f>
        <v>11.539105084799996</v>
      </c>
      <c r="S21" s="142">
        <f>Trends!N14</f>
        <v>16.213543199999986</v>
      </c>
      <c r="T21" s="150">
        <f t="shared" si="5"/>
        <v>41.446180828799967</v>
      </c>
      <c r="U21" s="226">
        <f t="shared" si="0"/>
        <v>0.37678346207999969</v>
      </c>
      <c r="V21" s="143">
        <f>SUM(Trends!L57:N57)</f>
        <v>107.66343061439983</v>
      </c>
      <c r="W21" s="150">
        <f t="shared" si="6"/>
        <v>-68.553819171200033</v>
      </c>
      <c r="X21" s="145">
        <f t="shared" si="7"/>
        <v>-0.61503938159614435</v>
      </c>
      <c r="Z21" s="6" t="s">
        <v>18</v>
      </c>
      <c r="AA21" s="142">
        <f>ABP!O14</f>
        <v>432</v>
      </c>
      <c r="AB21" s="142">
        <f t="shared" si="8"/>
        <v>253.72212076799968</v>
      </c>
      <c r="AC21" s="226">
        <f t="shared" si="9"/>
        <v>0.58731972399999932</v>
      </c>
      <c r="AD21" s="143">
        <f>Trends!O57</f>
        <v>423.42890481439895</v>
      </c>
      <c r="AE21" s="150">
        <f t="shared" si="10"/>
        <v>-178.27787923200032</v>
      </c>
      <c r="AF21" s="145">
        <f t="shared" si="11"/>
        <v>-0.40079168454687009</v>
      </c>
    </row>
    <row r="22" spans="2:32" ht="15.95" customHeight="1">
      <c r="B22" s="6" t="s">
        <v>163</v>
      </c>
      <c r="C22" s="142">
        <f>ABP!N15</f>
        <v>5.8333333333333339</v>
      </c>
      <c r="D22" s="142">
        <f>Trends!N15</f>
        <v>0</v>
      </c>
      <c r="E22" s="143"/>
      <c r="F22" s="145">
        <f t="shared" si="1"/>
        <v>0</v>
      </c>
      <c r="G22" s="145">
        <f t="shared" si="2"/>
        <v>0</v>
      </c>
      <c r="H22" s="2"/>
      <c r="I22" s="147"/>
      <c r="J22" s="152">
        <f>SUM(ABP!C15:N15)</f>
        <v>35.000000000000007</v>
      </c>
      <c r="K22" s="148">
        <f>Trends!O15</f>
        <v>0</v>
      </c>
      <c r="L22" s="153">
        <f t="shared" si="3"/>
        <v>0</v>
      </c>
      <c r="M22" s="153">
        <f t="shared" si="4"/>
        <v>0</v>
      </c>
      <c r="O22" s="6" t="s">
        <v>163</v>
      </c>
      <c r="P22" s="142">
        <f>SUM(ABP!L15:N15)</f>
        <v>17.5</v>
      </c>
      <c r="Q22" s="142">
        <f>Trends!L15</f>
        <v>0</v>
      </c>
      <c r="R22" s="142">
        <f>Trends!M15</f>
        <v>0</v>
      </c>
      <c r="S22" s="142">
        <f>Trends!N15</f>
        <v>0</v>
      </c>
      <c r="T22" s="150">
        <f t="shared" si="5"/>
        <v>0</v>
      </c>
      <c r="U22" s="226">
        <f t="shared" si="0"/>
        <v>0</v>
      </c>
      <c r="V22" s="143"/>
      <c r="W22" s="150">
        <f t="shared" si="6"/>
        <v>-17.5</v>
      </c>
      <c r="X22" s="145">
        <f t="shared" si="7"/>
        <v>0</v>
      </c>
      <c r="Z22" s="6" t="s">
        <v>163</v>
      </c>
      <c r="AA22" s="142">
        <f>ABP!O15</f>
        <v>35.000000000000007</v>
      </c>
      <c r="AB22" s="142">
        <f t="shared" si="8"/>
        <v>0</v>
      </c>
      <c r="AC22" s="226">
        <f t="shared" si="9"/>
        <v>0</v>
      </c>
      <c r="AD22" s="143"/>
      <c r="AE22" s="150">
        <f t="shared" si="10"/>
        <v>-35.000000000000007</v>
      </c>
      <c r="AF22" s="145">
        <f t="shared" si="11"/>
        <v>0</v>
      </c>
    </row>
    <row r="23" spans="2:32" ht="15.95" customHeight="1">
      <c r="B23" s="6" t="s">
        <v>164</v>
      </c>
      <c r="C23" s="142">
        <f>ABP!N16</f>
        <v>1.1666666666666667</v>
      </c>
      <c r="D23" s="142">
        <f>Trends!N16</f>
        <v>0</v>
      </c>
      <c r="E23" s="143"/>
      <c r="F23" s="145">
        <f t="shared" si="1"/>
        <v>0</v>
      </c>
      <c r="G23" s="145">
        <f t="shared" si="2"/>
        <v>0</v>
      </c>
      <c r="H23" s="2"/>
      <c r="I23" s="147"/>
      <c r="J23" s="152">
        <f>SUM(ABP!C16:N16)</f>
        <v>7.0000000000000009</v>
      </c>
      <c r="K23" s="148">
        <f>Trends!O16</f>
        <v>0</v>
      </c>
      <c r="L23" s="153">
        <f t="shared" si="3"/>
        <v>0</v>
      </c>
      <c r="M23" s="153">
        <f t="shared" si="4"/>
        <v>0</v>
      </c>
      <c r="O23" s="6" t="s">
        <v>164</v>
      </c>
      <c r="P23" s="142">
        <f>SUM(ABP!L16:N16)</f>
        <v>3.5</v>
      </c>
      <c r="Q23" s="142">
        <f>Trends!L16</f>
        <v>0</v>
      </c>
      <c r="R23" s="142">
        <f>Trends!M16</f>
        <v>0</v>
      </c>
      <c r="S23" s="142">
        <f>Trends!N16</f>
        <v>0</v>
      </c>
      <c r="T23" s="150">
        <f t="shared" si="5"/>
        <v>0</v>
      </c>
      <c r="U23" s="226">
        <f t="shared" si="0"/>
        <v>0</v>
      </c>
      <c r="V23" s="143"/>
      <c r="W23" s="150">
        <f t="shared" si="6"/>
        <v>-3.5</v>
      </c>
      <c r="X23" s="145">
        <f t="shared" si="7"/>
        <v>0</v>
      </c>
      <c r="Z23" s="6" t="s">
        <v>164</v>
      </c>
      <c r="AA23" s="142">
        <f>ABP!O16</f>
        <v>7.0000000000000009</v>
      </c>
      <c r="AB23" s="142">
        <f t="shared" si="8"/>
        <v>0</v>
      </c>
      <c r="AC23" s="226">
        <f t="shared" si="9"/>
        <v>0</v>
      </c>
      <c r="AD23" s="143"/>
      <c r="AE23" s="150">
        <f t="shared" si="10"/>
        <v>-7.0000000000000009</v>
      </c>
      <c r="AF23" s="145">
        <f t="shared" si="11"/>
        <v>0</v>
      </c>
    </row>
    <row r="24" spans="2:32" ht="15.95" customHeight="1">
      <c r="B24" s="6" t="s">
        <v>165</v>
      </c>
      <c r="C24" s="142">
        <f>ABP!N17</f>
        <v>0.55555555555555558</v>
      </c>
      <c r="D24" s="142">
        <f>Trends!N17</f>
        <v>0</v>
      </c>
      <c r="E24" s="143"/>
      <c r="F24" s="145">
        <f t="shared" si="1"/>
        <v>0</v>
      </c>
      <c r="G24" s="145">
        <f t="shared" si="2"/>
        <v>0</v>
      </c>
      <c r="H24" s="2"/>
      <c r="I24" s="147"/>
      <c r="J24" s="152">
        <f>SUM(ABP!C17:N17)</f>
        <v>4.9999999999999991</v>
      </c>
      <c r="K24" s="148">
        <f>Trends!O17</f>
        <v>0</v>
      </c>
      <c r="L24" s="153">
        <f t="shared" si="3"/>
        <v>0</v>
      </c>
      <c r="M24" s="153">
        <f t="shared" si="4"/>
        <v>0</v>
      </c>
      <c r="O24" s="6" t="s">
        <v>165</v>
      </c>
      <c r="P24" s="142">
        <f>SUM(ABP!L17:N17)</f>
        <v>1.6666666666666667</v>
      </c>
      <c r="Q24" s="142">
        <f>Trends!L17</f>
        <v>0</v>
      </c>
      <c r="R24" s="142">
        <f>Trends!M17</f>
        <v>0</v>
      </c>
      <c r="S24" s="142">
        <f>Trends!N17</f>
        <v>0</v>
      </c>
      <c r="T24" s="150">
        <f t="shared" si="5"/>
        <v>0</v>
      </c>
      <c r="U24" s="226">
        <f t="shared" si="0"/>
        <v>0</v>
      </c>
      <c r="V24" s="143"/>
      <c r="W24" s="150">
        <f t="shared" si="6"/>
        <v>-1.6666666666666667</v>
      </c>
      <c r="X24" s="145">
        <f t="shared" si="7"/>
        <v>0</v>
      </c>
      <c r="Z24" s="6" t="s">
        <v>165</v>
      </c>
      <c r="AA24" s="142">
        <f>ABP!O17</f>
        <v>4.9999999999999991</v>
      </c>
      <c r="AB24" s="142">
        <f t="shared" si="8"/>
        <v>0</v>
      </c>
      <c r="AC24" s="226">
        <f t="shared" si="9"/>
        <v>0</v>
      </c>
      <c r="AD24" s="143"/>
      <c r="AE24" s="150">
        <f t="shared" si="10"/>
        <v>-4.9999999999999991</v>
      </c>
      <c r="AF24" s="145">
        <f t="shared" si="11"/>
        <v>0</v>
      </c>
    </row>
    <row r="25" spans="2:32" ht="15.95" customHeight="1">
      <c r="B25" s="6" t="s">
        <v>166</v>
      </c>
      <c r="C25" s="142">
        <f>ABP!N18</f>
        <v>0.22222222222222221</v>
      </c>
      <c r="D25" s="142">
        <f>Trends!N18</f>
        <v>0</v>
      </c>
      <c r="E25" s="143"/>
      <c r="F25" s="145">
        <f t="shared" si="1"/>
        <v>0</v>
      </c>
      <c r="G25" s="145">
        <f t="shared" si="2"/>
        <v>0</v>
      </c>
      <c r="H25" s="2"/>
      <c r="I25" s="147"/>
      <c r="J25" s="152">
        <f>SUM(ABP!C18:N18)</f>
        <v>2.0000000000000004</v>
      </c>
      <c r="K25" s="148">
        <f>Trends!O18</f>
        <v>0</v>
      </c>
      <c r="L25" s="153">
        <f t="shared" si="3"/>
        <v>0</v>
      </c>
      <c r="M25" s="153">
        <f t="shared" si="4"/>
        <v>0</v>
      </c>
      <c r="O25" s="6" t="s">
        <v>166</v>
      </c>
      <c r="P25" s="142">
        <f>SUM(ABP!L18:N18)</f>
        <v>0.66666666666666663</v>
      </c>
      <c r="Q25" s="142">
        <f>Trends!L18</f>
        <v>0</v>
      </c>
      <c r="R25" s="142">
        <f>Trends!M18</f>
        <v>0</v>
      </c>
      <c r="S25" s="142">
        <f>Trends!N18</f>
        <v>0</v>
      </c>
      <c r="T25" s="150">
        <f t="shared" si="5"/>
        <v>0</v>
      </c>
      <c r="U25" s="226">
        <f t="shared" si="0"/>
        <v>0</v>
      </c>
      <c r="V25" s="143"/>
      <c r="W25" s="150">
        <f t="shared" si="6"/>
        <v>-0.66666666666666663</v>
      </c>
      <c r="X25" s="145">
        <f t="shared" si="7"/>
        <v>0</v>
      </c>
      <c r="Z25" s="6" t="s">
        <v>166</v>
      </c>
      <c r="AA25" s="142">
        <f>ABP!O18</f>
        <v>2.0000000000000004</v>
      </c>
      <c r="AB25" s="142">
        <f t="shared" si="8"/>
        <v>0</v>
      </c>
      <c r="AC25" s="226">
        <f t="shared" si="9"/>
        <v>0</v>
      </c>
      <c r="AD25" s="143"/>
      <c r="AE25" s="150">
        <f t="shared" si="10"/>
        <v>-2.0000000000000004</v>
      </c>
      <c r="AF25" s="145">
        <f t="shared" si="11"/>
        <v>0</v>
      </c>
    </row>
    <row r="26" spans="2:32" ht="15.95" customHeight="1">
      <c r="B26" s="6" t="s">
        <v>167</v>
      </c>
      <c r="C26" s="142">
        <f>ABP!N19</f>
        <v>0.25</v>
      </c>
      <c r="D26" s="142">
        <f>Trends!N19</f>
        <v>4.7285999999999988E-2</v>
      </c>
      <c r="E26" s="143"/>
      <c r="F26" s="145">
        <f t="shared" si="1"/>
        <v>0.18914399999999995</v>
      </c>
      <c r="G26" s="145">
        <f t="shared" si="2"/>
        <v>0</v>
      </c>
      <c r="H26" s="2"/>
      <c r="I26" s="147"/>
      <c r="J26" s="152">
        <f>SUM(ABP!C19:N19)</f>
        <v>3</v>
      </c>
      <c r="K26" s="148">
        <f>Trends!O19</f>
        <v>0.98622060000000011</v>
      </c>
      <c r="L26" s="153">
        <f t="shared" si="3"/>
        <v>0.32874020000000004</v>
      </c>
      <c r="M26" s="153">
        <f t="shared" si="4"/>
        <v>0</v>
      </c>
      <c r="O26" s="6" t="s">
        <v>167</v>
      </c>
      <c r="P26" s="142">
        <f>SUM(ABP!L19:N19)</f>
        <v>0.75</v>
      </c>
      <c r="Q26" s="142">
        <f>Trends!L19</f>
        <v>0.27470340000000015</v>
      </c>
      <c r="R26" s="142">
        <f>Trends!M19</f>
        <v>0.22799160000000018</v>
      </c>
      <c r="S26" s="142">
        <f>Trends!N19</f>
        <v>4.7285999999999988E-2</v>
      </c>
      <c r="T26" s="150">
        <f t="shared" si="5"/>
        <v>0.54998100000000028</v>
      </c>
      <c r="U26" s="226">
        <f t="shared" si="0"/>
        <v>0.7333080000000004</v>
      </c>
      <c r="V26" s="143"/>
      <c r="W26" s="150">
        <f t="shared" si="6"/>
        <v>-0.20001899999999972</v>
      </c>
      <c r="X26" s="145">
        <f t="shared" si="7"/>
        <v>0</v>
      </c>
      <c r="Z26" s="6" t="s">
        <v>167</v>
      </c>
      <c r="AA26" s="142">
        <f>ABP!O19</f>
        <v>3</v>
      </c>
      <c r="AB26" s="142">
        <f t="shared" si="8"/>
        <v>0.98622060000000011</v>
      </c>
      <c r="AC26" s="226">
        <f t="shared" si="9"/>
        <v>0.32874020000000004</v>
      </c>
      <c r="AD26" s="143"/>
      <c r="AE26" s="150">
        <f t="shared" si="10"/>
        <v>-2.0137793999999998</v>
      </c>
      <c r="AF26" s="145">
        <f t="shared" si="11"/>
        <v>0</v>
      </c>
    </row>
    <row r="27" spans="2:32" s="3" customFormat="1" ht="15.95" customHeight="1">
      <c r="B27" s="6" t="s">
        <v>159</v>
      </c>
      <c r="C27" s="142">
        <f>ABP!N20</f>
        <v>0.53333333333333333</v>
      </c>
      <c r="D27" s="142">
        <f>Trends!N20</f>
        <v>0.68099999999999994</v>
      </c>
      <c r="E27" s="143">
        <f>Trends!N58</f>
        <v>0.192</v>
      </c>
      <c r="F27" s="145">
        <f t="shared" si="1"/>
        <v>1.276875</v>
      </c>
      <c r="G27" s="145">
        <f t="shared" si="2"/>
        <v>2.5468749999999996</v>
      </c>
      <c r="I27" s="147">
        <f>SUM(Trends!C58:N58)</f>
        <v>0.60699999999999998</v>
      </c>
      <c r="J27" s="152">
        <f>SUM(ABP!C20:N20)</f>
        <v>6.3999999999999995</v>
      </c>
      <c r="K27" s="148">
        <f>Trends!O20</f>
        <v>3.9609999999999994</v>
      </c>
      <c r="L27" s="153">
        <f t="shared" si="3"/>
        <v>0.61890624999999999</v>
      </c>
      <c r="M27" s="153">
        <f t="shared" si="4"/>
        <v>5.525535420098846</v>
      </c>
      <c r="O27" s="6" t="s">
        <v>159</v>
      </c>
      <c r="P27" s="142">
        <f>SUM(ABP!L20:N20)</f>
        <v>1.6</v>
      </c>
      <c r="Q27" s="142">
        <f>Trends!L20</f>
        <v>0.61099999999999999</v>
      </c>
      <c r="R27" s="142">
        <f>Trends!M20</f>
        <v>0.61099999999999999</v>
      </c>
      <c r="S27" s="142">
        <f>Trends!N20</f>
        <v>0.68099999999999994</v>
      </c>
      <c r="T27" s="150">
        <f t="shared" si="5"/>
        <v>1.903</v>
      </c>
      <c r="U27" s="226">
        <f t="shared" si="0"/>
        <v>1.1893749999999998</v>
      </c>
      <c r="V27" s="143">
        <f>SUM(Trends!L58:N58)</f>
        <v>0.60699999999999998</v>
      </c>
      <c r="W27" s="150">
        <f t="shared" si="6"/>
        <v>0.30299999999999994</v>
      </c>
      <c r="X27" s="145">
        <f t="shared" si="7"/>
        <v>2.1350906095551894</v>
      </c>
      <c r="Z27" s="6" t="s">
        <v>159</v>
      </c>
      <c r="AA27" s="142">
        <f>ABP!O20</f>
        <v>6.3999999999999995</v>
      </c>
      <c r="AB27" s="142">
        <f t="shared" si="8"/>
        <v>3.9609999999999994</v>
      </c>
      <c r="AC27" s="226">
        <f t="shared" si="9"/>
        <v>0.61890624999999999</v>
      </c>
      <c r="AD27" s="143">
        <f>Trends!O58</f>
        <v>0.60699999999999998</v>
      </c>
      <c r="AE27" s="150">
        <f t="shared" si="10"/>
        <v>-2.4390000000000001</v>
      </c>
      <c r="AF27" s="145">
        <f t="shared" si="11"/>
        <v>5.525535420098846</v>
      </c>
    </row>
    <row r="28" spans="2:32">
      <c r="B28" s="7" t="s">
        <v>92</v>
      </c>
      <c r="C28" s="144">
        <f>SUM(C12:C27)</f>
        <v>1837.3085039662938</v>
      </c>
      <c r="D28" s="144">
        <f>SUM(D12:D27)</f>
        <v>1628.0141576000558</v>
      </c>
      <c r="E28" s="144">
        <f>SUM(E12:E27)</f>
        <v>1745.4893178344696</v>
      </c>
      <c r="F28" s="146">
        <f t="shared" ref="F28" si="14">IFERROR(D28/C28,0)</f>
        <v>0.88608644334121167</v>
      </c>
      <c r="G28" s="146">
        <f t="shared" ref="G28" si="15">IFERROR((D28/E28-1),0)</f>
        <v>-6.7302136446276695E-2</v>
      </c>
      <c r="H28" s="2"/>
      <c r="I28" s="149">
        <f>SUM(I12:I27)</f>
        <v>19402.568659198158</v>
      </c>
      <c r="J28" s="149">
        <f>SUM(J12:J27)</f>
        <v>20877.331392</v>
      </c>
      <c r="K28" s="149">
        <f>SUM(K12:K27)</f>
        <v>21193.547384703437</v>
      </c>
      <c r="L28" s="154">
        <f t="shared" ref="L28" si="16">IFERROR(K28/J28,0)</f>
        <v>1.0151463799068021</v>
      </c>
      <c r="M28" s="154">
        <f t="shared" ref="M28" si="17">IFERROR(K28/I28-1,0)</f>
        <v>9.2306269183396683E-2</v>
      </c>
      <c r="O28" s="7" t="s">
        <v>92</v>
      </c>
      <c r="P28" s="144">
        <f>SUM(P12:P27)</f>
        <v>5219.4439231475944</v>
      </c>
      <c r="Q28" s="144">
        <f>SUM(Q12:Q27)</f>
        <v>1534.3266117040391</v>
      </c>
      <c r="R28" s="144">
        <f>SUM(R12:R27)</f>
        <v>1568.2802946048494</v>
      </c>
      <c r="S28" s="144">
        <f>SUM(S12:S27)</f>
        <v>1628.0141576000558</v>
      </c>
      <c r="T28" s="151">
        <f>SUM(T12:T27)</f>
        <v>4730.6210639089441</v>
      </c>
      <c r="U28" s="146">
        <f t="shared" ref="U28" si="18">T28/P28</f>
        <v>0.90634579728488296</v>
      </c>
      <c r="V28" s="144">
        <f>SUM(V12:V27)</f>
        <v>4977.2699849046303</v>
      </c>
      <c r="W28" s="151">
        <f>SUM(W12:W27)</f>
        <v>-488.82285923864868</v>
      </c>
      <c r="X28" s="146">
        <f t="shared" si="7"/>
        <v>-4.955506165904966E-2</v>
      </c>
      <c r="Z28" s="7" t="s">
        <v>92</v>
      </c>
      <c r="AA28" s="144">
        <f>SUM(AA12:AA27)</f>
        <v>20877.331392</v>
      </c>
      <c r="AB28" s="144">
        <f>SUM(AB12:AB27)</f>
        <v>21193.547384703437</v>
      </c>
      <c r="AC28" s="146">
        <f t="shared" si="9"/>
        <v>1.0151463799068021</v>
      </c>
      <c r="AD28" s="144">
        <f>SUM(AD12:AD27)</f>
        <v>19402.568659198158</v>
      </c>
      <c r="AE28" s="151">
        <f>SUM(AE12:AE27)</f>
        <v>316.21599270344166</v>
      </c>
      <c r="AF28" s="146">
        <f t="shared" ref="AF28" si="19">IFERROR(AB28/AD28-1,)</f>
        <v>9.2306269183396683E-2</v>
      </c>
    </row>
    <row r="29" spans="2:32">
      <c r="C29" s="84"/>
      <c r="D29" s="84"/>
      <c r="E29" s="85"/>
      <c r="F29" s="281"/>
      <c r="G29" s="281"/>
      <c r="H29" s="2"/>
      <c r="J29" s="31"/>
      <c r="K29" s="24"/>
      <c r="L29" s="224"/>
      <c r="M29" s="225"/>
      <c r="U29" s="19"/>
      <c r="X29" s="227"/>
      <c r="AC29" s="19"/>
      <c r="AF29" s="227"/>
    </row>
    <row r="30" spans="2:32">
      <c r="F30" s="155"/>
      <c r="G30" s="155"/>
    </row>
    <row r="31" spans="2:32">
      <c r="J31" s="8"/>
      <c r="L31" s="27"/>
      <c r="M31" s="27"/>
    </row>
    <row r="32" spans="2:32" ht="15" thickBot="1"/>
    <row r="33" spans="1:32" ht="15" thickBot="1">
      <c r="A33" s="23"/>
      <c r="B33" s="404" t="str">
        <f>B8</f>
        <v>FTM  March 17</v>
      </c>
      <c r="C33" s="405"/>
      <c r="D33" s="405"/>
      <c r="E33" s="405"/>
      <c r="F33" s="405"/>
      <c r="G33" s="405"/>
      <c r="I33" s="407" t="str">
        <f>I8</f>
        <v>YTD  ( March  17)</v>
      </c>
      <c r="J33" s="408"/>
      <c r="K33" s="408"/>
      <c r="L33" s="408"/>
      <c r="M33" s="408"/>
      <c r="O33" s="404" t="str">
        <f>O8</f>
        <v>January -  March  '17 (Actual)</v>
      </c>
      <c r="P33" s="405"/>
      <c r="Q33" s="405"/>
      <c r="R33" s="405"/>
      <c r="S33" s="405"/>
      <c r="T33" s="405"/>
      <c r="U33" s="405"/>
      <c r="V33" s="405"/>
      <c r="W33" s="405"/>
      <c r="X33" s="406"/>
      <c r="Z33" s="404" t="str">
        <f>Z8</f>
        <v>FY 16-17 Actual</v>
      </c>
      <c r="AA33" s="405"/>
      <c r="AB33" s="405"/>
      <c r="AC33" s="405"/>
      <c r="AD33" s="405"/>
      <c r="AE33" s="405"/>
      <c r="AF33" s="406"/>
    </row>
    <row r="34" spans="1:32">
      <c r="B34" s="17"/>
      <c r="C34" s="17"/>
      <c r="D34" s="17"/>
      <c r="E34" s="17"/>
      <c r="F34" s="17"/>
      <c r="G34" s="17"/>
      <c r="H34" s="20"/>
      <c r="I34" s="17"/>
      <c r="J34" s="17"/>
      <c r="K34" s="32"/>
      <c r="L34" s="25"/>
      <c r="M34" s="25"/>
      <c r="O34" s="17"/>
      <c r="P34" s="17"/>
      <c r="Q34" s="17"/>
      <c r="R34" s="17"/>
      <c r="S34" s="17"/>
      <c r="T34" s="17"/>
      <c r="U34" s="17"/>
      <c r="V34" s="20"/>
      <c r="W34" s="17"/>
      <c r="X34" s="20"/>
      <c r="Z34" s="17"/>
      <c r="AA34" s="17"/>
      <c r="AB34" s="17"/>
      <c r="AC34" s="17"/>
      <c r="AD34" s="20"/>
      <c r="AE34" s="17"/>
      <c r="AF34" s="20"/>
    </row>
    <row r="35" spans="1:32" ht="15">
      <c r="B35" s="18" t="s">
        <v>23</v>
      </c>
      <c r="C35" s="17"/>
      <c r="D35" s="17"/>
      <c r="E35" s="17"/>
      <c r="F35" s="17"/>
      <c r="G35" s="17"/>
      <c r="I35" s="18" t="s">
        <v>7</v>
      </c>
      <c r="J35" s="17"/>
      <c r="K35" s="32"/>
      <c r="L35" s="26"/>
      <c r="M35" s="25"/>
      <c r="O35" s="18" t="s">
        <v>23</v>
      </c>
      <c r="Q35" s="17"/>
      <c r="R35" s="17"/>
      <c r="S35" s="17"/>
      <c r="T35" s="17"/>
      <c r="U35" s="17"/>
      <c r="V35" s="20"/>
      <c r="W35" s="17"/>
      <c r="X35" s="21" t="s">
        <v>8</v>
      </c>
      <c r="Z35" s="18" t="s">
        <v>23</v>
      </c>
      <c r="AB35" s="17"/>
      <c r="AC35" s="17"/>
      <c r="AD35" s="20"/>
      <c r="AE35" s="17"/>
      <c r="AF35" s="21" t="s">
        <v>8</v>
      </c>
    </row>
    <row r="36" spans="1:32" ht="37.5" customHeight="1">
      <c r="B36" s="4" t="s">
        <v>2</v>
      </c>
      <c r="C36" s="5" t="str">
        <f>C11</f>
        <v>ABP</v>
      </c>
      <c r="D36" s="5" t="str">
        <f>D11</f>
        <v>Actual</v>
      </c>
      <c r="E36" s="5" t="s">
        <v>58</v>
      </c>
      <c r="F36" s="5" t="str">
        <f>F11</f>
        <v>% ACH</v>
      </c>
      <c r="G36" s="5" t="str">
        <f>G11</f>
        <v>% Gwth over P.Y</v>
      </c>
      <c r="H36" s="2"/>
      <c r="I36" s="28" t="s">
        <v>9</v>
      </c>
      <c r="J36" s="33" t="str">
        <f>J11</f>
        <v>ABP</v>
      </c>
      <c r="K36" s="28" t="str">
        <f>K11</f>
        <v>Actual</v>
      </c>
      <c r="L36" s="28" t="str">
        <f>L11</f>
        <v>% ACH</v>
      </c>
      <c r="M36" s="28" t="str">
        <f>M11</f>
        <v>% Gwth Over P.Y</v>
      </c>
      <c r="O36" s="4" t="str">
        <f t="shared" ref="O36:X36" si="20">O11</f>
        <v>Particulars</v>
      </c>
      <c r="P36" s="5" t="str">
        <f t="shared" si="20"/>
        <v>ABP</v>
      </c>
      <c r="Q36" s="5" t="str">
        <f t="shared" si="20"/>
        <v>JAN          ( ACT)</v>
      </c>
      <c r="R36" s="5" t="str">
        <f t="shared" si="20"/>
        <v>FEB          ( ACT)</v>
      </c>
      <c r="S36" s="5" t="str">
        <f t="shared" si="20"/>
        <v>MARCH          (ACT)</v>
      </c>
      <c r="T36" s="28" t="str">
        <f t="shared" si="20"/>
        <v>Q4                 (Actual)</v>
      </c>
      <c r="U36" s="69" t="str">
        <f t="shared" si="20"/>
        <v>% ACH</v>
      </c>
      <c r="V36" s="5" t="str">
        <f t="shared" si="20"/>
        <v xml:space="preserve">PY Actual </v>
      </c>
      <c r="W36" s="28" t="str">
        <f t="shared" si="20"/>
        <v>Variance             ( ABP  Vs ACT)</v>
      </c>
      <c r="X36" s="5" t="str">
        <f t="shared" si="20"/>
        <v>%  Gwth Over L.Y (Jan -March 16)</v>
      </c>
      <c r="Z36" s="4" t="str">
        <f t="shared" ref="Z36:AF36" si="21">Z11</f>
        <v>Particulars</v>
      </c>
      <c r="AA36" s="5" t="str">
        <f t="shared" si="21"/>
        <v>ABP</v>
      </c>
      <c r="AB36" s="5" t="str">
        <f t="shared" si="21"/>
        <v>ACT 16-17</v>
      </c>
      <c r="AC36" s="69" t="str">
        <f t="shared" si="21"/>
        <v>% ACH</v>
      </c>
      <c r="AD36" s="5" t="str">
        <f t="shared" si="21"/>
        <v>PY Actual  FY  15-16</v>
      </c>
      <c r="AE36" s="28" t="str">
        <f t="shared" si="21"/>
        <v>Variance             ( ABP  Vs ACT)</v>
      </c>
      <c r="AF36" s="5" t="str">
        <f t="shared" si="21"/>
        <v>%  Gwth over L.Y</v>
      </c>
    </row>
    <row r="37" spans="1:32" ht="15.95" customHeight="1">
      <c r="B37" s="6" t="str">
        <f>B12</f>
        <v>JO SOAPS</v>
      </c>
      <c r="C37" s="347">
        <f>ABP!N27</f>
        <v>15.527638463342774</v>
      </c>
      <c r="D37" s="347">
        <f>Trends!N117</f>
        <v>14.303706521000031</v>
      </c>
      <c r="E37" s="347">
        <f>Trends!N141</f>
        <v>14.368883894999801</v>
      </c>
      <c r="F37" s="145">
        <f>IFERROR(D37/C37,0)</f>
        <v>0.92117719991792901</v>
      </c>
      <c r="G37" s="145">
        <f>IFERROR(D37/E37-1,0)</f>
        <v>-4.5360081183793977E-3</v>
      </c>
      <c r="H37" s="8"/>
      <c r="I37" s="352">
        <f>SUM(Trends!C141:N141)</f>
        <v>152.62507516732799</v>
      </c>
      <c r="J37" s="346">
        <f>SUM(ABP!C27:N27)</f>
        <v>168.76622926666664</v>
      </c>
      <c r="K37" s="346">
        <f>Trends!O117</f>
        <v>169.12052699900042</v>
      </c>
      <c r="L37" s="153">
        <f>IFERROR(K37/J37,0)</f>
        <v>1.0020993402167797</v>
      </c>
      <c r="M37" s="153">
        <f>IFERROR(K37/I37-1,0)</f>
        <v>0.10807825525122849</v>
      </c>
      <c r="O37" s="6" t="s">
        <v>109</v>
      </c>
      <c r="P37" s="352">
        <f>SUM(ABP!L27:N27)</f>
        <v>42.873512918896644</v>
      </c>
      <c r="Q37" s="347">
        <f>Trends!L117</f>
        <v>12.157227458000452</v>
      </c>
      <c r="R37" s="347">
        <f>Trends!M117</f>
        <v>13.809715752000194</v>
      </c>
      <c r="S37" s="347">
        <f>Trends!N117</f>
        <v>14.303706521000031</v>
      </c>
      <c r="T37" s="355">
        <f>Q37+R37+S37</f>
        <v>40.270649731000674</v>
      </c>
      <c r="U37" s="226">
        <f>IFERROR(T37/P37,0)</f>
        <v>0.93928971500843006</v>
      </c>
      <c r="V37" s="142">
        <f>SUM(Trends!L141:N141)</f>
        <v>38.690947482999363</v>
      </c>
      <c r="W37" s="150">
        <f>-P37+T37</f>
        <v>-2.60286318789597</v>
      </c>
      <c r="X37" s="145">
        <f>IFERROR(T37/V37-1,)</f>
        <v>4.0828729994152324E-2</v>
      </c>
      <c r="Z37" s="6" t="s">
        <v>109</v>
      </c>
      <c r="AA37" s="352">
        <f>ABP!O27</f>
        <v>168.76622926666664</v>
      </c>
      <c r="AB37" s="142">
        <f>K37</f>
        <v>169.12052699900042</v>
      </c>
      <c r="AC37" s="226">
        <f>IFERROR(AB37/AA37,0)</f>
        <v>1.0020993402167797</v>
      </c>
      <c r="AD37" s="142">
        <f>Trends!O141</f>
        <v>152.62507516732799</v>
      </c>
      <c r="AE37" s="150">
        <f>-AA37+AB37</f>
        <v>0.35429773233377659</v>
      </c>
      <c r="AF37" s="145">
        <f>IFERROR(AB37/AD37-1,)</f>
        <v>0.10807825525122849</v>
      </c>
    </row>
    <row r="38" spans="1:32" ht="15.95" customHeight="1">
      <c r="B38" s="6" t="str">
        <f>B13</f>
        <v>DOYCARE SOAPS( Base)</v>
      </c>
      <c r="C38" s="347">
        <f>ABP!N28</f>
        <v>1.210128874253567</v>
      </c>
      <c r="D38" s="347">
        <f>Trends!N118</f>
        <v>0.83279697099999994</v>
      </c>
      <c r="E38" s="347">
        <f>Trends!N142</f>
        <v>1.181446633</v>
      </c>
      <c r="F38" s="145">
        <f t="shared" ref="F38:F52" si="22">IFERROR(D38/C38,0)</f>
        <v>0.68818866214863827</v>
      </c>
      <c r="G38" s="145">
        <f t="shared" ref="G38:G52" si="23">IFERROR(D38/E38-1,0)</f>
        <v>-0.29510402946825276</v>
      </c>
      <c r="H38" s="8"/>
      <c r="I38" s="352">
        <f>SUM(Trends!C142:N142)</f>
        <v>22.048629137527847</v>
      </c>
      <c r="J38" s="346">
        <f>SUM(ABP!C28:N28)</f>
        <v>22.425408644453253</v>
      </c>
      <c r="K38" s="346">
        <f>Trends!O118</f>
        <v>17.932911183000051</v>
      </c>
      <c r="L38" s="153">
        <f t="shared" ref="L38:L52" si="24">IFERROR(K38/J38,0)</f>
        <v>0.79966931561069299</v>
      </c>
      <c r="M38" s="153">
        <f t="shared" ref="M38:M52" si="25">IFERROR(K38/I38-1,0)</f>
        <v>-0.18666548059999988</v>
      </c>
      <c r="O38" s="6" t="s">
        <v>234</v>
      </c>
      <c r="P38" s="352">
        <f>SUM(ABP!L28:N28)</f>
        <v>5.1020884607111254</v>
      </c>
      <c r="Q38" s="347">
        <f>Trends!L118</f>
        <v>1.65027951399999</v>
      </c>
      <c r="R38" s="347">
        <f>Trends!M118</f>
        <v>0.87226876200000003</v>
      </c>
      <c r="S38" s="347">
        <f>Trends!N118</f>
        <v>0.83279697099999994</v>
      </c>
      <c r="T38" s="355">
        <f t="shared" ref="T38:T52" si="26">Q38+R38+S38</f>
        <v>3.35534524699999</v>
      </c>
      <c r="U38" s="226">
        <f t="shared" ref="U38:U52" si="27">IFERROR(T38/P38,0)</f>
        <v>0.6576415271585323</v>
      </c>
      <c r="V38" s="142">
        <f>SUM(Trends!L142:N142)</f>
        <v>4.86228886700001</v>
      </c>
      <c r="W38" s="150">
        <f t="shared" ref="W38:W52" si="28">-P38+T38</f>
        <v>-1.7467432137111354</v>
      </c>
      <c r="X38" s="145">
        <f t="shared" ref="X38:X53" si="29">IFERROR(T38/V38-1,)</f>
        <v>-0.30992474145819127</v>
      </c>
      <c r="Z38" s="6" t="s">
        <v>234</v>
      </c>
      <c r="AA38" s="352">
        <f>ABP!O28</f>
        <v>22.425408644453253</v>
      </c>
      <c r="AB38" s="142">
        <f t="shared" ref="AB38:AB52" si="30">K38</f>
        <v>17.932911183000051</v>
      </c>
      <c r="AC38" s="226">
        <f t="shared" ref="AC38:AC53" si="31">IFERROR(AB38/AA38,0)</f>
        <v>0.79966931561069299</v>
      </c>
      <c r="AD38" s="142">
        <f>Trends!O142</f>
        <v>22.048629137527847</v>
      </c>
      <c r="AE38" s="150">
        <f t="shared" ref="AE38:AE52" si="32">-AA38+AB38</f>
        <v>-4.4924974614532012</v>
      </c>
      <c r="AF38" s="145">
        <f t="shared" ref="AF38:AF53" si="33">IFERROR(AB38/AD38-1,)</f>
        <v>-0.18666548059999988</v>
      </c>
    </row>
    <row r="39" spans="1:32" ht="15.95" customHeight="1">
      <c r="B39" s="6" t="s">
        <v>233</v>
      </c>
      <c r="C39" s="347">
        <f>ABP!N29</f>
        <v>0.17115587476800007</v>
      </c>
      <c r="D39" s="347">
        <f>Trends!N119</f>
        <v>0.59419999999999995</v>
      </c>
      <c r="E39" s="347"/>
      <c r="F39" s="145"/>
      <c r="G39" s="145"/>
      <c r="H39" s="8"/>
      <c r="I39" s="352"/>
      <c r="J39" s="346">
        <f>SUM(ABP!C29:N29)</f>
        <v>2.4616876656027395</v>
      </c>
      <c r="K39" s="346">
        <f>Trends!O119</f>
        <v>5.3756692210000017</v>
      </c>
      <c r="L39" s="153">
        <f t="shared" ref="L39" si="34">IFERROR(K39/J39,0)</f>
        <v>2.1837332558936877</v>
      </c>
      <c r="M39" s="153">
        <f t="shared" ref="M39" si="35">IFERROR(K39/I39-1,0)</f>
        <v>0</v>
      </c>
      <c r="O39" s="6" t="s">
        <v>233</v>
      </c>
      <c r="P39" s="352">
        <f>SUM(ABP!L29:N29)</f>
        <v>0.6272871931097318</v>
      </c>
      <c r="Q39" s="347">
        <f>Trends!L119</f>
        <v>0.93389999999999995</v>
      </c>
      <c r="R39" s="347">
        <f>Trends!M119</f>
        <v>0.73881894000000137</v>
      </c>
      <c r="S39" s="347">
        <f>Trends!N119</f>
        <v>0.59419999999999995</v>
      </c>
      <c r="T39" s="355">
        <f t="shared" si="26"/>
        <v>2.2669189400000014</v>
      </c>
      <c r="U39" s="226">
        <f t="shared" si="27"/>
        <v>3.6138454043066166</v>
      </c>
      <c r="V39" s="142"/>
      <c r="W39" s="150">
        <f t="shared" si="28"/>
        <v>1.6396317468902697</v>
      </c>
      <c r="X39" s="145">
        <f t="shared" si="29"/>
        <v>0</v>
      </c>
      <c r="Z39" s="6" t="s">
        <v>233</v>
      </c>
      <c r="AA39" s="352">
        <f>ABP!O29</f>
        <v>2.4616876656027395</v>
      </c>
      <c r="AB39" s="142">
        <f t="shared" si="30"/>
        <v>5.3756692210000017</v>
      </c>
      <c r="AC39" s="226">
        <f t="shared" si="31"/>
        <v>2.1837332558936877</v>
      </c>
      <c r="AD39" s="142"/>
      <c r="AE39" s="150">
        <f t="shared" si="32"/>
        <v>2.9139815553972621</v>
      </c>
      <c r="AF39" s="145">
        <f t="shared" si="33"/>
        <v>0</v>
      </c>
    </row>
    <row r="40" spans="1:32" ht="15.95" customHeight="1">
      <c r="B40" s="6" t="str">
        <f t="shared" ref="B40:B52" si="36">B15</f>
        <v>DOY KIDS SOAPS</v>
      </c>
      <c r="C40" s="347">
        <f>ABP!N30</f>
        <v>6.1990740740740784E-2</v>
      </c>
      <c r="D40" s="347">
        <f>Trends!N120</f>
        <v>4.4399338000000003E-2</v>
      </c>
      <c r="E40" s="347">
        <f>Trends!N143</f>
        <v>2.3988312000000001E-2</v>
      </c>
      <c r="F40" s="145">
        <f t="shared" si="22"/>
        <v>0.71622531799850586</v>
      </c>
      <c r="G40" s="145">
        <f t="shared" si="23"/>
        <v>0.8508737922034697</v>
      </c>
      <c r="H40" s="8"/>
      <c r="I40" s="352">
        <f>SUM(Trends!C143:N143)</f>
        <v>0.53097972070470056</v>
      </c>
      <c r="J40" s="346">
        <f>SUM(ABP!C30:N30)</f>
        <v>0.74388888888888904</v>
      </c>
      <c r="K40" s="346">
        <f>Trends!O120</f>
        <v>0.71521592600000028</v>
      </c>
      <c r="L40" s="153">
        <f t="shared" si="24"/>
        <v>0.96145531501120252</v>
      </c>
      <c r="M40" s="153">
        <f t="shared" si="25"/>
        <v>0.34697408980287769</v>
      </c>
      <c r="O40" s="6" t="s">
        <v>116</v>
      </c>
      <c r="P40" s="352">
        <f>SUM(ABP!L30:N30)</f>
        <v>0.18991170634920645</v>
      </c>
      <c r="Q40" s="347">
        <f>Trends!L120</f>
        <v>5.5197194000000005E-2</v>
      </c>
      <c r="R40" s="347">
        <f>Trends!M120</f>
        <v>6.8139615000000056E-2</v>
      </c>
      <c r="S40" s="347">
        <f>Trends!N120</f>
        <v>4.4399338000000003E-2</v>
      </c>
      <c r="T40" s="355">
        <f t="shared" si="26"/>
        <v>0.16773614700000006</v>
      </c>
      <c r="U40" s="226">
        <f t="shared" si="27"/>
        <v>0.88323226737571225</v>
      </c>
      <c r="V40" s="142">
        <f>SUM(Trends!L143:N143)</f>
        <v>0.10358826299999999</v>
      </c>
      <c r="W40" s="150">
        <f t="shared" si="28"/>
        <v>-2.2175559349206397E-2</v>
      </c>
      <c r="X40" s="145">
        <f t="shared" si="29"/>
        <v>0.61925822619498971</v>
      </c>
      <c r="Z40" s="6" t="s">
        <v>116</v>
      </c>
      <c r="AA40" s="352">
        <f>ABP!O30</f>
        <v>0.74388888888888904</v>
      </c>
      <c r="AB40" s="142">
        <f t="shared" si="30"/>
        <v>0.71521592600000028</v>
      </c>
      <c r="AC40" s="226">
        <f t="shared" si="31"/>
        <v>0.96145531501120252</v>
      </c>
      <c r="AD40" s="142">
        <f>Trends!O143</f>
        <v>0.53097972070470056</v>
      </c>
      <c r="AE40" s="150">
        <f t="shared" si="32"/>
        <v>-2.8672962888888764E-2</v>
      </c>
      <c r="AF40" s="145">
        <f t="shared" si="33"/>
        <v>0.34697408980287769</v>
      </c>
    </row>
    <row r="41" spans="1:32" ht="15.95" customHeight="1">
      <c r="B41" s="6" t="str">
        <f t="shared" si="36"/>
        <v>BACTERSHIELD SOAPS</v>
      </c>
      <c r="C41" s="347">
        <f>ABP!N31</f>
        <v>0.63978216718266245</v>
      </c>
      <c r="D41" s="347">
        <f>Trends!N121</f>
        <v>0.24653269400000055</v>
      </c>
      <c r="E41" s="347">
        <f>Trends!N144</f>
        <v>0.39855144600000197</v>
      </c>
      <c r="F41" s="145">
        <f t="shared" si="22"/>
        <v>0.38533848963879247</v>
      </c>
      <c r="G41" s="145">
        <f t="shared" si="23"/>
        <v>-0.38142817828341458</v>
      </c>
      <c r="H41" s="8"/>
      <c r="I41" s="352">
        <f>SUM(Trends!C144:N144)</f>
        <v>6.2080756623689259</v>
      </c>
      <c r="J41" s="346">
        <f>SUM(ABP!C31:N31)</f>
        <v>7.2935167058823538</v>
      </c>
      <c r="K41" s="346">
        <f>Trends!O121</f>
        <v>4.0615021280000105</v>
      </c>
      <c r="L41" s="153">
        <f t="shared" si="24"/>
        <v>0.55686471859649478</v>
      </c>
      <c r="M41" s="153">
        <f t="shared" si="25"/>
        <v>-0.34577116180794243</v>
      </c>
      <c r="O41" s="6" t="s">
        <v>111</v>
      </c>
      <c r="P41" s="352">
        <f>SUM(ABP!L31:N31)</f>
        <v>1.8127161403508769</v>
      </c>
      <c r="Q41" s="347">
        <f>Trends!L121</f>
        <v>0.43284041000000173</v>
      </c>
      <c r="R41" s="347">
        <f>Trends!M121</f>
        <v>0.28885162600000081</v>
      </c>
      <c r="S41" s="347">
        <f>Trends!N121</f>
        <v>0.24653269400000055</v>
      </c>
      <c r="T41" s="355">
        <f t="shared" si="26"/>
        <v>0.96822473000000309</v>
      </c>
      <c r="U41" s="226">
        <f t="shared" si="27"/>
        <v>0.534129259649329</v>
      </c>
      <c r="V41" s="142">
        <f>SUM(Trends!L144:N144)</f>
        <v>1.3701812280000027</v>
      </c>
      <c r="W41" s="150">
        <f t="shared" si="28"/>
        <v>-0.84449141035087383</v>
      </c>
      <c r="X41" s="145">
        <f t="shared" si="29"/>
        <v>-0.29336009703382016</v>
      </c>
      <c r="Z41" s="6" t="s">
        <v>111</v>
      </c>
      <c r="AA41" s="352">
        <f>ABP!O31</f>
        <v>7.2935167058823538</v>
      </c>
      <c r="AB41" s="142">
        <f t="shared" si="30"/>
        <v>4.0615021280000105</v>
      </c>
      <c r="AC41" s="226">
        <f t="shared" si="31"/>
        <v>0.55686471859649478</v>
      </c>
      <c r="AD41" s="142">
        <f>Trends!O144</f>
        <v>6.2080756623689259</v>
      </c>
      <c r="AE41" s="150">
        <f t="shared" si="32"/>
        <v>-3.2320145778823433</v>
      </c>
      <c r="AF41" s="145">
        <f t="shared" si="33"/>
        <v>-0.34577116180794243</v>
      </c>
    </row>
    <row r="42" spans="1:32" ht="15.95" customHeight="1">
      <c r="B42" s="6" t="str">
        <f t="shared" si="36"/>
        <v>DOY TRANSPARENT SOAPS</v>
      </c>
      <c r="C42" s="347">
        <f>ABP!N32</f>
        <v>0.15431509333333335</v>
      </c>
      <c r="D42" s="347">
        <f>Trends!N122</f>
        <v>9.2073440000000048E-2</v>
      </c>
      <c r="E42" s="347">
        <f>Trends!N145</f>
        <v>0.13940019400000001</v>
      </c>
      <c r="F42" s="145">
        <f t="shared" si="22"/>
        <v>0.59665868069764127</v>
      </c>
      <c r="G42" s="145">
        <f t="shared" si="23"/>
        <v>-0.33950278433615344</v>
      </c>
      <c r="H42" s="8"/>
      <c r="I42" s="352">
        <f>SUM(Trends!C145:N145)</f>
        <v>1.8214377378861941</v>
      </c>
      <c r="J42" s="346">
        <f>SUM(ABP!C32:N32)</f>
        <v>3.9681023999999998</v>
      </c>
      <c r="K42" s="346">
        <f>Trends!O122</f>
        <v>4.6434535019999936</v>
      </c>
      <c r="L42" s="153">
        <f t="shared" si="24"/>
        <v>1.170194978335235</v>
      </c>
      <c r="M42" s="153">
        <f t="shared" si="25"/>
        <v>1.5493341910159342</v>
      </c>
      <c r="O42" s="6" t="s">
        <v>113</v>
      </c>
      <c r="P42" s="352">
        <f>SUM(ABP!L32:N32)</f>
        <v>0.96998058666666676</v>
      </c>
      <c r="Q42" s="347">
        <f>Trends!L122</f>
        <v>0.57412402600000023</v>
      </c>
      <c r="R42" s="347">
        <f>Trends!M122</f>
        <v>0.26742156999999855</v>
      </c>
      <c r="S42" s="347">
        <f>Trends!N122</f>
        <v>9.2073440000000048E-2</v>
      </c>
      <c r="T42" s="355">
        <f t="shared" si="26"/>
        <v>0.93361903599999885</v>
      </c>
      <c r="U42" s="226">
        <f t="shared" si="27"/>
        <v>0.96251311503911208</v>
      </c>
      <c r="V42" s="142">
        <f>SUM(Trends!L145:N145)</f>
        <v>0.90149579999999985</v>
      </c>
      <c r="W42" s="150">
        <f t="shared" si="28"/>
        <v>-3.6361550666667908E-2</v>
      </c>
      <c r="X42" s="145">
        <f t="shared" si="29"/>
        <v>3.5633261963060825E-2</v>
      </c>
      <c r="Z42" s="6" t="s">
        <v>113</v>
      </c>
      <c r="AA42" s="352">
        <f>ABP!O32</f>
        <v>3.9681023999999998</v>
      </c>
      <c r="AB42" s="142">
        <f t="shared" si="30"/>
        <v>4.6434535019999936</v>
      </c>
      <c r="AC42" s="226">
        <f t="shared" si="31"/>
        <v>1.170194978335235</v>
      </c>
      <c r="AD42" s="142">
        <f>Trends!O145</f>
        <v>1.8214377378861941</v>
      </c>
      <c r="AE42" s="150">
        <f t="shared" si="32"/>
        <v>0.67535110199999382</v>
      </c>
      <c r="AF42" s="145">
        <f t="shared" si="33"/>
        <v>1.5493341910159342</v>
      </c>
    </row>
    <row r="43" spans="1:32" ht="15.95" customHeight="1">
      <c r="B43" s="6" t="str">
        <f t="shared" si="36"/>
        <v>JO HD</v>
      </c>
      <c r="C43" s="347">
        <f>ABP!N33</f>
        <v>0</v>
      </c>
      <c r="D43" s="347">
        <f>Trends!N123</f>
        <v>0</v>
      </c>
      <c r="E43" s="347"/>
      <c r="F43" s="145">
        <f t="shared" si="22"/>
        <v>0</v>
      </c>
      <c r="G43" s="145">
        <f t="shared" si="23"/>
        <v>0</v>
      </c>
      <c r="H43" s="8"/>
      <c r="I43" s="352">
        <f>SUM(Trends!C147:N147)</f>
        <v>1.5040473143939243E-2</v>
      </c>
      <c r="J43" s="346">
        <f>SUM(ABP!C33:N33)</f>
        <v>0</v>
      </c>
      <c r="K43" s="346">
        <f>Trends!O123</f>
        <v>0</v>
      </c>
      <c r="L43" s="153">
        <f t="shared" si="24"/>
        <v>0</v>
      </c>
      <c r="M43" s="153">
        <f t="shared" si="25"/>
        <v>-1</v>
      </c>
      <c r="O43" s="6" t="s">
        <v>19</v>
      </c>
      <c r="P43" s="352">
        <f>SUM(ABP!L33:N33)</f>
        <v>0</v>
      </c>
      <c r="Q43" s="347">
        <f>Trends!L123</f>
        <v>0</v>
      </c>
      <c r="R43" s="347">
        <f>Trends!M123</f>
        <v>0</v>
      </c>
      <c r="S43" s="347">
        <f>Trends!N123</f>
        <v>0</v>
      </c>
      <c r="T43" s="355">
        <f t="shared" si="26"/>
        <v>0</v>
      </c>
      <c r="U43" s="226">
        <f t="shared" si="27"/>
        <v>0</v>
      </c>
      <c r="V43" s="142"/>
      <c r="W43" s="150">
        <f t="shared" si="28"/>
        <v>0</v>
      </c>
      <c r="X43" s="145">
        <f t="shared" si="29"/>
        <v>0</v>
      </c>
      <c r="Z43" s="6" t="s">
        <v>19</v>
      </c>
      <c r="AA43" s="352">
        <f>ABP!O33</f>
        <v>0</v>
      </c>
      <c r="AB43" s="142">
        <f t="shared" si="30"/>
        <v>0</v>
      </c>
      <c r="AC43" s="226">
        <f t="shared" si="31"/>
        <v>0</v>
      </c>
      <c r="AD43" s="142">
        <f>Trends!O146</f>
        <v>1.5937290306409977E-2</v>
      </c>
      <c r="AE43" s="150">
        <f t="shared" si="32"/>
        <v>0</v>
      </c>
      <c r="AF43" s="145">
        <f t="shared" si="33"/>
        <v>-1</v>
      </c>
    </row>
    <row r="44" spans="1:32" ht="15.95" customHeight="1">
      <c r="B44" s="6" t="str">
        <f t="shared" si="36"/>
        <v>JO MEHENDI</v>
      </c>
      <c r="C44" s="347">
        <f>ABP!N34</f>
        <v>0</v>
      </c>
      <c r="D44" s="347">
        <f>Trends!N124</f>
        <v>0</v>
      </c>
      <c r="E44" s="347">
        <f>Trends!N146</f>
        <v>7.3893000000000006E-5</v>
      </c>
      <c r="F44" s="145">
        <f t="shared" si="22"/>
        <v>0</v>
      </c>
      <c r="G44" s="145">
        <f t="shared" si="23"/>
        <v>-1</v>
      </c>
      <c r="H44" s="8"/>
      <c r="I44" s="352">
        <f>SUM(Trends!C146:N146)</f>
        <v>1.5937290306409977E-2</v>
      </c>
      <c r="J44" s="346">
        <f>SUM(ABP!C34:N34)</f>
        <v>0.1171</v>
      </c>
      <c r="K44" s="346">
        <f>Trends!O124</f>
        <v>1.4883399999999998E-4</v>
      </c>
      <c r="L44" s="153">
        <f t="shared" si="24"/>
        <v>1.2709991460290349E-3</v>
      </c>
      <c r="M44" s="153">
        <f t="shared" si="25"/>
        <v>-0.9906612732065162</v>
      </c>
      <c r="O44" s="6" t="s">
        <v>154</v>
      </c>
      <c r="P44" s="352">
        <f>SUM(ABP!L34:N34)</f>
        <v>2.3420000000000003E-2</v>
      </c>
      <c r="Q44" s="347">
        <f>Trends!L124</f>
        <v>0</v>
      </c>
      <c r="R44" s="347">
        <f>Trends!M124</f>
        <v>0</v>
      </c>
      <c r="S44" s="347">
        <f>Trends!N124</f>
        <v>0</v>
      </c>
      <c r="T44" s="355">
        <f t="shared" si="26"/>
        <v>0</v>
      </c>
      <c r="U44" s="226">
        <f t="shared" si="27"/>
        <v>0</v>
      </c>
      <c r="V44" s="142">
        <f>SUM(Trends!L146:N146)</f>
        <v>2.9557199999999997E-4</v>
      </c>
      <c r="W44" s="150">
        <f t="shared" si="28"/>
        <v>-2.3420000000000003E-2</v>
      </c>
      <c r="X44" s="145">
        <f t="shared" si="29"/>
        <v>-1</v>
      </c>
      <c r="Z44" s="6" t="s">
        <v>154</v>
      </c>
      <c r="AA44" s="352">
        <f>ABP!O34</f>
        <v>0.1171</v>
      </c>
      <c r="AB44" s="142">
        <f t="shared" si="30"/>
        <v>1.4883399999999998E-4</v>
      </c>
      <c r="AC44" s="226">
        <f t="shared" si="31"/>
        <v>1.2709991460290349E-3</v>
      </c>
      <c r="AD44" s="142">
        <f>Trends!O147</f>
        <v>1.5040473143939243E-2</v>
      </c>
      <c r="AE44" s="150">
        <f t="shared" si="32"/>
        <v>-0.116951166</v>
      </c>
      <c r="AF44" s="145">
        <f t="shared" si="33"/>
        <v>-0.99010443364542855</v>
      </c>
    </row>
    <row r="45" spans="1:32" ht="15.95" customHeight="1">
      <c r="B45" s="6" t="str">
        <f t="shared" si="36"/>
        <v>DOYCARE  FACEWASH</v>
      </c>
      <c r="C45" s="347">
        <f>ABP!N35</f>
        <v>7.4862346278317157E-2</v>
      </c>
      <c r="D45" s="347">
        <f>Trends!N125</f>
        <v>6.7503625000000012E-2</v>
      </c>
      <c r="E45" s="347">
        <f>Trends!N148</f>
        <v>0.108868752</v>
      </c>
      <c r="F45" s="145">
        <f t="shared" si="22"/>
        <v>0.90170330420904132</v>
      </c>
      <c r="G45" s="145">
        <f t="shared" si="23"/>
        <v>-0.37995408452923196</v>
      </c>
      <c r="H45" s="8"/>
      <c r="I45" s="352">
        <f>SUM(Trends!C148:N148)</f>
        <v>2.0220117087657794</v>
      </c>
      <c r="J45" s="346">
        <f>SUM(ABP!C35:N35)</f>
        <v>0.89834815533980572</v>
      </c>
      <c r="K45" s="346">
        <f>Trends!O125</f>
        <v>1.3025373759999999</v>
      </c>
      <c r="L45" s="153">
        <f t="shared" si="24"/>
        <v>1.4499249185938463</v>
      </c>
      <c r="M45" s="153">
        <f t="shared" si="25"/>
        <v>-0.35582105170149647</v>
      </c>
      <c r="O45" s="6" t="s">
        <v>112</v>
      </c>
      <c r="P45" s="352">
        <f>SUM(ABP!L35:N35)</f>
        <v>0.22458703883495146</v>
      </c>
      <c r="Q45" s="347">
        <f>Trends!L125</f>
        <v>0.12118459099999973</v>
      </c>
      <c r="R45" s="347">
        <f>Trends!M125</f>
        <v>6.876002900000007E-2</v>
      </c>
      <c r="S45" s="347">
        <f>Trends!N125</f>
        <v>6.7503625000000012E-2</v>
      </c>
      <c r="T45" s="355">
        <f t="shared" si="26"/>
        <v>0.2574482449999998</v>
      </c>
      <c r="U45" s="226">
        <f t="shared" si="27"/>
        <v>1.1463183553935985</v>
      </c>
      <c r="V45" s="142">
        <f>SUM(Trends!L148:N148)</f>
        <v>0.27325880199999997</v>
      </c>
      <c r="W45" s="150">
        <f t="shared" si="28"/>
        <v>3.286120616504834E-2</v>
      </c>
      <c r="X45" s="145">
        <f>IFERROR(T45/#REF!-1,)</f>
        <v>0</v>
      </c>
      <c r="Z45" s="6" t="s">
        <v>112</v>
      </c>
      <c r="AA45" s="352">
        <f>ABP!O35</f>
        <v>0.89834815533980572</v>
      </c>
      <c r="AB45" s="142">
        <f t="shared" si="30"/>
        <v>1.3025373759999999</v>
      </c>
      <c r="AC45" s="226">
        <f t="shared" si="31"/>
        <v>1.4499249185938463</v>
      </c>
      <c r="AD45" s="142">
        <f>Trends!O148</f>
        <v>2.0220117087657794</v>
      </c>
      <c r="AE45" s="150">
        <f t="shared" si="32"/>
        <v>0.40418922066019414</v>
      </c>
      <c r="AF45" s="145">
        <f t="shared" si="33"/>
        <v>-0.35582105170149647</v>
      </c>
    </row>
    <row r="46" spans="1:32" ht="15.95" customHeight="1">
      <c r="B46" s="6" t="str">
        <f t="shared" si="36"/>
        <v>BACTERSHIELD HW</v>
      </c>
      <c r="C46" s="347">
        <f>ABP!N36</f>
        <v>0.3607505091134065</v>
      </c>
      <c r="D46" s="347">
        <f>Trends!N126</f>
        <v>0.18019817600000046</v>
      </c>
      <c r="E46" s="347">
        <f>Trends!N149</f>
        <v>0.27919801599999999</v>
      </c>
      <c r="F46" s="145">
        <f t="shared" si="22"/>
        <v>0.49950913844269274</v>
      </c>
      <c r="G46" s="145">
        <f t="shared" si="23"/>
        <v>-0.35458647385230535</v>
      </c>
      <c r="H46" s="8"/>
      <c r="I46" s="352">
        <f>SUM(Trends!C149:N149)</f>
        <v>4.3024301875284046</v>
      </c>
      <c r="J46" s="346">
        <f>SUM(ABP!C36:N36)</f>
        <v>4.4526919981997608</v>
      </c>
      <c r="K46" s="346">
        <f>Trends!O126</f>
        <v>2.480813788000003</v>
      </c>
      <c r="L46" s="153">
        <f t="shared" si="24"/>
        <v>0.55714920075383723</v>
      </c>
      <c r="M46" s="153">
        <f t="shared" si="25"/>
        <v>-0.4233924363976389</v>
      </c>
      <c r="O46" s="6" t="s">
        <v>18</v>
      </c>
      <c r="P46" s="352">
        <f>SUM(ABP!L36:N36)</f>
        <v>1.1337873143564206</v>
      </c>
      <c r="Q46" s="347">
        <f>Trends!L126</f>
        <v>0.15448094100000032</v>
      </c>
      <c r="R46" s="347">
        <f>Trends!M126</f>
        <v>0.12880462900000011</v>
      </c>
      <c r="S46" s="347">
        <f>Trends!N126</f>
        <v>0.18019817600000046</v>
      </c>
      <c r="T46" s="355">
        <f t="shared" si="26"/>
        <v>0.46348374600000086</v>
      </c>
      <c r="U46" s="226">
        <f t="shared" si="27"/>
        <v>0.40879249585103294</v>
      </c>
      <c r="V46" s="142">
        <f>SUM(Trends!L149:N149)</f>
        <v>1.180494686000001</v>
      </c>
      <c r="W46" s="150">
        <f t="shared" si="28"/>
        <v>-0.67030356835641969</v>
      </c>
      <c r="X46" s="145">
        <f>IFERROR(T46/V45-1,)</f>
        <v>0.69613473603679532</v>
      </c>
      <c r="Z46" s="6" t="s">
        <v>18</v>
      </c>
      <c r="AA46" s="352">
        <f>ABP!O36</f>
        <v>4.4526919981997608</v>
      </c>
      <c r="AB46" s="142">
        <f t="shared" si="30"/>
        <v>2.480813788000003</v>
      </c>
      <c r="AC46" s="226">
        <f t="shared" si="31"/>
        <v>0.55714920075383723</v>
      </c>
      <c r="AD46" s="142">
        <f>Trends!O149</f>
        <v>4.3024301875284046</v>
      </c>
      <c r="AE46" s="150">
        <f t="shared" si="32"/>
        <v>-1.9718782101997578</v>
      </c>
      <c r="AF46" s="145">
        <f t="shared" si="33"/>
        <v>-0.4233924363976389</v>
      </c>
    </row>
    <row r="47" spans="1:32" ht="15.95" customHeight="1">
      <c r="B47" s="6" t="str">
        <f t="shared" si="36"/>
        <v>TRUTH SOAPS</v>
      </c>
      <c r="C47" s="347">
        <f>ABP!N37</f>
        <v>0.25716666666666665</v>
      </c>
      <c r="D47" s="347">
        <f>Trends!N127</f>
        <v>0</v>
      </c>
      <c r="E47" s="347"/>
      <c r="F47" s="145">
        <f t="shared" si="22"/>
        <v>0</v>
      </c>
      <c r="G47" s="145">
        <f t="shared" si="23"/>
        <v>0</v>
      </c>
      <c r="H47" s="8"/>
      <c r="I47" s="352"/>
      <c r="J47" s="346">
        <f>SUM(ABP!C37:N37)</f>
        <v>1.5429999999999997</v>
      </c>
      <c r="K47" s="346">
        <f>Trends!O127</f>
        <v>0</v>
      </c>
      <c r="L47" s="153">
        <f t="shared" si="24"/>
        <v>0</v>
      </c>
      <c r="M47" s="153">
        <f t="shared" si="25"/>
        <v>0</v>
      </c>
      <c r="O47" s="6" t="s">
        <v>163</v>
      </c>
      <c r="P47" s="352">
        <f>SUM(ABP!L37:N37)</f>
        <v>0.77149999999999996</v>
      </c>
      <c r="Q47" s="347">
        <f>Trends!L127</f>
        <v>0</v>
      </c>
      <c r="R47" s="347">
        <f>Trends!M127</f>
        <v>0</v>
      </c>
      <c r="S47" s="347">
        <f>Trends!N127</f>
        <v>0</v>
      </c>
      <c r="T47" s="355">
        <f t="shared" si="26"/>
        <v>0</v>
      </c>
      <c r="U47" s="226">
        <f t="shared" si="27"/>
        <v>0</v>
      </c>
      <c r="W47" s="150">
        <f t="shared" si="28"/>
        <v>-0.77149999999999996</v>
      </c>
      <c r="X47" s="145">
        <f>IFERROR(T47/V52-1,)</f>
        <v>-1</v>
      </c>
      <c r="Z47" s="6" t="s">
        <v>163</v>
      </c>
      <c r="AA47" s="352">
        <f>ABP!O37</f>
        <v>1.5429999999999997</v>
      </c>
      <c r="AB47" s="142">
        <f t="shared" si="30"/>
        <v>0</v>
      </c>
      <c r="AC47" s="226">
        <f t="shared" si="31"/>
        <v>0</v>
      </c>
      <c r="AD47" s="142"/>
      <c r="AE47" s="150">
        <f t="shared" si="32"/>
        <v>-1.5429999999999997</v>
      </c>
      <c r="AF47" s="145">
        <f t="shared" si="33"/>
        <v>0</v>
      </c>
    </row>
    <row r="48" spans="1:32" ht="15.95" customHeight="1">
      <c r="B48" s="6" t="str">
        <f t="shared" si="36"/>
        <v>TRUTH LIQUIDS</v>
      </c>
      <c r="C48" s="347">
        <f>ABP!N38</f>
        <v>4.6844641666666666E-2</v>
      </c>
      <c r="D48" s="347">
        <f>Trends!N128</f>
        <v>0</v>
      </c>
      <c r="E48" s="347"/>
      <c r="F48" s="145">
        <f t="shared" si="22"/>
        <v>0</v>
      </c>
      <c r="G48" s="145">
        <f t="shared" si="23"/>
        <v>0</v>
      </c>
      <c r="H48" s="8"/>
      <c r="I48" s="352"/>
      <c r="J48" s="346">
        <f>SUM(ABP!C38:N38)</f>
        <v>0.28106785000000001</v>
      </c>
      <c r="K48" s="346">
        <f>Trends!O128</f>
        <v>0</v>
      </c>
      <c r="L48" s="153">
        <f t="shared" si="24"/>
        <v>0</v>
      </c>
      <c r="M48" s="153">
        <f t="shared" si="25"/>
        <v>0</v>
      </c>
      <c r="O48" s="6" t="s">
        <v>164</v>
      </c>
      <c r="P48" s="352">
        <f>SUM(ABP!L38:N38)</f>
        <v>0.140533925</v>
      </c>
      <c r="Q48" s="347">
        <f>Trends!L128</f>
        <v>0</v>
      </c>
      <c r="R48" s="347">
        <f>Trends!M128</f>
        <v>0</v>
      </c>
      <c r="S48" s="347">
        <f>Trends!N128</f>
        <v>0</v>
      </c>
      <c r="T48" s="355">
        <f t="shared" si="26"/>
        <v>0</v>
      </c>
      <c r="U48" s="226">
        <f t="shared" si="27"/>
        <v>0</v>
      </c>
      <c r="V48" s="142"/>
      <c r="W48" s="150">
        <f t="shared" si="28"/>
        <v>-0.140533925</v>
      </c>
      <c r="X48" s="145">
        <f t="shared" si="29"/>
        <v>0</v>
      </c>
      <c r="Z48" s="6" t="s">
        <v>164</v>
      </c>
      <c r="AA48" s="352">
        <f>ABP!O38</f>
        <v>0.28106785000000001</v>
      </c>
      <c r="AB48" s="142">
        <f t="shared" si="30"/>
        <v>0</v>
      </c>
      <c r="AC48" s="226">
        <f t="shared" si="31"/>
        <v>0</v>
      </c>
      <c r="AD48" s="142"/>
      <c r="AE48" s="150">
        <f t="shared" si="32"/>
        <v>-0.28106785000000001</v>
      </c>
      <c r="AF48" s="145">
        <f t="shared" si="33"/>
        <v>0</v>
      </c>
    </row>
    <row r="49" spans="2:32" ht="15.95" customHeight="1">
      <c r="B49" s="6" t="str">
        <f t="shared" si="36"/>
        <v>DOYCARE LIQUIDS</v>
      </c>
      <c r="C49" s="347">
        <f>ABP!N39</f>
        <v>1.7737002777777774E-2</v>
      </c>
      <c r="D49" s="347">
        <f>Trends!N129</f>
        <v>0</v>
      </c>
      <c r="E49" s="347"/>
      <c r="F49" s="145">
        <f t="shared" si="22"/>
        <v>0</v>
      </c>
      <c r="G49" s="145">
        <f t="shared" si="23"/>
        <v>0</v>
      </c>
      <c r="H49" s="8"/>
      <c r="I49" s="352"/>
      <c r="J49" s="346">
        <f>SUM(ABP!C39:N39)</f>
        <v>0.15963302499999998</v>
      </c>
      <c r="K49" s="346">
        <f>Trends!O129</f>
        <v>0</v>
      </c>
      <c r="L49" s="153">
        <f t="shared" si="24"/>
        <v>0</v>
      </c>
      <c r="M49" s="153">
        <f t="shared" si="25"/>
        <v>0</v>
      </c>
      <c r="O49" s="6" t="s">
        <v>165</v>
      </c>
      <c r="P49" s="352">
        <f>SUM(ABP!L39:N39)</f>
        <v>5.3211008333333323E-2</v>
      </c>
      <c r="Q49" s="347">
        <f>Trends!L129</f>
        <v>0</v>
      </c>
      <c r="R49" s="347">
        <f>Trends!M129</f>
        <v>0</v>
      </c>
      <c r="S49" s="347">
        <f>Trends!N129</f>
        <v>0</v>
      </c>
      <c r="T49" s="355">
        <f t="shared" si="26"/>
        <v>0</v>
      </c>
      <c r="U49" s="226">
        <f t="shared" si="27"/>
        <v>0</v>
      </c>
      <c r="V49" s="142"/>
      <c r="W49" s="150">
        <f t="shared" si="28"/>
        <v>-5.3211008333333323E-2</v>
      </c>
      <c r="X49" s="145">
        <f t="shared" si="29"/>
        <v>0</v>
      </c>
      <c r="Z49" s="6" t="s">
        <v>165</v>
      </c>
      <c r="AA49" s="352">
        <f>ABP!O39</f>
        <v>0.15963302499999998</v>
      </c>
      <c r="AB49" s="142">
        <f t="shared" si="30"/>
        <v>0</v>
      </c>
      <c r="AC49" s="226">
        <f t="shared" si="31"/>
        <v>0</v>
      </c>
      <c r="AD49" s="142"/>
      <c r="AE49" s="150">
        <f t="shared" si="32"/>
        <v>-0.15963302499999998</v>
      </c>
      <c r="AF49" s="145">
        <f t="shared" si="33"/>
        <v>0</v>
      </c>
    </row>
    <row r="50" spans="2:32" ht="15.95" customHeight="1">
      <c r="B50" s="6" t="str">
        <f t="shared" si="36"/>
        <v>DOY KIDS LIQUIDS</v>
      </c>
      <c r="C50" s="347">
        <f>ABP!N40</f>
        <v>8.922788888888887E-3</v>
      </c>
      <c r="D50" s="347">
        <f>Trends!N130</f>
        <v>0</v>
      </c>
      <c r="E50" s="347"/>
      <c r="F50" s="145">
        <f t="shared" si="22"/>
        <v>0</v>
      </c>
      <c r="G50" s="145">
        <f t="shared" si="23"/>
        <v>0</v>
      </c>
      <c r="H50" s="8"/>
      <c r="I50" s="352"/>
      <c r="J50" s="346">
        <f>SUM(ABP!C40:N40)</f>
        <v>8.030509999999999E-2</v>
      </c>
      <c r="K50" s="346">
        <f>Trends!O130</f>
        <v>0</v>
      </c>
      <c r="L50" s="153">
        <f t="shared" si="24"/>
        <v>0</v>
      </c>
      <c r="M50" s="153">
        <f t="shared" si="25"/>
        <v>0</v>
      </c>
      <c r="O50" s="6" t="s">
        <v>166</v>
      </c>
      <c r="P50" s="352">
        <f>SUM(ABP!L40:N40)</f>
        <v>2.6768366666666661E-2</v>
      </c>
      <c r="Q50" s="347">
        <f>Trends!L130</f>
        <v>0</v>
      </c>
      <c r="R50" s="347">
        <f>Trends!M130</f>
        <v>0</v>
      </c>
      <c r="S50" s="347">
        <f>Trends!N130</f>
        <v>0</v>
      </c>
      <c r="T50" s="355">
        <f t="shared" si="26"/>
        <v>0</v>
      </c>
      <c r="U50" s="226">
        <f t="shared" si="27"/>
        <v>0</v>
      </c>
      <c r="V50" s="142"/>
      <c r="W50" s="150">
        <f t="shared" si="28"/>
        <v>-2.6768366666666661E-2</v>
      </c>
      <c r="X50" s="145">
        <f t="shared" si="29"/>
        <v>0</v>
      </c>
      <c r="Z50" s="6" t="s">
        <v>166</v>
      </c>
      <c r="AA50" s="352">
        <f>ABP!O40</f>
        <v>8.030509999999999E-2</v>
      </c>
      <c r="AB50" s="142">
        <f t="shared" si="30"/>
        <v>0</v>
      </c>
      <c r="AC50" s="226">
        <f t="shared" si="31"/>
        <v>0</v>
      </c>
      <c r="AD50" s="142"/>
      <c r="AE50" s="150">
        <f t="shared" si="32"/>
        <v>-8.030509999999999E-2</v>
      </c>
      <c r="AF50" s="145">
        <f t="shared" si="33"/>
        <v>0</v>
      </c>
    </row>
    <row r="51" spans="2:32" ht="15.95" customHeight="1">
      <c r="B51" s="6" t="str">
        <f t="shared" si="36"/>
        <v>BS HAND SANITIZER</v>
      </c>
      <c r="C51" s="347">
        <f>ABP!N41</f>
        <v>1.8964365256124723E-2</v>
      </c>
      <c r="D51" s="347">
        <f>Trends!N131</f>
        <v>3.2405979999999999E-3</v>
      </c>
      <c r="E51" s="347"/>
      <c r="F51" s="145">
        <f t="shared" si="22"/>
        <v>0.1708782738696418</v>
      </c>
      <c r="G51" s="145">
        <f t="shared" si="23"/>
        <v>0</v>
      </c>
      <c r="H51" s="8"/>
      <c r="I51" s="352"/>
      <c r="J51" s="346">
        <f>SUM(ABP!C41:N41)</f>
        <v>0.22757238307349661</v>
      </c>
      <c r="K51" s="346">
        <f>Trends!O131</f>
        <v>7.6889469000000002E-2</v>
      </c>
      <c r="L51" s="153">
        <f t="shared" si="24"/>
        <v>0.33786818928361723</v>
      </c>
      <c r="M51" s="153">
        <f t="shared" si="25"/>
        <v>0</v>
      </c>
      <c r="O51" s="6" t="s">
        <v>167</v>
      </c>
      <c r="P51" s="352">
        <f>SUM(ABP!L41:N41)</f>
        <v>5.6893095768374168E-2</v>
      </c>
      <c r="Q51" s="347">
        <f>Trends!L131</f>
        <v>1.7560723999999996E-2</v>
      </c>
      <c r="R51" s="347">
        <f>Trends!M131</f>
        <v>2.3268015999999996E-2</v>
      </c>
      <c r="S51" s="347">
        <f>Trends!N131</f>
        <v>3.2405979999999999E-3</v>
      </c>
      <c r="T51" s="355">
        <f t="shared" si="26"/>
        <v>4.4069337999999986E-2</v>
      </c>
      <c r="U51" s="226">
        <f t="shared" si="27"/>
        <v>0.77459905116461114</v>
      </c>
      <c r="V51" s="142"/>
      <c r="W51" s="150">
        <f t="shared" si="28"/>
        <v>-1.2823757768374182E-2</v>
      </c>
      <c r="X51" s="145">
        <f t="shared" si="29"/>
        <v>0</v>
      </c>
      <c r="Z51" s="6" t="s">
        <v>167</v>
      </c>
      <c r="AA51" s="352">
        <f>ABP!O41</f>
        <v>0.22757238307349661</v>
      </c>
      <c r="AB51" s="142">
        <f t="shared" si="30"/>
        <v>7.6889469000000002E-2</v>
      </c>
      <c r="AC51" s="226">
        <f t="shared" si="31"/>
        <v>0.33786818928361723</v>
      </c>
      <c r="AD51" s="142"/>
      <c r="AE51" s="150">
        <f t="shared" si="32"/>
        <v>-0.1506829140734966</v>
      </c>
      <c r="AF51" s="145">
        <f t="shared" si="33"/>
        <v>0</v>
      </c>
    </row>
    <row r="52" spans="2:32" ht="15.95" customHeight="1">
      <c r="B52" s="6" t="str">
        <f t="shared" si="36"/>
        <v>INST BUSINESS</v>
      </c>
      <c r="C52" s="347">
        <f>ABP!N42</f>
        <v>2.2548333333333337E-2</v>
      </c>
      <c r="D52" s="347">
        <f>Trends!N132</f>
        <v>2.2069120000000005E-2</v>
      </c>
      <c r="E52" s="347">
        <f>Trends!N150</f>
        <v>5.9744000000000004E-3</v>
      </c>
      <c r="F52" s="145">
        <f t="shared" si="22"/>
        <v>0.97874728361297958</v>
      </c>
      <c r="G52" s="145">
        <f t="shared" si="23"/>
        <v>2.6939475093733267</v>
      </c>
      <c r="H52" s="8"/>
      <c r="I52" s="352">
        <f>SUM(Trends!C150:N150)</f>
        <v>2.1867080000000001E-2</v>
      </c>
      <c r="J52" s="346">
        <f>SUM(ABP!C42:N42)</f>
        <v>0.27058000000000004</v>
      </c>
      <c r="K52" s="346">
        <f>Trends!O132</f>
        <v>0.12949742</v>
      </c>
      <c r="L52" s="153">
        <f t="shared" si="24"/>
        <v>0.4785919875822307</v>
      </c>
      <c r="M52" s="153">
        <f t="shared" si="25"/>
        <v>4.9220261690175366</v>
      </c>
      <c r="O52" s="6" t="s">
        <v>159</v>
      </c>
      <c r="P52" s="352">
        <f>SUM(ABP!L42:N42)</f>
        <v>6.7645000000000011E-2</v>
      </c>
      <c r="Q52" s="347">
        <f>Trends!L132</f>
        <v>1.881466E-2</v>
      </c>
      <c r="R52" s="347">
        <f>Trends!M132</f>
        <v>1.9667560000000001E-2</v>
      </c>
      <c r="S52" s="347">
        <f>Trends!N132</f>
        <v>2.2069120000000005E-2</v>
      </c>
      <c r="T52" s="355">
        <f t="shared" si="26"/>
        <v>6.0551340000000002E-2</v>
      </c>
      <c r="U52" s="226">
        <f t="shared" si="27"/>
        <v>0.89513400842634328</v>
      </c>
      <c r="V52" s="142">
        <f>SUM(Trends!L150:N150)</f>
        <v>2.1867080000000001E-2</v>
      </c>
      <c r="W52" s="150">
        <f t="shared" si="28"/>
        <v>-7.0936600000000086E-3</v>
      </c>
      <c r="X52" s="145">
        <f>IFERROR(T52/#REF!-1,)</f>
        <v>0</v>
      </c>
      <c r="Z52" s="6" t="s">
        <v>159</v>
      </c>
      <c r="AA52" s="352">
        <f>ABP!O42</f>
        <v>0.27058000000000004</v>
      </c>
      <c r="AB52" s="142">
        <f t="shared" si="30"/>
        <v>0.12949742</v>
      </c>
      <c r="AC52" s="226">
        <f t="shared" si="31"/>
        <v>0.4785919875822307</v>
      </c>
      <c r="AD52" s="142">
        <f>Trends!O150</f>
        <v>2.1867080000000001E-2</v>
      </c>
      <c r="AE52" s="150">
        <f t="shared" si="32"/>
        <v>-0.14108258000000004</v>
      </c>
      <c r="AF52" s="145">
        <f t="shared" si="33"/>
        <v>4.9220261690175366</v>
      </c>
    </row>
    <row r="53" spans="2:32">
      <c r="B53" s="7" t="s">
        <v>92</v>
      </c>
      <c r="C53" s="348">
        <f>SUM(C37:C52)</f>
        <v>18.572807867602258</v>
      </c>
      <c r="D53" s="348">
        <f>SUM(D37:D52)</f>
        <v>16.386720483000037</v>
      </c>
      <c r="E53" s="348">
        <f>SUM(E37:E52)</f>
        <v>16.506385540999801</v>
      </c>
      <c r="F53" s="146">
        <f t="shared" ref="F53" si="37">IFERROR(D53/C53,0)</f>
        <v>0.88229634419383873</v>
      </c>
      <c r="G53" s="146">
        <f t="shared" ref="G53" si="38">IFERROR(D53/E53-1,0)</f>
        <v>-7.2496221357808421E-3</v>
      </c>
      <c r="H53" s="8"/>
      <c r="I53" s="354">
        <f>SUM(I37:I52)</f>
        <v>189.61148416556014</v>
      </c>
      <c r="J53" s="354">
        <f>SUM(J37:J52)</f>
        <v>213.68913208310693</v>
      </c>
      <c r="K53" s="354">
        <f>SUM(K37:K52)</f>
        <v>205.8391658460005</v>
      </c>
      <c r="L53" s="154">
        <f t="shared" ref="L53" si="39">IFERROR(K53/J53,0)</f>
        <v>0.96326455088949747</v>
      </c>
      <c r="M53" s="154">
        <f t="shared" ref="M53" si="40">IFERROR(K53/I53-1,0)</f>
        <v>8.5583854542645055E-2</v>
      </c>
      <c r="O53" s="7" t="s">
        <v>92</v>
      </c>
      <c r="P53" s="353">
        <f>SUM(P37:P52)</f>
        <v>54.073842755043998</v>
      </c>
      <c r="Q53" s="353">
        <f>SUM(Q37:Q52)</f>
        <v>16.115609518000444</v>
      </c>
      <c r="R53" s="353">
        <f>SUM(R37:R52)</f>
        <v>16.285716499000195</v>
      </c>
      <c r="S53" s="353">
        <f>SUM(S37:S52)</f>
        <v>16.386720483000037</v>
      </c>
      <c r="T53" s="354">
        <f>SUM(T37:T52)</f>
        <v>48.788046500000668</v>
      </c>
      <c r="U53" s="146">
        <f t="shared" ref="U53" si="41">T53/P53</f>
        <v>0.90224855520277825</v>
      </c>
      <c r="V53" s="144">
        <f>SUM(V37:V52)</f>
        <v>47.404417780999374</v>
      </c>
      <c r="W53" s="151">
        <f>SUM(W37:W52)</f>
        <v>-5.2857962550433291</v>
      </c>
      <c r="X53" s="146">
        <f t="shared" si="29"/>
        <v>2.9187758942498476E-2</v>
      </c>
      <c r="Z53" s="7" t="s">
        <v>92</v>
      </c>
      <c r="AA53" s="353">
        <f>SUM(AA37:AA52)</f>
        <v>213.68913208310693</v>
      </c>
      <c r="AB53" s="353">
        <f>SUM(AB37:AB52)</f>
        <v>205.8391658460005</v>
      </c>
      <c r="AC53" s="146">
        <f t="shared" si="31"/>
        <v>0.96326455088949747</v>
      </c>
      <c r="AD53" s="144">
        <f>SUM(AD37:AD52)</f>
        <v>189.61148416556014</v>
      </c>
      <c r="AE53" s="151">
        <f>SUM(AE37:AE52)</f>
        <v>-7.8499662371064618</v>
      </c>
      <c r="AF53" s="146">
        <f t="shared" si="33"/>
        <v>8.5583854542645055E-2</v>
      </c>
    </row>
    <row r="54" spans="2:32">
      <c r="C54" s="349"/>
      <c r="D54" s="349"/>
      <c r="E54" s="350"/>
      <c r="F54" s="19"/>
      <c r="G54" s="19"/>
      <c r="H54" s="2"/>
      <c r="I54" s="8"/>
      <c r="J54" s="27"/>
      <c r="K54" s="27"/>
      <c r="L54" s="19"/>
      <c r="P54" s="356"/>
      <c r="Q54" s="356"/>
      <c r="R54" s="356"/>
      <c r="S54" s="356"/>
      <c r="T54" s="356"/>
      <c r="X54" s="155"/>
      <c r="AA54" s="356"/>
      <c r="AB54" s="356"/>
      <c r="AF54" s="155"/>
    </row>
    <row r="55" spans="2:32">
      <c r="C55" s="351"/>
      <c r="D55" s="351"/>
      <c r="E55" s="351"/>
      <c r="P55" s="356"/>
      <c r="Q55" s="356"/>
      <c r="R55" s="356"/>
      <c r="S55" s="356"/>
      <c r="T55" s="356"/>
      <c r="AA55" s="356"/>
      <c r="AB55" s="356"/>
    </row>
    <row r="56" spans="2:32">
      <c r="C56" s="351"/>
      <c r="D56" s="351"/>
      <c r="E56" s="351"/>
      <c r="H56" s="2"/>
      <c r="K56" s="2"/>
      <c r="L56" s="2"/>
      <c r="M56" s="2"/>
      <c r="P56" s="356"/>
      <c r="Q56" s="356"/>
      <c r="R56" s="356"/>
      <c r="S56" s="356"/>
      <c r="T56" s="356"/>
      <c r="AA56" s="356"/>
      <c r="AB56" s="356"/>
    </row>
    <row r="57" spans="2:32">
      <c r="C57" s="351"/>
      <c r="D57" s="351"/>
      <c r="E57" s="351"/>
      <c r="H57" s="2"/>
      <c r="K57" s="2"/>
      <c r="L57" s="2"/>
      <c r="M57" s="2"/>
      <c r="P57" s="356"/>
      <c r="Q57" s="356"/>
      <c r="R57" s="356"/>
      <c r="S57" s="356"/>
      <c r="T57" s="356"/>
      <c r="AA57" s="356"/>
      <c r="AB57" s="356"/>
    </row>
    <row r="58" spans="2:32">
      <c r="C58" s="351"/>
      <c r="D58" s="351"/>
      <c r="E58" s="351"/>
      <c r="H58" s="2"/>
      <c r="K58" s="2"/>
      <c r="L58" s="2"/>
      <c r="M58" s="2"/>
      <c r="P58" s="356"/>
      <c r="Q58" s="356"/>
      <c r="R58" s="356"/>
      <c r="S58" s="356"/>
      <c r="T58" s="356"/>
      <c r="AA58" s="356"/>
      <c r="AB58" s="356"/>
    </row>
    <row r="59" spans="2:32">
      <c r="H59" s="2"/>
      <c r="K59" s="2"/>
      <c r="L59" s="2"/>
      <c r="M59" s="2"/>
      <c r="P59" s="356"/>
      <c r="Q59" s="356"/>
      <c r="R59" s="356"/>
      <c r="S59" s="356"/>
      <c r="T59" s="356"/>
      <c r="AA59" s="356"/>
      <c r="AB59" s="356"/>
    </row>
    <row r="60" spans="2:32">
      <c r="H60" s="2"/>
      <c r="K60" s="2"/>
      <c r="L60" s="2"/>
      <c r="M60" s="2"/>
      <c r="P60" s="356"/>
      <c r="Q60" s="356"/>
      <c r="R60" s="356"/>
      <c r="S60" s="356"/>
      <c r="T60" s="356"/>
      <c r="AA60" s="356"/>
      <c r="AB60" s="356"/>
    </row>
    <row r="61" spans="2:32">
      <c r="H61" s="2"/>
      <c r="K61" s="2"/>
      <c r="L61" s="2"/>
      <c r="M61" s="2"/>
    </row>
    <row r="62" spans="2:32">
      <c r="H62" s="2"/>
      <c r="K62" s="2"/>
      <c r="L62" s="2"/>
      <c r="M62" s="2"/>
    </row>
    <row r="63" spans="2:32">
      <c r="H63" s="2"/>
      <c r="K63" s="2"/>
      <c r="L63" s="2"/>
      <c r="M63" s="2"/>
    </row>
    <row r="64" spans="2:32">
      <c r="H64" s="2"/>
      <c r="K64" s="2"/>
      <c r="L64" s="2"/>
      <c r="M64" s="2"/>
    </row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</sheetData>
  <mergeCells count="8">
    <mergeCell ref="B8:G8"/>
    <mergeCell ref="B33:G33"/>
    <mergeCell ref="I33:M33"/>
    <mergeCell ref="I8:M8"/>
    <mergeCell ref="Z8:AF8"/>
    <mergeCell ref="Z33:AF33"/>
    <mergeCell ref="O8:X8"/>
    <mergeCell ref="O33:X33"/>
  </mergeCells>
  <pageMargins left="0.43307086614173229" right="0.70866141732283472" top="0.39370078740157483" bottom="0.74803149606299213" header="0.31496062992125984" footer="0.31496062992125984"/>
  <pageSetup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9"/>
  <sheetViews>
    <sheetView tabSelected="1" workbookViewId="0">
      <pane xSplit="2" ySplit="2" topLeftCell="C13" activePane="bottomRight" state="frozen"/>
      <selection pane="topRight" activeCell="C1" sqref="C1"/>
      <selection pane="bottomLeft" activeCell="A3" sqref="A3"/>
      <selection pane="bottomRight" activeCell="H25" sqref="H25"/>
    </sheetView>
  </sheetViews>
  <sheetFormatPr defaultRowHeight="15"/>
  <cols>
    <col min="2" max="2" width="15.85546875" customWidth="1"/>
    <col min="3" max="14" width="11" bestFit="1" customWidth="1"/>
    <col min="15" max="15" width="10.140625" customWidth="1"/>
    <col min="16" max="16" width="10" bestFit="1" customWidth="1"/>
    <col min="20" max="20" width="10.5703125" bestFit="1" customWidth="1"/>
  </cols>
  <sheetData>
    <row r="1" spans="2:20" ht="15.75" thickBot="1"/>
    <row r="2" spans="2:20" ht="15.75" thickBot="1">
      <c r="B2" s="339" t="s">
        <v>210</v>
      </c>
      <c r="C2" s="335" t="s">
        <v>80</v>
      </c>
      <c r="D2" s="335" t="s">
        <v>81</v>
      </c>
      <c r="E2" s="335" t="s">
        <v>82</v>
      </c>
      <c r="F2" s="335" t="s">
        <v>83</v>
      </c>
      <c r="G2" s="335" t="s">
        <v>84</v>
      </c>
      <c r="H2" s="335" t="s">
        <v>85</v>
      </c>
      <c r="I2" s="335" t="s">
        <v>86</v>
      </c>
      <c r="J2" s="335" t="s">
        <v>87</v>
      </c>
      <c r="K2" s="335" t="s">
        <v>88</v>
      </c>
      <c r="L2" s="335" t="s">
        <v>89</v>
      </c>
      <c r="M2" s="335" t="s">
        <v>90</v>
      </c>
      <c r="N2" s="335" t="s">
        <v>91</v>
      </c>
      <c r="O2" s="335" t="s">
        <v>214</v>
      </c>
      <c r="P2" s="401" t="s">
        <v>279</v>
      </c>
      <c r="Q2" s="401" t="s">
        <v>280</v>
      </c>
      <c r="R2" s="401" t="s">
        <v>281</v>
      </c>
      <c r="S2" s="402" t="s">
        <v>282</v>
      </c>
    </row>
    <row r="3" spans="2:20" ht="15.75" thickBot="1">
      <c r="B3" s="339" t="s">
        <v>213</v>
      </c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103"/>
      <c r="Q3" s="103"/>
      <c r="R3" s="103"/>
      <c r="S3" s="397"/>
    </row>
    <row r="4" spans="2:20" ht="15.75" thickBot="1">
      <c r="B4" s="336" t="s">
        <v>211</v>
      </c>
      <c r="C4" s="338">
        <f>Trends!C258</f>
        <v>1490.6099498999993</v>
      </c>
      <c r="D4" s="338">
        <f>Trends!D258</f>
        <v>1538.4068430000009</v>
      </c>
      <c r="E4" s="338">
        <f>Trends!E258</f>
        <v>1685.2729776300901</v>
      </c>
      <c r="F4" s="338">
        <f>Trends!F258</f>
        <v>1629.1348363000798</v>
      </c>
      <c r="G4" s="338">
        <f>Trends!G258</f>
        <v>1643.5195188000803</v>
      </c>
      <c r="H4" s="338">
        <f>Trends!H258</f>
        <v>1634.17028300009</v>
      </c>
      <c r="I4" s="338">
        <f>Trends!I258</f>
        <v>1729.5467528631023</v>
      </c>
      <c r="J4" s="338">
        <f>Trends!J258</f>
        <v>1610.9551312000381</v>
      </c>
      <c r="K4" s="338">
        <f>Trends!K258</f>
        <v>1463.682381600049</v>
      </c>
      <c r="L4" s="338">
        <f>Trends!L258</f>
        <v>1652.6503841700708</v>
      </c>
      <c r="M4" s="338">
        <f>Trends!M258</f>
        <v>1579.1302829000899</v>
      </c>
      <c r="N4" s="338">
        <f>Trends!N258</f>
        <v>1745.4893178344696</v>
      </c>
      <c r="O4" s="338">
        <f>Trends!O258</f>
        <v>19402.568659198158</v>
      </c>
      <c r="P4" s="398">
        <f>SUM(C4:E4)</f>
        <v>4714.2897705300902</v>
      </c>
      <c r="Q4" s="398">
        <f>SUM(F4:H4)</f>
        <v>4906.82463810025</v>
      </c>
      <c r="R4" s="398">
        <f>SUM(I4:K4)</f>
        <v>4804.1842656631889</v>
      </c>
      <c r="S4" s="399">
        <f>SUM(L4:N4)</f>
        <v>4977.2699849046303</v>
      </c>
      <c r="T4" s="94">
        <f>O4-SUM(P4:S4)</f>
        <v>0</v>
      </c>
    </row>
    <row r="5" spans="2:20" ht="15.75" thickBot="1">
      <c r="B5" s="392" t="s">
        <v>278</v>
      </c>
      <c r="C5" s="394">
        <v>1745.3569577755329</v>
      </c>
      <c r="D5" s="394">
        <v>1814.9897022580324</v>
      </c>
      <c r="E5" s="394">
        <v>1735.7542203215521</v>
      </c>
      <c r="F5" s="394">
        <v>1734.2308373222593</v>
      </c>
      <c r="G5" s="394">
        <v>1730.9597764246887</v>
      </c>
      <c r="H5" s="394">
        <v>1692.679573718644</v>
      </c>
      <c r="I5" s="394">
        <v>1853.2432051290325</v>
      </c>
      <c r="J5" s="394">
        <v>1772.8265060016652</v>
      </c>
      <c r="K5" s="394">
        <v>1577.8466899009986</v>
      </c>
      <c r="L5" s="394">
        <v>1715.1606789236982</v>
      </c>
      <c r="M5" s="394">
        <v>1666.9747402576011</v>
      </c>
      <c r="N5" s="394">
        <v>1837.3085039662938</v>
      </c>
      <c r="O5" s="394">
        <f>SUM(C5:N5)</f>
        <v>20877.331392</v>
      </c>
      <c r="P5" s="398">
        <f>SUM(C5:E5)</f>
        <v>5296.1008803551176</v>
      </c>
      <c r="Q5" s="398">
        <f>SUM(F5:H5)</f>
        <v>5157.8701874655917</v>
      </c>
      <c r="R5" s="398">
        <f>SUM(I5:K5)</f>
        <v>5203.9164010316963</v>
      </c>
      <c r="S5" s="399">
        <f>SUM(L5:N5)</f>
        <v>5219.4439231475935</v>
      </c>
      <c r="T5" s="94">
        <f t="shared" ref="T5:T49" si="0">O5-SUM(P5:S5)</f>
        <v>0</v>
      </c>
    </row>
    <row r="6" spans="2:20" ht="15.75" thickBot="1">
      <c r="B6" s="336" t="s">
        <v>212</v>
      </c>
      <c r="C6" s="338">
        <f>Trends!C21</f>
        <v>2175.2056633029993</v>
      </c>
      <c r="D6" s="338">
        <f>Trends!D21</f>
        <v>2219.2162818000429</v>
      </c>
      <c r="E6" s="338">
        <f>Trends!E21</f>
        <v>2364.9322429000581</v>
      </c>
      <c r="F6" s="338">
        <f>Trends!F21</f>
        <v>1741.928564846</v>
      </c>
      <c r="G6" s="338">
        <f>Trends!G21</f>
        <v>1897.6217682000413</v>
      </c>
      <c r="H6" s="338">
        <f>Trends!H21</f>
        <v>1758.0234341400119</v>
      </c>
      <c r="I6" s="338">
        <f>Trends!I21</f>
        <v>1248.5786361200371</v>
      </c>
      <c r="J6" s="338">
        <f>Trends!J21</f>
        <v>1371.6259161200339</v>
      </c>
      <c r="K6" s="338">
        <f>Trends!K21</f>
        <v>1685.7938133652683</v>
      </c>
      <c r="L6" s="338">
        <f>Trends!L21</f>
        <v>1534.3266117040391</v>
      </c>
      <c r="M6" s="338">
        <f>Trends!M21</f>
        <v>1568.2802946048494</v>
      </c>
      <c r="N6" s="338">
        <f>Trends!N21</f>
        <v>1628.0141576000558</v>
      </c>
      <c r="O6" s="338">
        <f>Trends!O21</f>
        <v>21193.547384703437</v>
      </c>
      <c r="P6" s="398">
        <f>SUM(C6:E6)</f>
        <v>6759.3541880031007</v>
      </c>
      <c r="Q6" s="398">
        <f>SUM(F6:H6)</f>
        <v>5397.5737671860534</v>
      </c>
      <c r="R6" s="398">
        <f>SUM(I6:K6)</f>
        <v>4305.9983656053391</v>
      </c>
      <c r="S6" s="399">
        <f>SUM(L6:N6)</f>
        <v>4730.6210639089441</v>
      </c>
      <c r="T6" s="94">
        <f t="shared" si="0"/>
        <v>0</v>
      </c>
    </row>
    <row r="7" spans="2:20" ht="15.75" thickBot="1">
      <c r="C7" s="432">
        <f t="shared" ref="C7" si="1">C6-C5</f>
        <v>429.84870552746634</v>
      </c>
      <c r="D7" s="432">
        <f t="shared" ref="D7" si="2">D6-D5</f>
        <v>404.22657954201054</v>
      </c>
      <c r="E7" s="432">
        <f t="shared" ref="E7" si="3">E6-E5</f>
        <v>629.17802257850599</v>
      </c>
      <c r="F7" s="432">
        <f t="shared" ref="F7" si="4">F6-F5</f>
        <v>7.6977275237406957</v>
      </c>
      <c r="G7" s="432">
        <f t="shared" ref="G7" si="5">G6-G5</f>
        <v>166.66199177535259</v>
      </c>
      <c r="H7" s="432">
        <f t="shared" ref="H7" si="6">H6-H5</f>
        <v>65.343860421367935</v>
      </c>
      <c r="I7" s="432">
        <f t="shared" ref="I7" si="7">I6-I5</f>
        <v>-604.66456900899539</v>
      </c>
      <c r="J7" s="432">
        <f t="shared" ref="J7" si="8">J6-J5</f>
        <v>-401.20058988163123</v>
      </c>
      <c r="K7" s="432">
        <f t="shared" ref="K7" si="9">K6-K5</f>
        <v>107.94712346426968</v>
      </c>
      <c r="L7" s="432">
        <f t="shared" ref="L7" si="10">L6-L5</f>
        <v>-180.83406721965912</v>
      </c>
      <c r="M7" s="432">
        <f t="shared" ref="M7" si="11">M6-M5</f>
        <v>-98.69444565275171</v>
      </c>
      <c r="N7" s="432">
        <f t="shared" ref="N7" si="12">N6-N5</f>
        <v>-209.29434636623796</v>
      </c>
      <c r="O7" s="432">
        <f t="shared" ref="O7" si="13">O6-O5</f>
        <v>316.21599270343722</v>
      </c>
      <c r="P7" s="432">
        <f t="shared" ref="P7" si="14">P6-P5</f>
        <v>1463.2533076479831</v>
      </c>
      <c r="Q7" s="432">
        <f t="shared" ref="Q7" si="15">Q6-Q5</f>
        <v>239.70357972046168</v>
      </c>
      <c r="R7" s="432">
        <f t="shared" ref="R7:S7" si="16">R6-R5</f>
        <v>-897.91803542635716</v>
      </c>
      <c r="S7" s="432">
        <f t="shared" si="16"/>
        <v>-488.82285923864947</v>
      </c>
      <c r="T7" s="94">
        <f t="shared" si="0"/>
        <v>-9.0949470177292824E-13</v>
      </c>
    </row>
    <row r="8" spans="2:20" ht="15.75" thickBot="1">
      <c r="B8" s="339" t="s">
        <v>242</v>
      </c>
      <c r="C8" s="429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1"/>
      <c r="P8" s="401" t="s">
        <v>279</v>
      </c>
      <c r="Q8" s="401" t="s">
        <v>280</v>
      </c>
      <c r="R8" s="401" t="s">
        <v>281</v>
      </c>
      <c r="S8" s="402" t="s">
        <v>282</v>
      </c>
      <c r="T8" s="94">
        <f t="shared" si="0"/>
        <v>0</v>
      </c>
    </row>
    <row r="9" spans="2:20" ht="15.75" thickBot="1">
      <c r="B9" s="336" t="s">
        <v>211</v>
      </c>
      <c r="C9" s="362">
        <f>Trends!C151</f>
        <v>15.623524066859609</v>
      </c>
      <c r="D9" s="362">
        <f>Trends!D151</f>
        <v>15.481225436555489</v>
      </c>
      <c r="E9" s="362">
        <f>Trends!E151</f>
        <v>16.667919085801437</v>
      </c>
      <c r="F9" s="362">
        <f>Trends!F151</f>
        <v>15.816058936605559</v>
      </c>
      <c r="G9" s="362">
        <f>Trends!G151</f>
        <v>15.824488028933155</v>
      </c>
      <c r="H9" s="362">
        <f>Trends!H151</f>
        <v>15.761962500137951</v>
      </c>
      <c r="I9" s="362">
        <f>Trends!I151</f>
        <v>16.665538973008463</v>
      </c>
      <c r="J9" s="362">
        <f>Trends!J151</f>
        <v>15.742658887659323</v>
      </c>
      <c r="K9" s="362">
        <f>Trends!K151</f>
        <v>14.623690468999813</v>
      </c>
      <c r="L9" s="362">
        <f>Trends!L151</f>
        <v>16.004772845999778</v>
      </c>
      <c r="M9" s="362">
        <f>Trends!M151</f>
        <v>14.893259393999786</v>
      </c>
      <c r="N9" s="362">
        <f>Trends!N151</f>
        <v>16.506385540999801</v>
      </c>
      <c r="O9" s="362">
        <f>SUM(C9:N9)</f>
        <v>189.61148416556017</v>
      </c>
      <c r="P9" s="400">
        <f>SUM(C9:E9)</f>
        <v>47.772668589216536</v>
      </c>
      <c r="Q9" s="400">
        <f>SUM(F9:H9)</f>
        <v>47.402509465676665</v>
      </c>
      <c r="R9" s="400">
        <f>SUM(I9:K9)</f>
        <v>47.031888329667595</v>
      </c>
      <c r="S9" s="371">
        <f>SUM(L9:N9)</f>
        <v>47.404417780999367</v>
      </c>
      <c r="T9" s="94">
        <f t="shared" si="0"/>
        <v>0</v>
      </c>
    </row>
    <row r="10" spans="2:20" ht="15.75" thickBot="1">
      <c r="B10" s="336" t="s">
        <v>278</v>
      </c>
      <c r="C10" s="362">
        <v>16.663613691186661</v>
      </c>
      <c r="D10" s="362">
        <v>17.137465710165653</v>
      </c>
      <c r="E10" s="362">
        <v>16.558324572770918</v>
      </c>
      <c r="F10" s="362">
        <v>17.665992665520388</v>
      </c>
      <c r="G10" s="362">
        <v>17.634698259117442</v>
      </c>
      <c r="H10" s="362">
        <v>17.376324985164995</v>
      </c>
      <c r="I10" s="362">
        <v>19.78089151483076</v>
      </c>
      <c r="J10" s="362">
        <v>19.391934663080949</v>
      </c>
      <c r="K10" s="362">
        <v>17.406043266225169</v>
      </c>
      <c r="L10" s="362">
        <v>18.505368422433961</v>
      </c>
      <c r="M10" s="362">
        <v>16.995666465007773</v>
      </c>
      <c r="N10" s="362">
        <v>18.572807867602254</v>
      </c>
      <c r="O10" s="362">
        <f>SUM(C10:N10)</f>
        <v>213.68913208310693</v>
      </c>
      <c r="P10" s="400">
        <f>SUM(C10:E10)</f>
        <v>50.359403974123225</v>
      </c>
      <c r="Q10" s="400">
        <f>SUM(F10:H10)</f>
        <v>52.677015909802833</v>
      </c>
      <c r="R10" s="400">
        <f>SUM(I10:K10)</f>
        <v>56.578869444136878</v>
      </c>
      <c r="S10" s="371">
        <f>SUM(L10:N10)</f>
        <v>54.073842755043984</v>
      </c>
      <c r="T10" s="94">
        <f t="shared" si="0"/>
        <v>0</v>
      </c>
    </row>
    <row r="11" spans="2:20" ht="15.75" thickBot="1">
      <c r="B11" s="336" t="s">
        <v>212</v>
      </c>
      <c r="C11" s="362">
        <f>Trends!C133</f>
        <v>20.284570314999996</v>
      </c>
      <c r="D11" s="362">
        <f>Trends!D133</f>
        <v>20.202506590999935</v>
      </c>
      <c r="E11" s="362">
        <f>Trends!E133</f>
        <v>22.088434752000175</v>
      </c>
      <c r="F11" s="362">
        <f>Trends!F133</f>
        <v>16.273562964</v>
      </c>
      <c r="G11" s="362">
        <f>Trends!G133</f>
        <v>17.318713301999676</v>
      </c>
      <c r="H11" s="362">
        <f>Trends!H133</f>
        <v>16.276955010999981</v>
      </c>
      <c r="I11" s="362">
        <f>Trends!I133</f>
        <v>12.747842917000098</v>
      </c>
      <c r="J11" s="362">
        <f>Trends!J133</f>
        <v>14.325115019000071</v>
      </c>
      <c r="K11" s="362">
        <f>Trends!K133</f>
        <v>17.53341847499987</v>
      </c>
      <c r="L11" s="362">
        <f>Trends!L133</f>
        <v>16.115609518000444</v>
      </c>
      <c r="M11" s="362">
        <f>Trends!M133</f>
        <v>16.285716499000195</v>
      </c>
      <c r="N11" s="362">
        <f>Trends!N133</f>
        <v>16.386720483000037</v>
      </c>
      <c r="O11" s="362">
        <f>SUM(C11:N11)</f>
        <v>205.83916584600047</v>
      </c>
      <c r="P11" s="400">
        <f>SUM(C11:E11)</f>
        <v>62.575511658000103</v>
      </c>
      <c r="Q11" s="400">
        <f>SUM(F11:H11)</f>
        <v>49.869231276999656</v>
      </c>
      <c r="R11" s="400">
        <f>SUM(I11:K11)</f>
        <v>44.606376411000042</v>
      </c>
      <c r="S11" s="371">
        <f>SUM(L11:N11)</f>
        <v>48.788046500000675</v>
      </c>
      <c r="T11" s="94">
        <f t="shared" si="0"/>
        <v>0</v>
      </c>
    </row>
    <row r="12" spans="2:20" ht="15.75" thickBot="1">
      <c r="C12" s="432">
        <f t="shared" ref="C12" si="17">C11-C10</f>
        <v>3.6209566238133348</v>
      </c>
      <c r="D12" s="432">
        <f t="shared" ref="D12" si="18">D11-D10</f>
        <v>3.0650408808342817</v>
      </c>
      <c r="E12" s="432">
        <f t="shared" ref="E12" si="19">E11-E10</f>
        <v>5.5301101792292577</v>
      </c>
      <c r="F12" s="432">
        <f t="shared" ref="F12" si="20">F11-F10</f>
        <v>-1.3924297015203884</v>
      </c>
      <c r="G12" s="432">
        <f t="shared" ref="G12" si="21">G11-G10</f>
        <v>-0.31598495711776664</v>
      </c>
      <c r="H12" s="432">
        <f t="shared" ref="H12" si="22">H11-H10</f>
        <v>-1.0993699741650147</v>
      </c>
      <c r="I12" s="432">
        <f t="shared" ref="I12" si="23">I11-I10</f>
        <v>-7.0330485978306623</v>
      </c>
      <c r="J12" s="432">
        <f t="shared" ref="J12" si="24">J11-J10</f>
        <v>-5.0668196440808781</v>
      </c>
      <c r="K12" s="432">
        <f t="shared" ref="K12" si="25">K11-K10</f>
        <v>0.12737520877470132</v>
      </c>
      <c r="L12" s="432">
        <f t="shared" ref="L12" si="26">L11-L10</f>
        <v>-2.389758904433517</v>
      </c>
      <c r="M12" s="432">
        <f t="shared" ref="M12" si="27">M11-M10</f>
        <v>-0.70994996600757787</v>
      </c>
      <c r="N12" s="432">
        <f t="shared" ref="N12" si="28">N11-N10</f>
        <v>-2.1860873846022173</v>
      </c>
      <c r="O12" s="432">
        <f t="shared" ref="O12" si="29">O11-O10</f>
        <v>-7.8499662371064574</v>
      </c>
      <c r="P12" s="432">
        <f t="shared" ref="P12" si="30">P11-P10</f>
        <v>12.216107683876878</v>
      </c>
      <c r="Q12" s="432">
        <f t="shared" ref="Q12" si="31">Q11-Q10</f>
        <v>-2.8077846328031768</v>
      </c>
      <c r="R12" s="432">
        <f t="shared" ref="R12:S12" si="32">R11-R10</f>
        <v>-11.972493033136836</v>
      </c>
      <c r="S12" s="432">
        <f t="shared" si="32"/>
        <v>-5.2857962550433086</v>
      </c>
      <c r="T12" s="94">
        <f t="shared" si="0"/>
        <v>-1.4210854715202004E-14</v>
      </c>
    </row>
    <row r="13" spans="2:20" ht="15.75" thickBot="1">
      <c r="B13" s="339" t="s">
        <v>243</v>
      </c>
      <c r="C13" s="429"/>
      <c r="D13" s="430"/>
      <c r="E13" s="430"/>
      <c r="F13" s="430"/>
      <c r="G13" s="430"/>
      <c r="H13" s="430"/>
      <c r="I13" s="430"/>
      <c r="J13" s="430"/>
      <c r="K13" s="430"/>
      <c r="L13" s="430"/>
      <c r="M13" s="430"/>
      <c r="N13" s="430"/>
      <c r="O13" s="431"/>
      <c r="P13" s="401" t="s">
        <v>279</v>
      </c>
      <c r="Q13" s="401" t="s">
        <v>280</v>
      </c>
      <c r="R13" s="401" t="s">
        <v>281</v>
      </c>
      <c r="S13" s="402" t="s">
        <v>282</v>
      </c>
      <c r="T13" s="94">
        <f t="shared" si="0"/>
        <v>0</v>
      </c>
    </row>
    <row r="14" spans="2:20" ht="15.75" thickBot="1">
      <c r="B14" s="336" t="s">
        <v>211</v>
      </c>
      <c r="C14" s="362">
        <f>Trends!C271</f>
        <v>-0.44350779835415333</v>
      </c>
      <c r="D14" s="362">
        <f>Trends!D271</f>
        <v>-0.90947550566343693</v>
      </c>
      <c r="E14" s="362">
        <f>Trends!E271</f>
        <v>-1.6739902531142556</v>
      </c>
      <c r="F14" s="362">
        <f>Trends!F271</f>
        <v>-1.5664371053996606</v>
      </c>
      <c r="G14" s="362">
        <f>Trends!G271</f>
        <v>-3.2389254079847478</v>
      </c>
      <c r="H14" s="362">
        <f>Trends!H271</f>
        <v>-3.6492823362833953</v>
      </c>
      <c r="I14" s="362">
        <f>Trends!I271</f>
        <v>-1.4319919766113953</v>
      </c>
      <c r="J14" s="362">
        <f>Trends!J271</f>
        <v>0.51984477312005994</v>
      </c>
      <c r="K14" s="362">
        <f>Trends!K271</f>
        <v>0.11855614819275351</v>
      </c>
      <c r="L14" s="362">
        <f>Trends!L271</f>
        <v>-1.7726368858103885</v>
      </c>
      <c r="M14" s="362">
        <f>Trends!M271</f>
        <v>-0.63001936969065353</v>
      </c>
      <c r="N14" s="362">
        <f>Trends!N271</f>
        <v>-2.0402381525248732</v>
      </c>
      <c r="O14" s="362">
        <f>SUM(C14:N14)</f>
        <v>-16.718103870124146</v>
      </c>
      <c r="P14" s="400">
        <f>SUM(C14:E14)</f>
        <v>-3.0269735571318459</v>
      </c>
      <c r="Q14" s="400">
        <f>SUM(F14:H14)</f>
        <v>-8.4546448496678046</v>
      </c>
      <c r="R14" s="400">
        <f>SUM(I14:K14)</f>
        <v>-0.79359105529858187</v>
      </c>
      <c r="S14" s="371">
        <f>SUM(L14:N14)</f>
        <v>-4.4428944080259152</v>
      </c>
      <c r="T14" s="94">
        <f t="shared" si="0"/>
        <v>0</v>
      </c>
    </row>
    <row r="15" spans="2:20" ht="15.75" thickBot="1">
      <c r="B15" s="392" t="s">
        <v>278</v>
      </c>
      <c r="C15" s="393">
        <v>-1.8735452197184679</v>
      </c>
      <c r="D15" s="393">
        <v>-1.8331695070162739</v>
      </c>
      <c r="E15" s="393">
        <v>-1.6907251393190386</v>
      </c>
      <c r="F15" s="393">
        <v>-0.64775029795823746</v>
      </c>
      <c r="G15" s="393">
        <v>-0.55888691774118637</v>
      </c>
      <c r="H15" s="393">
        <v>-0.86224282947192377</v>
      </c>
      <c r="I15" s="393">
        <v>-0.87744125735619316</v>
      </c>
      <c r="J15" s="393">
        <v>-0.68473748398762702</v>
      </c>
      <c r="K15" s="393">
        <v>-0.68849762916930413</v>
      </c>
      <c r="L15" s="393">
        <v>-0.91421929314283856</v>
      </c>
      <c r="M15" s="393">
        <v>-1.6231936264101217</v>
      </c>
      <c r="N15" s="393">
        <v>-1.2695064407175578</v>
      </c>
      <c r="O15" s="393">
        <f>SUM(C15:N15)</f>
        <v>-13.523915642008769</v>
      </c>
      <c r="P15" s="400">
        <f>SUM(C15:E15)</f>
        <v>-5.3974398660537801</v>
      </c>
      <c r="Q15" s="400">
        <f>SUM(F15:H15)</f>
        <v>-2.0688800451713476</v>
      </c>
      <c r="R15" s="400">
        <f>SUM(I15:K15)</f>
        <v>-2.2506763705131245</v>
      </c>
      <c r="S15" s="371">
        <f>SUM(L15:N15)</f>
        <v>-3.806919360270518</v>
      </c>
      <c r="T15" s="94">
        <f t="shared" si="0"/>
        <v>0</v>
      </c>
    </row>
    <row r="16" spans="2:20" ht="15.75" thickBot="1">
      <c r="B16" s="336" t="s">
        <v>212</v>
      </c>
      <c r="C16" s="362">
        <f>Trends!C241</f>
        <v>-0.6664003169103756</v>
      </c>
      <c r="D16" s="362">
        <f>Trends!D241</f>
        <v>-1.2900467735588421</v>
      </c>
      <c r="E16" s="362">
        <f>Trends!E241</f>
        <v>-3.0518071755347167</v>
      </c>
      <c r="F16" s="362">
        <f>Trends!F241</f>
        <v>-1.6733607722210961</v>
      </c>
      <c r="G16" s="362">
        <f>Trends!G241</f>
        <v>-1.8766026956894355</v>
      </c>
      <c r="H16" s="362">
        <f>Trends!H241</f>
        <v>-1.4642265383108302</v>
      </c>
      <c r="I16" s="362">
        <f>Trends!I241</f>
        <v>-1.4223017779429776</v>
      </c>
      <c r="J16" s="362">
        <f>Trends!J241</f>
        <v>-0.89952767182423221</v>
      </c>
      <c r="K16" s="362">
        <f>Trends!K241</f>
        <v>-0.89014515260520488</v>
      </c>
      <c r="L16" s="362">
        <f>Trends!L241</f>
        <v>-1.5492256564581313</v>
      </c>
      <c r="M16" s="362">
        <f>Trends!M241</f>
        <v>-0.89883633590464029</v>
      </c>
      <c r="N16" s="362">
        <f>Trends!N241</f>
        <v>-1.0678845357305788</v>
      </c>
      <c r="O16" s="362">
        <f>SUM(C16:N16)</f>
        <v>-16.75036540269106</v>
      </c>
      <c r="P16" s="400">
        <f>SUM(C16:E16)</f>
        <v>-5.0082542660039344</v>
      </c>
      <c r="Q16" s="400">
        <f>SUM(F16:H16)</f>
        <v>-5.0141900062213622</v>
      </c>
      <c r="R16" s="400">
        <f>SUM(I16:K16)</f>
        <v>-3.2119746023724147</v>
      </c>
      <c r="S16" s="371">
        <f>SUM(L16:N16)</f>
        <v>-3.5159465280933504</v>
      </c>
      <c r="T16" s="94">
        <f t="shared" si="0"/>
        <v>0</v>
      </c>
    </row>
    <row r="17" spans="2:20" ht="15.75" thickBot="1">
      <c r="C17" s="432">
        <f t="shared" ref="C17" si="33">C16-C15</f>
        <v>1.2071449028080923</v>
      </c>
      <c r="D17" s="432">
        <f t="shared" ref="D17" si="34">D16-D15</f>
        <v>0.54312273345743178</v>
      </c>
      <c r="E17" s="432">
        <f t="shared" ref="E17" si="35">E16-E15</f>
        <v>-1.3610820362156781</v>
      </c>
      <c r="F17" s="432">
        <f t="shared" ref="F17" si="36">F16-F15</f>
        <v>-1.0256104742628587</v>
      </c>
      <c r="G17" s="432">
        <f t="shared" ref="G17" si="37">G16-G15</f>
        <v>-1.3177157779482491</v>
      </c>
      <c r="H17" s="432">
        <f t="shared" ref="H17" si="38">H16-H15</f>
        <v>-0.6019837088389064</v>
      </c>
      <c r="I17" s="432">
        <f t="shared" ref="I17" si="39">I16-I15</f>
        <v>-0.54486052058678447</v>
      </c>
      <c r="J17" s="432">
        <f t="shared" ref="J17" si="40">J16-J15</f>
        <v>-0.2147901878366052</v>
      </c>
      <c r="K17" s="432">
        <f t="shared" ref="K17" si="41">K16-K15</f>
        <v>-0.20164752343590076</v>
      </c>
      <c r="L17" s="432">
        <f t="shared" ref="L17" si="42">L16-L15</f>
        <v>-0.6350063633152927</v>
      </c>
      <c r="M17" s="432">
        <f t="shared" ref="M17" si="43">M16-M15</f>
        <v>0.72435729050548137</v>
      </c>
      <c r="N17" s="432">
        <f t="shared" ref="N17" si="44">N16-N15</f>
        <v>0.20162190498697896</v>
      </c>
      <c r="O17" s="432">
        <f t="shared" ref="O17" si="45">O16-O15</f>
        <v>-3.2264497606822911</v>
      </c>
      <c r="P17" s="432">
        <f t="shared" ref="P17" si="46">P16-P15</f>
        <v>0.3891856000498457</v>
      </c>
      <c r="Q17" s="432">
        <f t="shared" ref="Q17" si="47">Q16-Q15</f>
        <v>-2.9453099610500146</v>
      </c>
      <c r="R17" s="432">
        <f t="shared" ref="R17:S17" si="48">R16-R15</f>
        <v>-0.9612982318592902</v>
      </c>
      <c r="S17" s="432">
        <f t="shared" si="48"/>
        <v>0.29097283217716763</v>
      </c>
      <c r="T17" s="94">
        <f t="shared" si="0"/>
        <v>0</v>
      </c>
    </row>
    <row r="18" spans="2:20" ht="15.75" thickBot="1">
      <c r="B18" s="339" t="s">
        <v>108</v>
      </c>
      <c r="C18" s="429"/>
      <c r="D18" s="430"/>
      <c r="E18" s="430"/>
      <c r="F18" s="430"/>
      <c r="G18" s="430"/>
      <c r="H18" s="430"/>
      <c r="I18" s="430"/>
      <c r="J18" s="430"/>
      <c r="K18" s="430"/>
      <c r="L18" s="430"/>
      <c r="M18" s="430"/>
      <c r="N18" s="430"/>
      <c r="O18" s="431"/>
      <c r="P18" s="401" t="s">
        <v>279</v>
      </c>
      <c r="Q18" s="401" t="s">
        <v>280</v>
      </c>
      <c r="R18" s="401" t="s">
        <v>281</v>
      </c>
      <c r="S18" s="402" t="s">
        <v>282</v>
      </c>
      <c r="T18" s="94">
        <f t="shared" si="0"/>
        <v>0</v>
      </c>
    </row>
    <row r="19" spans="2:20" ht="15.75" thickBot="1">
      <c r="B19" s="336" t="s">
        <v>211</v>
      </c>
      <c r="C19" s="338">
        <f>C9*10^7/C4</f>
        <v>104812.95974112977</v>
      </c>
      <c r="D19" s="338">
        <f t="shared" ref="D19:S21" si="49">D9*10^7/D4</f>
        <v>100631.54299525877</v>
      </c>
      <c r="E19" s="338">
        <f t="shared" si="49"/>
        <v>98903.378307534775</v>
      </c>
      <c r="F19" s="338">
        <f t="shared" si="49"/>
        <v>97082.56544636497</v>
      </c>
      <c r="G19" s="338">
        <f t="shared" si="49"/>
        <v>96284.150251446248</v>
      </c>
      <c r="H19" s="338">
        <f t="shared" si="49"/>
        <v>96452.387270201536</v>
      </c>
      <c r="I19" s="338">
        <f t="shared" si="49"/>
        <v>96357.840257398231</v>
      </c>
      <c r="J19" s="338">
        <f t="shared" si="49"/>
        <v>97722.516181640938</v>
      </c>
      <c r="K19" s="338">
        <f t="shared" si="49"/>
        <v>99910.271878887273</v>
      </c>
      <c r="L19" s="338">
        <f t="shared" si="49"/>
        <v>96843.064929531756</v>
      </c>
      <c r="M19" s="338">
        <f t="shared" si="49"/>
        <v>94313.050387762516</v>
      </c>
      <c r="N19" s="338">
        <f t="shared" si="49"/>
        <v>94565.949916429992</v>
      </c>
      <c r="O19" s="338">
        <f t="shared" si="49"/>
        <v>97724.939154214124</v>
      </c>
      <c r="P19" s="338">
        <f t="shared" si="49"/>
        <v>101335.87648313952</v>
      </c>
      <c r="Q19" s="338">
        <f t="shared" si="49"/>
        <v>96605.265037613513</v>
      </c>
      <c r="R19" s="338">
        <f t="shared" si="49"/>
        <v>97897.761053457682</v>
      </c>
      <c r="S19" s="338">
        <f t="shared" si="49"/>
        <v>95241.805095504955</v>
      </c>
      <c r="T19" s="94"/>
    </row>
    <row r="20" spans="2:20" ht="15.75" thickBot="1">
      <c r="B20" s="391" t="s">
        <v>278</v>
      </c>
      <c r="C20" s="395">
        <f>C10*10^7/C5</f>
        <v>95473.958017301673</v>
      </c>
      <c r="D20" s="395">
        <f t="shared" ref="D20:O20" si="50">D10*10^7/D5</f>
        <v>94421.834398536244</v>
      </c>
      <c r="E20" s="395">
        <f t="shared" si="50"/>
        <v>95395.559918059444</v>
      </c>
      <c r="F20" s="395">
        <f t="shared" si="50"/>
        <v>101866.44295172136</v>
      </c>
      <c r="G20" s="395">
        <f t="shared" si="50"/>
        <v>101878.15164337355</v>
      </c>
      <c r="H20" s="395">
        <f t="shared" si="50"/>
        <v>102655.72560192822</v>
      </c>
      <c r="I20" s="395">
        <f t="shared" si="50"/>
        <v>106736.61967347405</v>
      </c>
      <c r="J20" s="395">
        <f t="shared" si="50"/>
        <v>109384.27757838777</v>
      </c>
      <c r="K20" s="395">
        <f t="shared" si="50"/>
        <v>110315.17432987932</v>
      </c>
      <c r="L20" s="395">
        <f t="shared" si="50"/>
        <v>107892.91434809766</v>
      </c>
      <c r="M20" s="395">
        <f t="shared" si="50"/>
        <v>101955.15297599169</v>
      </c>
      <c r="N20" s="395">
        <f t="shared" si="50"/>
        <v>101087.04024124508</v>
      </c>
      <c r="O20" s="395">
        <f t="shared" si="50"/>
        <v>102354.61998030583</v>
      </c>
      <c r="P20" s="338">
        <f t="shared" si="49"/>
        <v>95087.697745565776</v>
      </c>
      <c r="Q20" s="338">
        <f t="shared" si="49"/>
        <v>102129.39448886477</v>
      </c>
      <c r="R20" s="338">
        <f t="shared" si="49"/>
        <v>108723.63251823167</v>
      </c>
      <c r="S20" s="338">
        <f t="shared" si="49"/>
        <v>103600.77347556724</v>
      </c>
      <c r="T20" s="94"/>
    </row>
    <row r="21" spans="2:20" ht="15.75" thickBot="1">
      <c r="B21" s="336" t="s">
        <v>212</v>
      </c>
      <c r="C21" s="338">
        <f>C11*10^7/C6</f>
        <v>93253.574396263517</v>
      </c>
      <c r="D21" s="338">
        <f t="shared" ref="D21:O21" si="51">D11*10^7/D6</f>
        <v>91034.419478093172</v>
      </c>
      <c r="E21" s="338">
        <f t="shared" si="51"/>
        <v>93399.8630122006</v>
      </c>
      <c r="F21" s="338">
        <f t="shared" si="51"/>
        <v>93422.676982386518</v>
      </c>
      <c r="G21" s="338">
        <f t="shared" si="51"/>
        <v>91265.359579148717</v>
      </c>
      <c r="H21" s="338">
        <f t="shared" si="51"/>
        <v>92586.678282603927</v>
      </c>
      <c r="I21" s="338">
        <f t="shared" si="51"/>
        <v>102098.83901757335</v>
      </c>
      <c r="J21" s="338">
        <f t="shared" si="51"/>
        <v>104438.93521290428</v>
      </c>
      <c r="K21" s="338">
        <f t="shared" si="51"/>
        <v>104006.89773560598</v>
      </c>
      <c r="L21" s="338">
        <f t="shared" si="51"/>
        <v>105033.76135868674</v>
      </c>
      <c r="M21" s="338">
        <f t="shared" si="51"/>
        <v>103844.42471811848</v>
      </c>
      <c r="N21" s="338">
        <f t="shared" si="51"/>
        <v>100654.65589781229</v>
      </c>
      <c r="O21" s="338">
        <f t="shared" si="51"/>
        <v>97123.507504253896</v>
      </c>
      <c r="P21" s="338">
        <f t="shared" si="49"/>
        <v>92576.169139150603</v>
      </c>
      <c r="Q21" s="338">
        <f t="shared" si="49"/>
        <v>92391.940208717628</v>
      </c>
      <c r="R21" s="338">
        <f t="shared" si="49"/>
        <v>103591.25253576184</v>
      </c>
      <c r="S21" s="338">
        <f t="shared" si="49"/>
        <v>103132.4340734381</v>
      </c>
      <c r="T21" s="94"/>
    </row>
    <row r="22" spans="2:20" ht="15.75" thickBot="1">
      <c r="C22" s="432">
        <f t="shared" ref="C22" si="52">C21-C20</f>
        <v>-2220.383621038156</v>
      </c>
      <c r="D22" s="432">
        <f t="shared" ref="D22" si="53">D21-D20</f>
        <v>-3387.4149204430723</v>
      </c>
      <c r="E22" s="432">
        <f t="shared" ref="E22" si="54">E21-E20</f>
        <v>-1995.6969058588438</v>
      </c>
      <c r="F22" s="432">
        <f t="shared" ref="F22" si="55">F21-F20</f>
        <v>-8443.7659693348396</v>
      </c>
      <c r="G22" s="432">
        <f t="shared" ref="G22" si="56">G21-G20</f>
        <v>-10612.792064224835</v>
      </c>
      <c r="H22" s="432">
        <f t="shared" ref="H22" si="57">H21-H20</f>
        <v>-10069.047319324294</v>
      </c>
      <c r="I22" s="432">
        <f t="shared" ref="I22" si="58">I21-I20</f>
        <v>-4637.7806559007004</v>
      </c>
      <c r="J22" s="432">
        <f t="shared" ref="J22" si="59">J21-J20</f>
        <v>-4945.3423654834914</v>
      </c>
      <c r="K22" s="432">
        <f t="shared" ref="K22" si="60">K21-K20</f>
        <v>-6308.2765942733386</v>
      </c>
      <c r="L22" s="432">
        <f t="shared" ref="L22" si="61">L21-L20</f>
        <v>-2859.1529894109262</v>
      </c>
      <c r="M22" s="432">
        <f t="shared" ref="M22" si="62">M21-M20</f>
        <v>1889.271742126788</v>
      </c>
      <c r="N22" s="432">
        <f t="shared" ref="N22" si="63">N21-N20</f>
        <v>-432.38434343278641</v>
      </c>
      <c r="O22" s="432">
        <f t="shared" ref="O22" si="64">O21-O20</f>
        <v>-5231.1124760519306</v>
      </c>
      <c r="P22" s="432">
        <f t="shared" ref="P22" si="65">P21-P20</f>
        <v>-2511.5286064151733</v>
      </c>
      <c r="Q22" s="432">
        <f t="shared" ref="Q22" si="66">Q21-Q20</f>
        <v>-9737.4542801471398</v>
      </c>
      <c r="R22" s="432">
        <f t="shared" ref="R22:S22" si="67">R21-R20</f>
        <v>-5132.3799824698217</v>
      </c>
      <c r="S22" s="432">
        <f t="shared" si="67"/>
        <v>-468.33940212914604</v>
      </c>
      <c r="T22" s="94"/>
    </row>
    <row r="23" spans="2:20" ht="15.75" thickBot="1">
      <c r="B23" s="339" t="s">
        <v>244</v>
      </c>
      <c r="C23" s="429"/>
      <c r="D23" s="430"/>
      <c r="E23" s="430"/>
      <c r="F23" s="430"/>
      <c r="G23" s="430"/>
      <c r="H23" s="430"/>
      <c r="I23" s="430"/>
      <c r="J23" s="430"/>
      <c r="K23" s="430"/>
      <c r="L23" s="430"/>
      <c r="M23" s="430"/>
      <c r="N23" s="430"/>
      <c r="O23" s="431"/>
      <c r="P23" s="401" t="s">
        <v>279</v>
      </c>
      <c r="Q23" s="401" t="s">
        <v>280</v>
      </c>
      <c r="R23" s="401" t="s">
        <v>281</v>
      </c>
      <c r="S23" s="402" t="s">
        <v>282</v>
      </c>
      <c r="T23" s="94">
        <f t="shared" si="0"/>
        <v>0</v>
      </c>
    </row>
    <row r="24" spans="2:20" ht="15.75" thickBot="1">
      <c r="B24" s="336" t="s">
        <v>211</v>
      </c>
      <c r="C24" s="363">
        <f>(Trends!C257-Trends!C263)*10^7/C4</f>
        <v>73899.054312144406</v>
      </c>
      <c r="D24" s="363">
        <f>(Trends!D257-Trends!D263)*10^7/D4</f>
        <v>71645.782049345959</v>
      </c>
      <c r="E24" s="363">
        <f>(Trends!E257-Trends!E263)*10^7/E4</f>
        <v>70546.896229025821</v>
      </c>
      <c r="F24" s="363">
        <f>(Trends!F257-Trends!F263)*10^7/F4</f>
        <v>71951.111032146611</v>
      </c>
      <c r="G24" s="363">
        <f>(Trends!G257-Trends!G263)*10^7/G4</f>
        <v>76535.270740181775</v>
      </c>
      <c r="H24" s="363">
        <f>(Trends!H257-Trends!H263)*10^7/H4</f>
        <v>75590.494150401049</v>
      </c>
      <c r="I24" s="363">
        <f>(Trends!I257-Trends!I263)*10^7/I4</f>
        <v>69993.385351405974</v>
      </c>
      <c r="J24" s="363">
        <f>(Trends!J257-Trends!J263)*10^7/J4</f>
        <v>59933.711251040906</v>
      </c>
      <c r="K24" s="363">
        <f>(Trends!K257-Trends!K263)*10^7/K4</f>
        <v>68800.781726326328</v>
      </c>
      <c r="L24" s="363">
        <f>(Trends!L257-Trends!L263)*10^7/L4</f>
        <v>75237.969604142738</v>
      </c>
      <c r="M24" s="363">
        <f>(Trends!M257-Trends!M263)*10^7/M4</f>
        <v>66439.315058176464</v>
      </c>
      <c r="N24" s="363">
        <f>(Trends!N257-Trends!N263)*10^7/N4</f>
        <v>67401.035157406004</v>
      </c>
      <c r="O24" s="363">
        <f>(Trends!O257-Trends!O263)*10^7/O4</f>
        <v>70661.512181050624</v>
      </c>
      <c r="P24" s="403">
        <f>SUMPRODUCT(C24:E24,C4:E4)/P4</f>
        <v>71965.411845056457</v>
      </c>
      <c r="Q24" s="403">
        <f>SUMPRODUCT(F24:H24,F4:H4)/Q4</f>
        <v>74698.616535619381</v>
      </c>
      <c r="R24" s="403">
        <f>SUMPRODUCT(I24:K24,I4:K4)/R4</f>
        <v>66256.793344986218</v>
      </c>
      <c r="S24" s="403">
        <f>SUMPRODUCT(L24:N24,L4:N4)/S4</f>
        <v>69698.083825937734</v>
      </c>
      <c r="T24" s="95">
        <f>SUMPRODUCT(P24:S24,P4:S4)/O4-O24</f>
        <v>0</v>
      </c>
    </row>
    <row r="25" spans="2:20" ht="15.75" thickBot="1">
      <c r="B25" s="392" t="s">
        <v>278</v>
      </c>
      <c r="C25" s="396">
        <v>71323.303467373495</v>
      </c>
      <c r="D25" s="396">
        <v>70963.118824144665</v>
      </c>
      <c r="E25" s="396">
        <v>71370.576165481514</v>
      </c>
      <c r="F25" s="396">
        <v>71154.47836911169</v>
      </c>
      <c r="G25" s="396">
        <v>71174.44772133381</v>
      </c>
      <c r="H25" s="396">
        <v>71458.500225673415</v>
      </c>
      <c r="I25" s="396">
        <v>76580.538105408123</v>
      </c>
      <c r="J25" s="396">
        <v>77514.263988156716</v>
      </c>
      <c r="K25" s="396">
        <v>77859.652475115683</v>
      </c>
      <c r="L25" s="396">
        <v>77397.618093882513</v>
      </c>
      <c r="M25" s="396">
        <v>75795.536923779757</v>
      </c>
      <c r="N25" s="396">
        <v>75349.090313801309</v>
      </c>
      <c r="O25" s="396">
        <f>73979.7804996624-2.47</f>
        <v>73977.310499662402</v>
      </c>
      <c r="P25" s="403">
        <f>SUMPRODUCT(C25:E25,C5:E5)/P5</f>
        <v>71215.360351099895</v>
      </c>
      <c r="Q25" s="403">
        <f>SUMPRODUCT(F25:H25,F5:H5)/Q5</f>
        <v>71260.952109640944</v>
      </c>
      <c r="R25" s="403">
        <f>SUMPRODUCT(I25:K25,I5:K5)/R5</f>
        <v>77286.464197494468</v>
      </c>
      <c r="S25" s="403">
        <f>SUMPRODUCT(L25:N25,L5:N5)/S5</f>
        <v>76164.841873254438</v>
      </c>
      <c r="T25" s="95"/>
    </row>
    <row r="26" spans="2:20" ht="15.75" thickBot="1">
      <c r="B26" s="336" t="s">
        <v>212</v>
      </c>
      <c r="C26" s="363">
        <f>(Trends!C227-Trends!C233)*10^7/C6</f>
        <v>70060.675274100751</v>
      </c>
      <c r="D26" s="363">
        <f>(Trends!D227-Trends!D233)*10^7/D6</f>
        <v>69266.916289927191</v>
      </c>
      <c r="E26" s="363">
        <f>(Trends!E227-Trends!E233)*10^7/E6</f>
        <v>78294.926842975518</v>
      </c>
      <c r="F26" s="363">
        <f>(Trends!F227-Trends!F233)*10^7/F6</f>
        <v>75392.833087549021</v>
      </c>
      <c r="G26" s="363">
        <f>(Trends!G227-Trends!G233)*10^7/G6</f>
        <v>74174.838646291246</v>
      </c>
      <c r="H26" s="363">
        <f>(Trends!H227-Trends!H233)*10^7/H6</f>
        <v>78058.182472705215</v>
      </c>
      <c r="I26" s="363">
        <f>(Trends!I227-Trends!I233)*10^7/I6</f>
        <v>86381.028109072475</v>
      </c>
      <c r="J26" s="363">
        <f>(Trends!J227-Trends!J233)*10^7/J6</f>
        <v>81844.09680145717</v>
      </c>
      <c r="K26" s="363">
        <f>(Trends!K227-Trends!K233)*10^7/K6</f>
        <v>83927.169309611578</v>
      </c>
      <c r="L26" s="363">
        <f>(Trends!L227-Trends!L233)*10^7/L6</f>
        <v>82161.164703083996</v>
      </c>
      <c r="M26" s="363">
        <f>(Trends!M227-Trends!M233)*10^7/M6</f>
        <v>84079.271924426037</v>
      </c>
      <c r="N26" s="363">
        <f>(Trends!N227-Trends!N233)*10^7/N6</f>
        <v>81904.778808051255</v>
      </c>
      <c r="O26" s="363">
        <f>(Trends!O227-Trends!O233)*10^7/O6</f>
        <v>78016.700299852266</v>
      </c>
      <c r="P26" s="403">
        <f>SUMPRODUCT(C26:E26,C6:E6)/P6</f>
        <v>72681.032733888162</v>
      </c>
      <c r="Q26" s="403">
        <f>SUMPRODUCT(F26:H26,F6:H6)/Q6</f>
        <v>75832.744428535778</v>
      </c>
      <c r="R26" s="403">
        <f>SUMPRODUCT(I26:K26,I6:K6)/R6</f>
        <v>83975.158049544902</v>
      </c>
      <c r="S26" s="403">
        <f>SUMPRODUCT(L26:N26,L6:N6)/S6</f>
        <v>82708.815816172093</v>
      </c>
      <c r="T26" s="95"/>
    </row>
    <row r="27" spans="2:20" ht="15.75" thickBot="1">
      <c r="C27" s="432">
        <f t="shared" ref="C27" si="68">C26-C25</f>
        <v>-1262.6281932727434</v>
      </c>
      <c r="D27" s="432">
        <f t="shared" ref="D27" si="69">D26-D25</f>
        <v>-1696.2025342174747</v>
      </c>
      <c r="E27" s="432">
        <f t="shared" ref="E27" si="70">E26-E25</f>
        <v>6924.3506774940033</v>
      </c>
      <c r="F27" s="432">
        <f t="shared" ref="F27" si="71">F26-F25</f>
        <v>4238.354718437331</v>
      </c>
      <c r="G27" s="432">
        <f t="shared" ref="G27" si="72">G26-G25</f>
        <v>3000.3909249574353</v>
      </c>
      <c r="H27" s="432">
        <f t="shared" ref="H27" si="73">H26-H25</f>
        <v>6599.6822470318002</v>
      </c>
      <c r="I27" s="432">
        <f t="shared" ref="I27" si="74">I26-I25</f>
        <v>9800.4900036643521</v>
      </c>
      <c r="J27" s="432">
        <f t="shared" ref="J27" si="75">J26-J25</f>
        <v>4329.8328133004543</v>
      </c>
      <c r="K27" s="432">
        <f t="shared" ref="K27" si="76">K26-K25</f>
        <v>6067.5168344958947</v>
      </c>
      <c r="L27" s="432">
        <f t="shared" ref="L27" si="77">L26-L25</f>
        <v>4763.5466092014831</v>
      </c>
      <c r="M27" s="432">
        <f t="shared" ref="M27" si="78">M26-M25</f>
        <v>8283.7350006462802</v>
      </c>
      <c r="N27" s="432">
        <f t="shared" ref="N27" si="79">N26-N25</f>
        <v>6555.6884942499455</v>
      </c>
      <c r="O27" s="432">
        <f t="shared" ref="O27" si="80">O26-O25</f>
        <v>4039.3898001898633</v>
      </c>
      <c r="P27" s="432">
        <f t="shared" ref="P27" si="81">P26-P25</f>
        <v>1465.672382788267</v>
      </c>
      <c r="Q27" s="432">
        <f t="shared" ref="Q27" si="82">Q26-Q25</f>
        <v>4571.7923188948334</v>
      </c>
      <c r="R27" s="432">
        <f t="shared" ref="R27:S27" si="83">R26-R25</f>
        <v>6688.6938520504336</v>
      </c>
      <c r="S27" s="432">
        <f t="shared" si="83"/>
        <v>6543.9739429176552</v>
      </c>
      <c r="T27" s="94"/>
    </row>
    <row r="28" spans="2:20" ht="15.75" thickBot="1">
      <c r="B28" s="339" t="s">
        <v>245</v>
      </c>
      <c r="C28" s="429"/>
      <c r="D28" s="430"/>
      <c r="E28" s="430"/>
      <c r="F28" s="430"/>
      <c r="G28" s="430"/>
      <c r="H28" s="430"/>
      <c r="I28" s="430"/>
      <c r="J28" s="430"/>
      <c r="K28" s="430"/>
      <c r="L28" s="430"/>
      <c r="M28" s="430"/>
      <c r="N28" s="430"/>
      <c r="O28" s="431"/>
      <c r="P28" s="401" t="s">
        <v>279</v>
      </c>
      <c r="Q28" s="401" t="s">
        <v>280</v>
      </c>
      <c r="R28" s="401" t="s">
        <v>281</v>
      </c>
      <c r="S28" s="402" t="s">
        <v>282</v>
      </c>
      <c r="T28" s="94"/>
    </row>
    <row r="29" spans="2:20" ht="15.75" thickBot="1">
      <c r="B29" s="336" t="s">
        <v>211</v>
      </c>
      <c r="C29" s="363">
        <f>(Trends!C265)*10^7/C4</f>
        <v>18860.821948683551</v>
      </c>
      <c r="D29" s="363">
        <f>(Trends!D265)*10^7/D4</f>
        <v>19724.186302257614</v>
      </c>
      <c r="E29" s="363">
        <f>(Trends!E265)*10^7/E4</f>
        <v>23054.541452250676</v>
      </c>
      <c r="F29" s="363">
        <f>(Trends!F265)*10^7/F4</f>
        <v>18299.150650848143</v>
      </c>
      <c r="G29" s="363">
        <f>(Trends!G265)*10^7/G4</f>
        <v>24018.894304839614</v>
      </c>
      <c r="H29" s="363">
        <f>(Trends!H265)*10^7/H4</f>
        <v>26703.858927042791</v>
      </c>
      <c r="I29" s="363">
        <f>(Trends!I265)*10^7/I4</f>
        <v>21630.522527401823</v>
      </c>
      <c r="J29" s="363">
        <f>(Trends!J265)*10^7/J4</f>
        <v>20611.867628656404</v>
      </c>
      <c r="K29" s="363">
        <f>(Trends!K265)*10^7/K4</f>
        <v>14653.79393072506</v>
      </c>
      <c r="L29" s="363">
        <f>(Trends!L265)*10^7/L4</f>
        <v>18293.88221464798</v>
      </c>
      <c r="M29" s="363">
        <f>(Trends!M265)*10^7/M4</f>
        <v>17735.117452479331</v>
      </c>
      <c r="N29" s="363">
        <f>(Trends!N265)*10^7/N4</f>
        <v>24184.046558572634</v>
      </c>
      <c r="O29" s="363">
        <f>(Trends!O265)*10^7/O4</f>
        <v>20757.759155780524</v>
      </c>
      <c r="P29" s="403">
        <f>SUMPRODUCT(C29:E29,C4:E4)/P4</f>
        <v>20641.740855524215</v>
      </c>
      <c r="Q29" s="403">
        <f>SUMPRODUCT(F29:H29,F4:H4)/Q4</f>
        <v>23014.060301474507</v>
      </c>
      <c r="R29" s="403">
        <f>SUMPRODUCT(I29:K29,I4:K4)/R4</f>
        <v>19163.356113962684</v>
      </c>
      <c r="S29" s="403">
        <f>SUMPRODUCT(L29:N29,L4:N4)/S4</f>
        <v>20182.238002892824</v>
      </c>
      <c r="T29" s="95"/>
    </row>
    <row r="30" spans="2:20" ht="15.75" thickBot="1">
      <c r="B30" s="392" t="s">
        <v>278</v>
      </c>
      <c r="C30" s="396">
        <v>20204.711939748307</v>
      </c>
      <c r="D30" s="396">
        <v>19199.322698559925</v>
      </c>
      <c r="E30" s="396">
        <v>19060.265878030586</v>
      </c>
      <c r="F30" s="396">
        <v>19135.867485003142</v>
      </c>
      <c r="G30" s="396">
        <v>18609.139225795727</v>
      </c>
      <c r="H30" s="396">
        <v>20763.014776830281</v>
      </c>
      <c r="I30" s="396">
        <v>19503.317617473127</v>
      </c>
      <c r="J30" s="396">
        <v>19850.734173065244</v>
      </c>
      <c r="K30" s="396">
        <v>20143.288110757811</v>
      </c>
      <c r="L30" s="396">
        <v>19889.758532606193</v>
      </c>
      <c r="M30" s="396">
        <v>20341.370572506079</v>
      </c>
      <c r="N30" s="396">
        <v>17737.14888274642</v>
      </c>
      <c r="O30" s="396">
        <v>19516.702445673232</v>
      </c>
      <c r="P30" s="403">
        <f>SUMPRODUCT(C30:E30,C5:E5)/P5</f>
        <v>19485.079083959634</v>
      </c>
      <c r="Q30" s="403">
        <f t="shared" ref="Q30:Q31" si="84">SUMPRODUCT(F30:H30,F5:H5)/Q5</f>
        <v>19493.087323336942</v>
      </c>
      <c r="R30" s="403">
        <f t="shared" ref="R30:R31" si="85">SUMPRODUCT(I30:K30,I5:K5)/R5</f>
        <v>19815.713989274707</v>
      </c>
      <c r="S30" s="403">
        <f>SUMPRODUCT(L30:N30,L5:N5)/S5</f>
        <v>19276.24831970848</v>
      </c>
      <c r="T30" s="95"/>
    </row>
    <row r="31" spans="2:20" ht="15.75" thickBot="1">
      <c r="B31" s="336" t="s">
        <v>212</v>
      </c>
      <c r="C31" s="363">
        <f>Trends!C235*10^7/C6</f>
        <v>14707.289958698359</v>
      </c>
      <c r="D31" s="363">
        <f>Trends!D235*10^7/D6</f>
        <v>16399.004607374765</v>
      </c>
      <c r="E31" s="363">
        <f>Trends!E235*10^7/E6</f>
        <v>15882.061785390139</v>
      </c>
      <c r="F31" s="363">
        <f>Trends!F235*10^7/F6</f>
        <v>14096.124367861665</v>
      </c>
      <c r="G31" s="363">
        <f>Trends!G235*10^7/G6</f>
        <v>14269.440018958256</v>
      </c>
      <c r="H31" s="363">
        <f>Trends!H235*10^7/H6</f>
        <v>8472.5833061982594</v>
      </c>
      <c r="I31" s="363">
        <f>Trends!I235*10^7/I6</f>
        <v>9083.4358060485429</v>
      </c>
      <c r="J31" s="363">
        <f>Trends!J235*10^7/J6</f>
        <v>11019.036941758503</v>
      </c>
      <c r="K31" s="363">
        <f>Trends!K235*10^7/K6</f>
        <v>11093.423490899913</v>
      </c>
      <c r="L31" s="363">
        <f>Trends!L235*10^7/L6</f>
        <v>17226.745790874964</v>
      </c>
      <c r="M31" s="363">
        <f>Trends!M235*10^7/M6</f>
        <v>9776.4790916174716</v>
      </c>
      <c r="N31" s="363">
        <f>Trends!N235*10^7/N6</f>
        <v>9667.6063451448827</v>
      </c>
      <c r="O31" s="363">
        <f>Trends!O235*10^7/O6</f>
        <v>12981.832364627046</v>
      </c>
      <c r="P31" s="403">
        <f>SUMPRODUCT(C31:E31,C6:E6)/P6</f>
        <v>15673.73383511049</v>
      </c>
      <c r="Q31" s="403">
        <f t="shared" si="84"/>
        <v>12325.434456208111</v>
      </c>
      <c r="R31" s="403">
        <f t="shared" si="85"/>
        <v>10486.907189908299</v>
      </c>
      <c r="S31" s="403">
        <f>SUMPRODUCT(L31:N31,L6:N6)/S6</f>
        <v>12155.425943688908</v>
      </c>
      <c r="T31" s="95"/>
    </row>
    <row r="32" spans="2:20">
      <c r="C32" s="432">
        <f>C31-C30</f>
        <v>-5497.421981049949</v>
      </c>
      <c r="D32" s="432">
        <f t="shared" ref="D32:S32" si="86">D31-D30</f>
        <v>-2800.3180911851596</v>
      </c>
      <c r="E32" s="432">
        <f t="shared" si="86"/>
        <v>-3178.2040926404479</v>
      </c>
      <c r="F32" s="432">
        <f t="shared" si="86"/>
        <v>-5039.7431171414773</v>
      </c>
      <c r="G32" s="432">
        <f t="shared" si="86"/>
        <v>-4339.6992068374711</v>
      </c>
      <c r="H32" s="432">
        <f t="shared" si="86"/>
        <v>-12290.431470632022</v>
      </c>
      <c r="I32" s="432">
        <f t="shared" si="86"/>
        <v>-10419.881811424584</v>
      </c>
      <c r="J32" s="432">
        <f t="shared" si="86"/>
        <v>-8831.6972313067417</v>
      </c>
      <c r="K32" s="432">
        <f t="shared" si="86"/>
        <v>-9049.8646198578972</v>
      </c>
      <c r="L32" s="432">
        <f t="shared" si="86"/>
        <v>-2663.0127417312287</v>
      </c>
      <c r="M32" s="432">
        <f t="shared" si="86"/>
        <v>-10564.891480888607</v>
      </c>
      <c r="N32" s="432">
        <f t="shared" si="86"/>
        <v>-8069.5425376015373</v>
      </c>
      <c r="O32" s="432">
        <f t="shared" si="86"/>
        <v>-6534.8700810461869</v>
      </c>
      <c r="P32" s="432">
        <f t="shared" si="86"/>
        <v>-3811.3452488491439</v>
      </c>
      <c r="Q32" s="432">
        <f t="shared" si="86"/>
        <v>-7167.6528671288306</v>
      </c>
      <c r="R32" s="432">
        <f t="shared" si="86"/>
        <v>-9328.8067993664081</v>
      </c>
      <c r="S32" s="432">
        <f t="shared" si="86"/>
        <v>-7120.8223760195724</v>
      </c>
      <c r="T32" s="95"/>
    </row>
    <row r="33" spans="3:20">
      <c r="C33" s="432">
        <f>C32-C22</f>
        <v>-3277.038360011793</v>
      </c>
      <c r="D33" s="432">
        <f t="shared" ref="D33:S33" si="87">D32-D22</f>
        <v>587.09682925791276</v>
      </c>
      <c r="E33" s="432">
        <f t="shared" si="87"/>
        <v>-1182.5071867816041</v>
      </c>
      <c r="F33" s="432">
        <f t="shared" si="87"/>
        <v>3404.0228521933623</v>
      </c>
      <c r="G33" s="432">
        <f t="shared" si="87"/>
        <v>6273.0928573873643</v>
      </c>
      <c r="H33" s="432">
        <f>H32-H22</f>
        <v>-2221.3841513077277</v>
      </c>
      <c r="I33" s="432">
        <f t="shared" si="87"/>
        <v>-5782.1011555238838</v>
      </c>
      <c r="J33" s="432">
        <f t="shared" si="87"/>
        <v>-3886.3548658232503</v>
      </c>
      <c r="K33" s="432">
        <f t="shared" si="87"/>
        <v>-2741.5880255845586</v>
      </c>
      <c r="L33" s="432">
        <f t="shared" si="87"/>
        <v>196.1402476796975</v>
      </c>
      <c r="M33" s="432">
        <f t="shared" si="87"/>
        <v>-12454.163223015395</v>
      </c>
      <c r="N33" s="432">
        <f t="shared" si="87"/>
        <v>-7637.1581941687509</v>
      </c>
      <c r="O33" s="432">
        <f t="shared" si="87"/>
        <v>-1303.7576049942563</v>
      </c>
      <c r="P33" s="432">
        <f t="shared" si="87"/>
        <v>-1299.8166424339706</v>
      </c>
      <c r="Q33" s="432">
        <f t="shared" si="87"/>
        <v>2569.8014130183092</v>
      </c>
      <c r="R33" s="432">
        <f t="shared" si="87"/>
        <v>-4196.4268168965864</v>
      </c>
      <c r="S33" s="432">
        <f t="shared" si="87"/>
        <v>-6652.4829738904264</v>
      </c>
      <c r="T33" s="94"/>
    </row>
    <row r="34" spans="3:20">
      <c r="T34" s="94"/>
    </row>
    <row r="35" spans="3:20">
      <c r="T35" s="94"/>
    </row>
    <row r="36" spans="3:20">
      <c r="T36" s="94">
        <f t="shared" si="0"/>
        <v>0</v>
      </c>
    </row>
    <row r="37" spans="3:20">
      <c r="T37" s="94">
        <f t="shared" si="0"/>
        <v>0</v>
      </c>
    </row>
    <row r="38" spans="3:20">
      <c r="T38" s="94">
        <f t="shared" si="0"/>
        <v>0</v>
      </c>
    </row>
    <row r="39" spans="3:20">
      <c r="T39" s="94">
        <f t="shared" si="0"/>
        <v>0</v>
      </c>
    </row>
    <row r="40" spans="3:20">
      <c r="T40" s="94">
        <f t="shared" si="0"/>
        <v>0</v>
      </c>
    </row>
    <row r="41" spans="3:20">
      <c r="T41" s="94">
        <f t="shared" si="0"/>
        <v>0</v>
      </c>
    </row>
    <row r="42" spans="3:20">
      <c r="T42" s="94">
        <f t="shared" si="0"/>
        <v>0</v>
      </c>
    </row>
    <row r="43" spans="3:20">
      <c r="T43" s="94">
        <f t="shared" si="0"/>
        <v>0</v>
      </c>
    </row>
    <row r="44" spans="3:20">
      <c r="T44" s="94">
        <f t="shared" si="0"/>
        <v>0</v>
      </c>
    </row>
    <row r="45" spans="3:20">
      <c r="T45" s="94">
        <f t="shared" si="0"/>
        <v>0</v>
      </c>
    </row>
    <row r="46" spans="3:20">
      <c r="T46" s="94">
        <f t="shared" si="0"/>
        <v>0</v>
      </c>
    </row>
    <row r="47" spans="3:20">
      <c r="T47" s="94">
        <f t="shared" si="0"/>
        <v>0</v>
      </c>
    </row>
    <row r="48" spans="3:20">
      <c r="T48" s="94">
        <f t="shared" si="0"/>
        <v>0</v>
      </c>
    </row>
    <row r="49" spans="20:20">
      <c r="T49" s="94">
        <f t="shared" si="0"/>
        <v>0</v>
      </c>
    </row>
  </sheetData>
  <mergeCells count="5">
    <mergeCell ref="C8:O8"/>
    <mergeCell ref="C13:O13"/>
    <mergeCell ref="C18:O18"/>
    <mergeCell ref="C23:O23"/>
    <mergeCell ref="C28:O28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" sqref="F1"/>
    </sheetView>
  </sheetViews>
  <sheetFormatPr defaultRowHeight="15"/>
  <cols>
    <col min="2" max="2" width="33.42578125" customWidth="1"/>
    <col min="4" max="4" width="15.85546875" customWidth="1"/>
    <col min="5" max="5" width="12.5703125" bestFit="1" customWidth="1"/>
    <col min="6" max="6" width="10" bestFit="1" customWidth="1"/>
  </cols>
  <sheetData>
    <row r="1" spans="1:6">
      <c r="C1" t="s">
        <v>219</v>
      </c>
      <c r="D1" t="s">
        <v>220</v>
      </c>
      <c r="E1" t="s">
        <v>221</v>
      </c>
      <c r="F1" t="s">
        <v>231</v>
      </c>
    </row>
    <row r="2" spans="1:6">
      <c r="A2">
        <v>1</v>
      </c>
      <c r="B2" t="s">
        <v>222</v>
      </c>
      <c r="C2">
        <v>450</v>
      </c>
      <c r="D2">
        <v>8021</v>
      </c>
      <c r="E2" s="93">
        <f>D2*C2</f>
        <v>3609450</v>
      </c>
      <c r="F2" t="s">
        <v>232</v>
      </c>
    </row>
    <row r="3" spans="1:6">
      <c r="A3">
        <f>A2+1</f>
        <v>2</v>
      </c>
      <c r="B3" t="s">
        <v>223</v>
      </c>
      <c r="C3">
        <v>200</v>
      </c>
      <c r="D3">
        <v>8500</v>
      </c>
      <c r="E3" s="93">
        <f>D3*C3</f>
        <v>1700000</v>
      </c>
      <c r="F3" t="s">
        <v>232</v>
      </c>
    </row>
    <row r="4" spans="1:6">
      <c r="A4">
        <f t="shared" ref="A4:A10" si="0">A3+1</f>
        <v>3</v>
      </c>
      <c r="B4" t="s">
        <v>224</v>
      </c>
      <c r="C4">
        <v>150</v>
      </c>
      <c r="D4">
        <v>5120</v>
      </c>
      <c r="E4" s="93">
        <f t="shared" ref="E4:E10" si="1">D4*C4</f>
        <v>768000</v>
      </c>
      <c r="F4" t="s">
        <v>232</v>
      </c>
    </row>
    <row r="5" spans="1:6">
      <c r="A5">
        <f t="shared" si="0"/>
        <v>4</v>
      </c>
      <c r="B5" t="s">
        <v>225</v>
      </c>
      <c r="C5">
        <v>1500</v>
      </c>
      <c r="D5">
        <f>-88000*1.5%</f>
        <v>-1320</v>
      </c>
      <c r="E5" s="93">
        <f t="shared" si="1"/>
        <v>-1980000</v>
      </c>
      <c r="F5" t="s">
        <v>232</v>
      </c>
    </row>
    <row r="6" spans="1:6">
      <c r="A6">
        <f t="shared" si="0"/>
        <v>5</v>
      </c>
      <c r="B6" t="s">
        <v>226</v>
      </c>
      <c r="C6">
        <v>25</v>
      </c>
      <c r="D6">
        <v>5700</v>
      </c>
      <c r="E6" s="93">
        <f t="shared" si="1"/>
        <v>142500</v>
      </c>
      <c r="F6" t="s">
        <v>232</v>
      </c>
    </row>
    <row r="7" spans="1:6">
      <c r="A7">
        <f t="shared" si="0"/>
        <v>6</v>
      </c>
      <c r="B7" t="s">
        <v>227</v>
      </c>
      <c r="C7">
        <v>1300</v>
      </c>
      <c r="D7">
        <v>155</v>
      </c>
      <c r="E7" s="93">
        <f t="shared" si="1"/>
        <v>201500</v>
      </c>
      <c r="F7" t="s">
        <v>232</v>
      </c>
    </row>
    <row r="8" spans="1:6">
      <c r="A8">
        <f t="shared" si="0"/>
        <v>7</v>
      </c>
      <c r="B8" t="s">
        <v>228</v>
      </c>
      <c r="C8">
        <v>200</v>
      </c>
      <c r="D8">
        <v>13000</v>
      </c>
      <c r="E8" s="93">
        <f t="shared" si="1"/>
        <v>2600000</v>
      </c>
    </row>
    <row r="9" spans="1:6">
      <c r="A9">
        <f t="shared" si="0"/>
        <v>8</v>
      </c>
      <c r="B9" t="s">
        <v>229</v>
      </c>
      <c r="C9">
        <v>40</v>
      </c>
      <c r="D9">
        <f>5690*0.7</f>
        <v>3982.9999999999995</v>
      </c>
      <c r="E9" s="93">
        <f t="shared" si="1"/>
        <v>159319.99999999997</v>
      </c>
    </row>
    <row r="10" spans="1:6">
      <c r="A10">
        <f t="shared" si="0"/>
        <v>9</v>
      </c>
      <c r="B10" t="s">
        <v>230</v>
      </c>
      <c r="C10">
        <v>200</v>
      </c>
      <c r="D10">
        <v>8000</v>
      </c>
      <c r="E10" s="93">
        <f t="shared" si="1"/>
        <v>1600000</v>
      </c>
      <c r="F10" t="s">
        <v>232</v>
      </c>
    </row>
    <row r="13" spans="1:6">
      <c r="E13" s="342">
        <f>SUM(E2:E12)</f>
        <v>8800770</v>
      </c>
      <c r="F13" s="342">
        <f>E13-E9-E8</f>
        <v>6041450</v>
      </c>
    </row>
    <row r="15" spans="1:6">
      <c r="E15">
        <f>E13*0.3</f>
        <v>2640231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8"/>
  <sheetViews>
    <sheetView workbookViewId="0">
      <selection activeCell="M13" sqref="M13"/>
    </sheetView>
  </sheetViews>
  <sheetFormatPr defaultRowHeight="15"/>
  <cols>
    <col min="3" max="3" width="33.42578125" bestFit="1" customWidth="1"/>
  </cols>
  <sheetData>
    <row r="1" spans="3:4" ht="15.75" thickBot="1"/>
    <row r="2" spans="3:4" ht="15.75" thickBot="1">
      <c r="C2" s="369" t="s">
        <v>252</v>
      </c>
      <c r="D2" s="370" t="s">
        <v>251</v>
      </c>
    </row>
    <row r="4" spans="3:4">
      <c r="C4" t="s">
        <v>248</v>
      </c>
      <c r="D4" s="91">
        <v>-16.010000000000002</v>
      </c>
    </row>
    <row r="5" spans="3:4">
      <c r="D5" s="91"/>
    </row>
    <row r="6" spans="3:4">
      <c r="C6" t="s">
        <v>249</v>
      </c>
      <c r="D6" s="91">
        <f>(20896*(5100-3000))/10^7</f>
        <v>4.3881600000000001</v>
      </c>
    </row>
    <row r="7" spans="3:4">
      <c r="D7" s="91"/>
    </row>
    <row r="8" spans="3:4">
      <c r="C8" t="s">
        <v>253</v>
      </c>
      <c r="D8" s="91">
        <v>3.5</v>
      </c>
    </row>
    <row r="9" spans="3:4">
      <c r="D9" s="91"/>
    </row>
    <row r="10" spans="3:4">
      <c r="C10" t="s">
        <v>254</v>
      </c>
      <c r="D10" s="91">
        <f>1.2/9*12</f>
        <v>1.6</v>
      </c>
    </row>
    <row r="11" spans="3:4" ht="15.75" thickBot="1">
      <c r="D11" s="91"/>
    </row>
    <row r="12" spans="3:4" ht="15.75" thickBot="1">
      <c r="C12" s="369" t="s">
        <v>250</v>
      </c>
      <c r="D12" s="371">
        <f>SUM(D4:D11)</f>
        <v>-6.5218400000000027</v>
      </c>
    </row>
    <row r="13" spans="3:4">
      <c r="D13" s="91"/>
    </row>
    <row r="14" spans="3:4">
      <c r="D14" s="91"/>
    </row>
    <row r="15" spans="3:4">
      <c r="D15" s="91"/>
    </row>
    <row r="16" spans="3:4">
      <c r="D16" s="91"/>
    </row>
    <row r="17" spans="4:4">
      <c r="D17" s="91"/>
    </row>
    <row r="18" spans="4:4">
      <c r="D18" s="9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5"/>
  <sheetViews>
    <sheetView zoomScale="96" zoomScaleNormal="96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O21" sqref="O21"/>
    </sheetView>
  </sheetViews>
  <sheetFormatPr defaultRowHeight="15"/>
  <cols>
    <col min="2" max="2" width="28" customWidth="1"/>
    <col min="3" max="11" width="12.5703125" bestFit="1" customWidth="1"/>
    <col min="12" max="12" width="10.42578125" customWidth="1"/>
    <col min="13" max="15" width="12.5703125" bestFit="1" customWidth="1"/>
    <col min="18" max="18" width="11" bestFit="1" customWidth="1"/>
    <col min="19" max="19" width="24.28515625" customWidth="1"/>
    <col min="30" max="30" width="9.7109375" bestFit="1" customWidth="1"/>
    <col min="32" max="32" width="9.5703125" bestFit="1" customWidth="1"/>
    <col min="33" max="33" width="9.7109375" bestFit="1" customWidth="1"/>
  </cols>
  <sheetData>
    <row r="1" spans="1:34" ht="15.75" thickBot="1"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</row>
    <row r="2" spans="1:34" ht="15.75" thickBot="1">
      <c r="B2" s="97" t="s">
        <v>162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9"/>
      <c r="S2" s="97" t="s">
        <v>162</v>
      </c>
      <c r="T2" s="98" t="s">
        <v>153</v>
      </c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9"/>
    </row>
    <row r="3" spans="1:34" ht="15.75" thickBot="1">
      <c r="B3" s="100" t="s">
        <v>79</v>
      </c>
      <c r="C3" s="101" t="s">
        <v>80</v>
      </c>
      <c r="D3" s="101" t="s">
        <v>81</v>
      </c>
      <c r="E3" s="101" t="s">
        <v>82</v>
      </c>
      <c r="F3" s="101" t="s">
        <v>83</v>
      </c>
      <c r="G3" s="101" t="s">
        <v>84</v>
      </c>
      <c r="H3" s="101" t="s">
        <v>85</v>
      </c>
      <c r="I3" s="101" t="s">
        <v>86</v>
      </c>
      <c r="J3" s="101" t="s">
        <v>87</v>
      </c>
      <c r="K3" s="101" t="s">
        <v>88</v>
      </c>
      <c r="L3" s="101" t="s">
        <v>89</v>
      </c>
      <c r="M3" s="101" t="s">
        <v>90</v>
      </c>
      <c r="N3" s="101" t="s">
        <v>91</v>
      </c>
      <c r="O3" s="102" t="s">
        <v>92</v>
      </c>
      <c r="S3" s="100" t="s">
        <v>79</v>
      </c>
      <c r="T3" s="101" t="s">
        <v>80</v>
      </c>
      <c r="U3" s="101" t="s">
        <v>81</v>
      </c>
      <c r="V3" s="101" t="s">
        <v>82</v>
      </c>
      <c r="W3" s="101" t="s">
        <v>83</v>
      </c>
      <c r="X3" s="101" t="s">
        <v>84</v>
      </c>
      <c r="Y3" s="101" t="s">
        <v>85</v>
      </c>
      <c r="Z3" s="101" t="s">
        <v>86</v>
      </c>
      <c r="AA3" s="101" t="s">
        <v>87</v>
      </c>
      <c r="AB3" s="101" t="s">
        <v>88</v>
      </c>
      <c r="AC3" s="101" t="s">
        <v>89</v>
      </c>
      <c r="AD3" s="101" t="s">
        <v>90</v>
      </c>
      <c r="AE3" s="101" t="s">
        <v>91</v>
      </c>
      <c r="AF3" s="102" t="s">
        <v>92</v>
      </c>
    </row>
    <row r="4" spans="1:34">
      <c r="B4" s="103"/>
      <c r="C4" s="104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6"/>
      <c r="S4" s="103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6"/>
    </row>
    <row r="5" spans="1:34">
      <c r="A5" s="290" t="s">
        <v>168</v>
      </c>
      <c r="B5" s="103" t="s">
        <v>109</v>
      </c>
      <c r="C5" s="156">
        <v>1978.3429834399999</v>
      </c>
      <c r="D5" s="156">
        <v>2054.8130760000431</v>
      </c>
      <c r="E5" s="156">
        <v>2112.9437380000572</v>
      </c>
      <c r="F5" s="156">
        <v>1527.9890739999998</v>
      </c>
      <c r="G5" s="156">
        <v>1708.7642120000414</v>
      </c>
      <c r="H5" s="156">
        <v>1566.7028490400119</v>
      </c>
      <c r="I5" s="156">
        <v>990.57739132003678</v>
      </c>
      <c r="J5" s="156">
        <v>1092.0359547200355</v>
      </c>
      <c r="K5" s="156">
        <v>1384.2994850000687</v>
      </c>
      <c r="L5" s="156">
        <v>1236.046176960042</v>
      </c>
      <c r="M5" s="156">
        <v>1376.9285650000495</v>
      </c>
      <c r="N5" s="156">
        <v>1463.9175660000549</v>
      </c>
      <c r="O5" s="157">
        <f t="shared" ref="O5:O20" si="0">SUM(C5:N5)</f>
        <v>18493.361071480442</v>
      </c>
      <c r="S5" s="103" t="s">
        <v>109</v>
      </c>
      <c r="T5" s="279">
        <v>1978.4870000000005</v>
      </c>
      <c r="U5" s="156">
        <v>2390.0370000000007</v>
      </c>
      <c r="V5" s="156">
        <v>1584.5169999999998</v>
      </c>
      <c r="W5" s="156">
        <v>1699.5869999999995</v>
      </c>
      <c r="X5" s="156">
        <v>2017.2660000000001</v>
      </c>
      <c r="Y5" s="156">
        <v>1362.404</v>
      </c>
      <c r="Z5" s="156">
        <v>806.81999999999994</v>
      </c>
      <c r="AA5" s="156">
        <v>887.79299999999978</v>
      </c>
      <c r="AB5" s="156">
        <v>1232.2670000000001</v>
      </c>
      <c r="AC5" s="156">
        <v>1333.3510000000003</v>
      </c>
      <c r="AD5" s="331">
        <v>1655.6709999999998</v>
      </c>
      <c r="AE5" s="156">
        <v>1657.691</v>
      </c>
      <c r="AF5" s="157">
        <f>SUM(T5:AE5)</f>
        <v>18605.891</v>
      </c>
      <c r="AG5" s="244">
        <f>O5</f>
        <v>18493.361071480442</v>
      </c>
      <c r="AH5" s="244"/>
    </row>
    <row r="6" spans="1:34">
      <c r="A6" s="283"/>
      <c r="B6" s="103" t="s">
        <v>234</v>
      </c>
      <c r="C6" s="156">
        <v>110.14890000000003</v>
      </c>
      <c r="D6" s="156">
        <v>72.598250000000121</v>
      </c>
      <c r="E6" s="156">
        <f>110.94+44.07</f>
        <v>155.01</v>
      </c>
      <c r="F6" s="156">
        <v>69.28667499999996</v>
      </c>
      <c r="G6" s="156">
        <v>56.732199999999963</v>
      </c>
      <c r="H6" s="156">
        <v>58.336320000000029</v>
      </c>
      <c r="I6" s="156">
        <f>128.427375+1.92</f>
        <v>130.347375</v>
      </c>
      <c r="J6" s="156">
        <v>167.19946379999789</v>
      </c>
      <c r="K6" s="156">
        <f>205.411549999999-K7+1.635</f>
        <v>165.55154999999883</v>
      </c>
      <c r="L6" s="156">
        <f>206.678159999997-L7</f>
        <v>105.998159999997</v>
      </c>
      <c r="M6" s="156">
        <f>55.599</f>
        <v>55.598999999999997</v>
      </c>
      <c r="N6" s="156">
        <f>115.083285000001-N7</f>
        <v>55.663375000000784</v>
      </c>
      <c r="O6" s="157">
        <f t="shared" si="0"/>
        <v>1202.4712687999943</v>
      </c>
      <c r="S6" s="103" t="s">
        <v>234</v>
      </c>
      <c r="T6" s="156">
        <v>100.271</v>
      </c>
      <c r="U6" s="156">
        <v>47.471999999999994</v>
      </c>
      <c r="V6" s="156">
        <v>91.697000000000017</v>
      </c>
      <c r="W6" s="156">
        <v>140.81900000000002</v>
      </c>
      <c r="X6" s="156">
        <v>63.23299999999999</v>
      </c>
      <c r="Y6" s="156">
        <v>29.649000000000001</v>
      </c>
      <c r="Z6" s="156">
        <v>72.42</v>
      </c>
      <c r="AA6" s="156">
        <v>255</v>
      </c>
      <c r="AB6" s="156">
        <v>185.55</v>
      </c>
      <c r="AC6" s="156">
        <v>52.75</v>
      </c>
      <c r="AD6" s="331">
        <v>77.293999999999997</v>
      </c>
      <c r="AE6" s="156">
        <v>18.100000000000001</v>
      </c>
      <c r="AF6" s="157">
        <f t="shared" ref="AF6:AF20" si="1">SUM(T6:AE6)</f>
        <v>1134.2550000000001</v>
      </c>
      <c r="AG6" s="244">
        <f t="shared" ref="AG6:AG21" si="2">O6</f>
        <v>1202.4712687999943</v>
      </c>
      <c r="AH6" s="244"/>
    </row>
    <row r="7" spans="1:34">
      <c r="A7" s="283"/>
      <c r="B7" s="103" t="s">
        <v>233</v>
      </c>
      <c r="C7" s="156"/>
      <c r="D7" s="156">
        <v>14.532</v>
      </c>
      <c r="E7" s="156">
        <v>20.517059999999976</v>
      </c>
      <c r="F7" s="156">
        <v>55.837500000000048</v>
      </c>
      <c r="G7" s="156">
        <v>57.816950000000048</v>
      </c>
      <c r="H7" s="156">
        <v>50.203879999999955</v>
      </c>
      <c r="I7" s="156">
        <v>55.686219999999963</v>
      </c>
      <c r="J7" s="156">
        <v>38.500000000000121</v>
      </c>
      <c r="K7" s="156">
        <v>41.495000000000175</v>
      </c>
      <c r="L7" s="156">
        <f>100.68</f>
        <v>100.68</v>
      </c>
      <c r="M7" s="156">
        <v>77.986169999999987</v>
      </c>
      <c r="N7" s="156">
        <v>59.419910000000215</v>
      </c>
      <c r="O7" s="157">
        <f t="shared" si="0"/>
        <v>572.67469000000051</v>
      </c>
      <c r="S7" s="103" t="s">
        <v>233</v>
      </c>
      <c r="T7" s="156">
        <v>0</v>
      </c>
      <c r="U7" s="156">
        <v>27.468</v>
      </c>
      <c r="V7" s="156">
        <v>27.379000000000001</v>
      </c>
      <c r="W7" s="156">
        <v>73.789000000000001</v>
      </c>
      <c r="X7" s="156">
        <v>169.315</v>
      </c>
      <c r="Y7" s="156">
        <v>16.945</v>
      </c>
      <c r="Z7" s="156">
        <v>69.25</v>
      </c>
      <c r="AA7" s="156">
        <v>37.855999999999995</v>
      </c>
      <c r="AB7" s="156">
        <v>60.89</v>
      </c>
      <c r="AC7" s="156">
        <v>60.37</v>
      </c>
      <c r="AD7" s="331">
        <v>87.155000000000001</v>
      </c>
      <c r="AE7" s="156">
        <v>262.39999999999998</v>
      </c>
      <c r="AF7" s="157">
        <f t="shared" si="1"/>
        <v>892.81699999999989</v>
      </c>
      <c r="AG7" s="244">
        <f t="shared" si="2"/>
        <v>572.67469000000051</v>
      </c>
      <c r="AH7" s="244"/>
    </row>
    <row r="8" spans="1:34">
      <c r="A8" s="283"/>
      <c r="B8" s="103" t="s">
        <v>116</v>
      </c>
      <c r="C8" s="156">
        <v>1.6988993999999988</v>
      </c>
      <c r="D8" s="156">
        <v>1.2887244000000013</v>
      </c>
      <c r="E8" s="156">
        <v>1.8923650000000025</v>
      </c>
      <c r="F8" s="156">
        <v>2.5330499999999998</v>
      </c>
      <c r="G8" s="156">
        <v>3.1423499999999844</v>
      </c>
      <c r="H8" s="156">
        <v>3.1036499999999965</v>
      </c>
      <c r="I8" s="156">
        <v>3.0744749999999965</v>
      </c>
      <c r="J8" s="156">
        <v>1.0905767999999989</v>
      </c>
      <c r="K8" s="156">
        <v>1.557900000000001</v>
      </c>
      <c r="L8" s="156">
        <v>1.9343999999999997</v>
      </c>
      <c r="M8" s="156">
        <v>1.9806750000000015</v>
      </c>
      <c r="N8" s="156">
        <v>1.30755</v>
      </c>
      <c r="O8" s="157">
        <f t="shared" si="0"/>
        <v>24.604615599999978</v>
      </c>
      <c r="S8" s="103" t="s">
        <v>116</v>
      </c>
      <c r="T8" s="156">
        <v>1.5819999999999936</v>
      </c>
      <c r="U8" s="156">
        <v>0</v>
      </c>
      <c r="V8" s="156">
        <v>0.89599999999998658</v>
      </c>
      <c r="W8" s="156">
        <v>2.7160000000000082</v>
      </c>
      <c r="X8" s="156">
        <v>4.6080000000000183</v>
      </c>
      <c r="Y8" s="156">
        <v>3.2659999999999982</v>
      </c>
      <c r="Z8" s="156">
        <v>2.81</v>
      </c>
      <c r="AA8" s="156">
        <v>1.53</v>
      </c>
      <c r="AB8" s="156">
        <v>1.1990000000000001</v>
      </c>
      <c r="AC8" s="156">
        <v>3.55</v>
      </c>
      <c r="AD8" s="331">
        <v>0.86399999999999999</v>
      </c>
      <c r="AE8" s="156">
        <v>1</v>
      </c>
      <c r="AF8" s="157">
        <f t="shared" si="1"/>
        <v>24.021000000000008</v>
      </c>
      <c r="AG8" s="244">
        <f t="shared" si="2"/>
        <v>24.604615599999978</v>
      </c>
      <c r="AH8" s="244"/>
    </row>
    <row r="9" spans="1:34">
      <c r="A9" s="283"/>
      <c r="B9" s="103" t="s">
        <v>111</v>
      </c>
      <c r="C9" s="156">
        <v>44.674596000000001</v>
      </c>
      <c r="D9" s="156">
        <v>48.108686000000048</v>
      </c>
      <c r="E9" s="156">
        <v>43.061653999999891</v>
      </c>
      <c r="F9" s="156">
        <v>28.901727999999995</v>
      </c>
      <c r="G9" s="156">
        <v>22.730563999999976</v>
      </c>
      <c r="H9" s="156">
        <v>44.870303999999962</v>
      </c>
      <c r="I9" s="156">
        <v>22.046389999999956</v>
      </c>
      <c r="J9" s="156">
        <v>13.566062999999977</v>
      </c>
      <c r="K9" s="156">
        <v>22.290095999999942</v>
      </c>
      <c r="L9" s="156">
        <v>44.039013999999909</v>
      </c>
      <c r="M9" s="156">
        <v>28.664563999999952</v>
      </c>
      <c r="N9" s="156">
        <v>23.274100999999977</v>
      </c>
      <c r="O9" s="157">
        <f t="shared" si="0"/>
        <v>386.22775999999953</v>
      </c>
      <c r="S9" s="103" t="s">
        <v>111</v>
      </c>
      <c r="T9" s="156">
        <v>27.107999999999997</v>
      </c>
      <c r="U9" s="156">
        <v>30.385999999999999</v>
      </c>
      <c r="V9" s="156">
        <v>9.0850000000000009</v>
      </c>
      <c r="W9" s="156">
        <v>46.177999999999997</v>
      </c>
      <c r="X9" s="156">
        <v>29.739999999999995</v>
      </c>
      <c r="Y9" s="156">
        <v>17.333000000000002</v>
      </c>
      <c r="Z9" s="156">
        <v>36.995000000000005</v>
      </c>
      <c r="AA9" s="156">
        <v>8.8569999999999993</v>
      </c>
      <c r="AB9" s="156">
        <v>2.6829999999999998</v>
      </c>
      <c r="AC9" s="156">
        <v>40.445</v>
      </c>
      <c r="AD9" s="331">
        <v>9.9510000000000005</v>
      </c>
      <c r="AE9" s="156">
        <v>12.719999999999999</v>
      </c>
      <c r="AF9" s="157">
        <f t="shared" si="1"/>
        <v>271.48099999999999</v>
      </c>
      <c r="AG9" s="244">
        <f t="shared" si="2"/>
        <v>386.22775999999953</v>
      </c>
      <c r="AH9" s="244"/>
    </row>
    <row r="10" spans="1:34">
      <c r="A10" s="283"/>
      <c r="B10" s="103" t="s">
        <v>113</v>
      </c>
      <c r="C10" s="156">
        <v>8.742675000000002</v>
      </c>
      <c r="D10" s="156">
        <v>5.1869999999999825</v>
      </c>
      <c r="E10" s="156">
        <v>7.8487499999999972</v>
      </c>
      <c r="F10" s="156">
        <v>11.133525000000001</v>
      </c>
      <c r="G10" s="156">
        <v>7.7428469999999541</v>
      </c>
      <c r="H10" s="156">
        <v>14.129474999999982</v>
      </c>
      <c r="I10" s="156">
        <v>29.89199460000043</v>
      </c>
      <c r="J10" s="156">
        <v>35.318257200000531</v>
      </c>
      <c r="K10" s="156">
        <v>44.346976800000675</v>
      </c>
      <c r="L10" s="156">
        <v>24.156700000000281</v>
      </c>
      <c r="M10" s="156">
        <v>11.238974399999996</v>
      </c>
      <c r="N10" s="156">
        <v>3.9473267999999901</v>
      </c>
      <c r="O10" s="157">
        <f t="shared" si="0"/>
        <v>203.68450180000181</v>
      </c>
      <c r="S10" s="103" t="s">
        <v>113</v>
      </c>
      <c r="T10" s="156">
        <v>12.504000000000001</v>
      </c>
      <c r="U10" s="156">
        <v>9.4749999999999996</v>
      </c>
      <c r="V10" s="156">
        <v>1.8</v>
      </c>
      <c r="W10" s="330">
        <v>5.5920000000000005</v>
      </c>
      <c r="X10" s="156">
        <v>18.770000000000003</v>
      </c>
      <c r="Y10" s="156">
        <v>55.423999999999992</v>
      </c>
      <c r="Z10" s="156">
        <v>18.329999999999998</v>
      </c>
      <c r="AA10" s="156">
        <v>26.201000000000001</v>
      </c>
      <c r="AB10" s="156">
        <v>22.882999999999999</v>
      </c>
      <c r="AC10" s="156">
        <v>12.124000000000001</v>
      </c>
      <c r="AD10" s="331">
        <v>14.031000000000002</v>
      </c>
      <c r="AE10" s="156">
        <v>5.8229999999999995</v>
      </c>
      <c r="AF10" s="157">
        <f t="shared" si="1"/>
        <v>202.95700000000002</v>
      </c>
      <c r="AG10" s="244">
        <f t="shared" si="2"/>
        <v>203.68450180000181</v>
      </c>
      <c r="AH10" s="244"/>
    </row>
    <row r="11" spans="1:34">
      <c r="A11" s="283"/>
      <c r="B11" s="103" t="s">
        <v>19</v>
      </c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7">
        <f t="shared" si="0"/>
        <v>0</v>
      </c>
      <c r="S11" s="103" t="s">
        <v>19</v>
      </c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331"/>
      <c r="AE11" s="156"/>
      <c r="AF11" s="157">
        <f t="shared" si="1"/>
        <v>0</v>
      </c>
      <c r="AG11" s="244">
        <f t="shared" si="2"/>
        <v>0</v>
      </c>
      <c r="AH11" s="244"/>
    </row>
    <row r="12" spans="1:34">
      <c r="A12" s="283"/>
      <c r="B12" s="103" t="s">
        <v>154</v>
      </c>
      <c r="C12" s="156">
        <v>8.6400000000000001E-3</v>
      </c>
      <c r="D12" s="156"/>
      <c r="E12" s="156"/>
      <c r="F12" s="156">
        <v>4.3200000000000001E-3</v>
      </c>
      <c r="G12" s="156"/>
      <c r="H12" s="156"/>
      <c r="I12" s="156"/>
      <c r="J12" s="156"/>
      <c r="K12" s="156"/>
      <c r="L12" s="156"/>
      <c r="M12" s="156"/>
      <c r="N12" s="156"/>
      <c r="O12" s="157">
        <f t="shared" si="0"/>
        <v>1.2959999999999999E-2</v>
      </c>
      <c r="S12" s="103" t="s">
        <v>154</v>
      </c>
      <c r="T12" s="156">
        <v>4.4000000000000004E-2</v>
      </c>
      <c r="U12" s="156">
        <v>4.3999999999999997E-2</v>
      </c>
      <c r="V12" s="156">
        <v>0.48800000000000004</v>
      </c>
      <c r="W12" s="156"/>
      <c r="X12" s="156"/>
      <c r="Y12" s="156"/>
      <c r="Z12" s="156"/>
      <c r="AA12" s="156"/>
      <c r="AB12" s="156"/>
      <c r="AC12" s="156"/>
      <c r="AD12" s="331"/>
      <c r="AE12" s="156"/>
      <c r="AF12" s="157">
        <f t="shared" si="1"/>
        <v>0.57600000000000007</v>
      </c>
      <c r="AG12" s="244">
        <f t="shared" si="2"/>
        <v>1.2959999999999999E-2</v>
      </c>
      <c r="AH12" s="244"/>
    </row>
    <row r="13" spans="1:34">
      <c r="A13" s="283"/>
      <c r="B13" s="103" t="s">
        <v>112</v>
      </c>
      <c r="C13" s="156">
        <v>6.348618519000004</v>
      </c>
      <c r="D13" s="156">
        <v>2.2776390000000086</v>
      </c>
      <c r="E13" s="156">
        <v>1.9277995000000085</v>
      </c>
      <c r="F13" s="156">
        <v>2.856960646000001</v>
      </c>
      <c r="G13" s="156">
        <v>2.0941136000000058</v>
      </c>
      <c r="H13" s="156">
        <v>2.6473574999999974</v>
      </c>
      <c r="I13" s="156">
        <f>3.179095</f>
        <v>3.1790949999999998</v>
      </c>
      <c r="J13" s="156">
        <v>8.2335110000000089</v>
      </c>
      <c r="K13" s="156">
        <v>8.3364069700000361</v>
      </c>
      <c r="L13" s="156">
        <v>6.8929248000000145</v>
      </c>
      <c r="M13" s="156">
        <v>3.5042495199999855</v>
      </c>
      <c r="N13" s="156">
        <v>3.5424995999999922</v>
      </c>
      <c r="O13" s="157">
        <f t="shared" si="0"/>
        <v>51.841175655000065</v>
      </c>
      <c r="S13" s="103" t="s">
        <v>112</v>
      </c>
      <c r="T13" s="156">
        <v>4.7199999999999989</v>
      </c>
      <c r="U13" s="156">
        <v>1.5030000000000003</v>
      </c>
      <c r="V13" s="156">
        <v>2.0630000000000006</v>
      </c>
      <c r="W13" s="156">
        <v>2.1060000000000003</v>
      </c>
      <c r="X13" s="156">
        <v>2.1450000000000005</v>
      </c>
      <c r="Y13" s="156">
        <v>3.1499999999999995</v>
      </c>
      <c r="Z13" s="156">
        <v>10.693999999999999</v>
      </c>
      <c r="AA13" s="156">
        <v>4.4659999999999993</v>
      </c>
      <c r="AB13" s="156">
        <v>10.214</v>
      </c>
      <c r="AC13" s="156">
        <v>6.7329999999999988</v>
      </c>
      <c r="AD13" s="331">
        <v>0.64800000000000002</v>
      </c>
      <c r="AE13" s="156">
        <v>8.9</v>
      </c>
      <c r="AF13" s="157">
        <f t="shared" si="1"/>
        <v>57.341999999999992</v>
      </c>
      <c r="AG13" s="244">
        <f t="shared" si="2"/>
        <v>51.841175655000065</v>
      </c>
      <c r="AH13" s="244"/>
    </row>
    <row r="14" spans="1:34">
      <c r="A14" s="283"/>
      <c r="B14" s="103" t="s">
        <v>18</v>
      </c>
      <c r="C14" s="156">
        <v>25.137855143999996</v>
      </c>
      <c r="D14" s="156">
        <v>20.350952999999969</v>
      </c>
      <c r="E14" s="156">
        <v>21.242876400000011</v>
      </c>
      <c r="F14" s="156">
        <v>43.1327322</v>
      </c>
      <c r="G14" s="156">
        <v>38.555989199999871</v>
      </c>
      <c r="H14" s="156">
        <v>17.880420599999944</v>
      </c>
      <c r="I14" s="156">
        <v>13.373661599999979</v>
      </c>
      <c r="J14" s="156">
        <v>15.40112939999997</v>
      </c>
      <c r="K14" s="156">
        <v>17.20032239519994</v>
      </c>
      <c r="L14" s="156">
        <v>13.693532543999982</v>
      </c>
      <c r="M14" s="156">
        <v>11.539105084799996</v>
      </c>
      <c r="N14" s="156">
        <v>16.213543199999986</v>
      </c>
      <c r="O14" s="157">
        <f t="shared" si="0"/>
        <v>253.72212076799968</v>
      </c>
      <c r="S14" s="103" t="s">
        <v>18</v>
      </c>
      <c r="T14" s="156">
        <v>32.484999999999999</v>
      </c>
      <c r="U14" s="156">
        <v>24.906999999999996</v>
      </c>
      <c r="V14" s="156">
        <v>20.103000000000002</v>
      </c>
      <c r="W14" s="156">
        <v>51.331999999999994</v>
      </c>
      <c r="X14" s="156">
        <v>25.416</v>
      </c>
      <c r="Y14" s="156">
        <v>16.331000000000003</v>
      </c>
      <c r="Z14" s="156">
        <v>11.965999999999998</v>
      </c>
      <c r="AA14" s="156">
        <v>7.8360000000000003</v>
      </c>
      <c r="AB14" s="156">
        <v>19.508000000000003</v>
      </c>
      <c r="AC14" s="156">
        <v>3.3570000000000002</v>
      </c>
      <c r="AD14" s="331">
        <v>19.604000000000003</v>
      </c>
      <c r="AE14" s="156">
        <v>12.915000000000001</v>
      </c>
      <c r="AF14" s="157">
        <f t="shared" si="1"/>
        <v>245.76000000000005</v>
      </c>
      <c r="AG14" s="244">
        <f t="shared" si="2"/>
        <v>253.72212076799968</v>
      </c>
      <c r="AH14" s="244"/>
    </row>
    <row r="15" spans="1:34">
      <c r="A15" s="283"/>
      <c r="B15" s="103" t="s">
        <v>163</v>
      </c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7">
        <f t="shared" si="0"/>
        <v>0</v>
      </c>
      <c r="S15" s="103" t="s">
        <v>163</v>
      </c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331"/>
      <c r="AE15" s="156"/>
      <c r="AF15" s="157">
        <f t="shared" si="1"/>
        <v>0</v>
      </c>
      <c r="AG15" s="244">
        <f t="shared" si="2"/>
        <v>0</v>
      </c>
      <c r="AH15" s="244"/>
    </row>
    <row r="16" spans="1:34">
      <c r="A16" s="283"/>
      <c r="B16" s="103" t="s">
        <v>164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7">
        <f t="shared" si="0"/>
        <v>0</v>
      </c>
      <c r="S16" s="103" t="s">
        <v>164</v>
      </c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331"/>
      <c r="AE16" s="156"/>
      <c r="AF16" s="157">
        <f t="shared" si="1"/>
        <v>0</v>
      </c>
      <c r="AG16" s="244">
        <f t="shared" si="2"/>
        <v>0</v>
      </c>
      <c r="AH16" s="244"/>
    </row>
    <row r="17" spans="1:34">
      <c r="A17" s="283"/>
      <c r="B17" s="103" t="s">
        <v>165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7">
        <f t="shared" si="0"/>
        <v>0</v>
      </c>
      <c r="S17" s="103" t="s">
        <v>165</v>
      </c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331"/>
      <c r="AE17" s="156"/>
      <c r="AF17" s="157">
        <f t="shared" si="1"/>
        <v>0</v>
      </c>
      <c r="AG17" s="244">
        <f t="shared" si="2"/>
        <v>0</v>
      </c>
      <c r="AH17" s="244"/>
    </row>
    <row r="18" spans="1:34">
      <c r="A18" s="283"/>
      <c r="B18" s="103" t="s">
        <v>166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7">
        <f t="shared" si="0"/>
        <v>0</v>
      </c>
      <c r="S18" s="103" t="s">
        <v>166</v>
      </c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331"/>
      <c r="AE18" s="156"/>
      <c r="AF18" s="157">
        <f t="shared" si="1"/>
        <v>0</v>
      </c>
      <c r="AG18" s="244">
        <f t="shared" si="2"/>
        <v>0</v>
      </c>
      <c r="AH18" s="244"/>
    </row>
    <row r="19" spans="1:34">
      <c r="A19" s="283"/>
      <c r="B19" s="103" t="s">
        <v>167</v>
      </c>
      <c r="C19" s="156">
        <v>5.8495799999999987E-2</v>
      </c>
      <c r="D19" s="156">
        <v>1.59534E-2</v>
      </c>
      <c r="E19" s="156"/>
      <c r="F19" s="156">
        <v>0</v>
      </c>
      <c r="G19" s="156">
        <v>4.2542399999999987E-2</v>
      </c>
      <c r="H19" s="156">
        <v>5.3177999999999982E-2</v>
      </c>
      <c r="I19" s="156">
        <v>0.12303359999999994</v>
      </c>
      <c r="J19" s="156">
        <v>0.10696019999999998</v>
      </c>
      <c r="K19" s="156">
        <v>3.6076199999999996E-2</v>
      </c>
      <c r="L19" s="156">
        <v>0.27470340000000015</v>
      </c>
      <c r="M19" s="156">
        <v>0.22799160000000018</v>
      </c>
      <c r="N19" s="156">
        <v>4.7285999999999988E-2</v>
      </c>
      <c r="O19" s="157">
        <f t="shared" si="0"/>
        <v>0.98622060000000011</v>
      </c>
      <c r="S19" s="103" t="s">
        <v>167</v>
      </c>
      <c r="T19" s="156">
        <v>4.4000000000000004E-2</v>
      </c>
      <c r="U19" s="156"/>
      <c r="V19" s="156"/>
      <c r="W19" s="156"/>
      <c r="X19" s="156">
        <v>0.128</v>
      </c>
      <c r="Y19" s="156"/>
      <c r="Z19" s="156">
        <v>0.40800000000000003</v>
      </c>
      <c r="AA19" s="156">
        <v>0.26500000000000001</v>
      </c>
      <c r="AB19" s="156">
        <v>0.39800000000000002</v>
      </c>
      <c r="AC19" s="156">
        <v>0.36899999999999999</v>
      </c>
      <c r="AD19" s="331">
        <v>0.11899999999999999</v>
      </c>
      <c r="AE19" s="156"/>
      <c r="AF19" s="157">
        <f t="shared" si="1"/>
        <v>1.7310000000000001</v>
      </c>
      <c r="AG19" s="244">
        <f t="shared" si="2"/>
        <v>0.98622060000000011</v>
      </c>
      <c r="AH19" s="244"/>
    </row>
    <row r="20" spans="1:34" ht="15.75" thickBot="1">
      <c r="A20" s="283"/>
      <c r="B20" s="103" t="s">
        <v>159</v>
      </c>
      <c r="C20" s="291">
        <v>4.4000000000000004E-2</v>
      </c>
      <c r="D20" s="291">
        <v>4.3999999999999997E-2</v>
      </c>
      <c r="E20" s="291">
        <v>0.48800000000000004</v>
      </c>
      <c r="F20" s="291">
        <v>0.253</v>
      </c>
      <c r="G20" s="291">
        <v>0</v>
      </c>
      <c r="H20" s="291">
        <v>9.5999999999999988E-2</v>
      </c>
      <c r="I20" s="291">
        <v>0.27899999999999997</v>
      </c>
      <c r="J20" s="291">
        <v>0.17399999999999999</v>
      </c>
      <c r="K20" s="291">
        <v>0.68</v>
      </c>
      <c r="L20" s="291">
        <v>0.61099999999999999</v>
      </c>
      <c r="M20" s="331">
        <v>0.61099999999999999</v>
      </c>
      <c r="N20" s="291">
        <v>0.68099999999999994</v>
      </c>
      <c r="O20" s="157">
        <f t="shared" si="0"/>
        <v>3.9609999999999994</v>
      </c>
      <c r="S20" s="103" t="s">
        <v>159</v>
      </c>
      <c r="T20" s="156">
        <v>4.4000000000000004E-2</v>
      </c>
      <c r="U20" s="156">
        <v>4.3999999999999997E-2</v>
      </c>
      <c r="V20" s="156">
        <v>0.48800000000000004</v>
      </c>
      <c r="W20" s="156">
        <v>0.253</v>
      </c>
      <c r="X20" s="156">
        <v>0</v>
      </c>
      <c r="Y20" s="156">
        <v>9.5999999999999988E-2</v>
      </c>
      <c r="Z20" s="156">
        <v>0.27899999999999997</v>
      </c>
      <c r="AA20" s="156">
        <v>0.17399999999999999</v>
      </c>
      <c r="AB20" s="156">
        <v>0.68</v>
      </c>
      <c r="AC20" s="156">
        <v>0.61099999999999999</v>
      </c>
      <c r="AD20" s="331">
        <v>0.61099999999999999</v>
      </c>
      <c r="AE20" s="156">
        <v>0.68099999999999994</v>
      </c>
      <c r="AF20" s="157">
        <f t="shared" si="1"/>
        <v>3.9609999999999994</v>
      </c>
      <c r="AG20" s="244">
        <f t="shared" si="2"/>
        <v>3.9609999999999994</v>
      </c>
      <c r="AH20" s="244"/>
    </row>
    <row r="21" spans="1:34" ht="15.75" thickBot="1">
      <c r="A21" s="283"/>
      <c r="B21" s="109" t="s">
        <v>92</v>
      </c>
      <c r="C21" s="158">
        <f t="shared" ref="C21:O21" si="3">SUM(C4:C20)</f>
        <v>2175.2056633029993</v>
      </c>
      <c r="D21" s="158">
        <f t="shared" si="3"/>
        <v>2219.2162818000429</v>
      </c>
      <c r="E21" s="158">
        <f t="shared" si="3"/>
        <v>2364.9322429000581</v>
      </c>
      <c r="F21" s="158">
        <f t="shared" si="3"/>
        <v>1741.928564846</v>
      </c>
      <c r="G21" s="158">
        <f t="shared" si="3"/>
        <v>1897.6217682000413</v>
      </c>
      <c r="H21" s="158">
        <f t="shared" si="3"/>
        <v>1758.0234341400119</v>
      </c>
      <c r="I21" s="158">
        <f t="shared" si="3"/>
        <v>1248.5786361200371</v>
      </c>
      <c r="J21" s="158">
        <f t="shared" si="3"/>
        <v>1371.6259161200339</v>
      </c>
      <c r="K21" s="158">
        <f t="shared" si="3"/>
        <v>1685.7938133652683</v>
      </c>
      <c r="L21" s="158">
        <f t="shared" si="3"/>
        <v>1534.3266117040391</v>
      </c>
      <c r="M21" s="158">
        <f t="shared" si="3"/>
        <v>1568.2802946048494</v>
      </c>
      <c r="N21" s="158">
        <f t="shared" si="3"/>
        <v>1628.0141576000558</v>
      </c>
      <c r="O21" s="159">
        <f t="shared" si="3"/>
        <v>21193.547384703437</v>
      </c>
      <c r="S21" s="109" t="s">
        <v>92</v>
      </c>
      <c r="T21" s="158">
        <f t="shared" ref="T21:AF21" si="4">SUM(T4:T20)</f>
        <v>2157.2890000000002</v>
      </c>
      <c r="U21" s="158">
        <f t="shared" si="4"/>
        <v>2531.3360000000007</v>
      </c>
      <c r="V21" s="158">
        <f t="shared" si="4"/>
        <v>1738.5160000000001</v>
      </c>
      <c r="W21" s="158">
        <f t="shared" si="4"/>
        <v>2022.3719999999996</v>
      </c>
      <c r="X21" s="158">
        <f t="shared" si="4"/>
        <v>2330.6210000000005</v>
      </c>
      <c r="Y21" s="158">
        <f t="shared" si="4"/>
        <v>1504.598</v>
      </c>
      <c r="Z21" s="158">
        <f t="shared" si="4"/>
        <v>1029.9719999999998</v>
      </c>
      <c r="AA21" s="158">
        <f t="shared" si="4"/>
        <v>1229.9779999999996</v>
      </c>
      <c r="AB21" s="158">
        <f t="shared" si="4"/>
        <v>1536.2720000000002</v>
      </c>
      <c r="AC21" s="158">
        <f t="shared" si="4"/>
        <v>1513.66</v>
      </c>
      <c r="AD21" s="158">
        <f t="shared" si="4"/>
        <v>1865.9479999999999</v>
      </c>
      <c r="AE21" s="158">
        <f t="shared" si="4"/>
        <v>1980.23</v>
      </c>
      <c r="AF21" s="159">
        <f t="shared" si="4"/>
        <v>21440.791999999998</v>
      </c>
      <c r="AG21" s="244">
        <f t="shared" si="2"/>
        <v>21193.547384703437</v>
      </c>
      <c r="AH21" s="244"/>
    </row>
    <row r="22" spans="1:34" ht="15.75" thickBot="1"/>
    <row r="23" spans="1:34" ht="15.75" thickBot="1">
      <c r="B23" s="97" t="s">
        <v>162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9"/>
      <c r="S23" s="97" t="s">
        <v>162</v>
      </c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9"/>
    </row>
    <row r="24" spans="1:34" ht="15.75" thickBot="1">
      <c r="B24" s="239" t="s">
        <v>108</v>
      </c>
      <c r="C24" s="101" t="s">
        <v>80</v>
      </c>
      <c r="D24" s="101" t="s">
        <v>81</v>
      </c>
      <c r="E24" s="101" t="s">
        <v>82</v>
      </c>
      <c r="F24" s="101" t="s">
        <v>83</v>
      </c>
      <c r="G24" s="101" t="s">
        <v>84</v>
      </c>
      <c r="H24" s="101" t="s">
        <v>85</v>
      </c>
      <c r="I24" s="101" t="s">
        <v>86</v>
      </c>
      <c r="J24" s="101" t="s">
        <v>87</v>
      </c>
      <c r="K24" s="101" t="s">
        <v>88</v>
      </c>
      <c r="L24" s="101" t="s">
        <v>89</v>
      </c>
      <c r="M24" s="101" t="s">
        <v>90</v>
      </c>
      <c r="N24" s="101" t="s">
        <v>91</v>
      </c>
      <c r="O24" s="102" t="s">
        <v>92</v>
      </c>
      <c r="S24" s="239" t="s">
        <v>108</v>
      </c>
      <c r="T24" s="101" t="s">
        <v>80</v>
      </c>
      <c r="U24" s="101" t="s">
        <v>81</v>
      </c>
      <c r="V24" s="101" t="s">
        <v>82</v>
      </c>
      <c r="W24" s="101" t="s">
        <v>83</v>
      </c>
      <c r="X24" s="101" t="s">
        <v>84</v>
      </c>
      <c r="Y24" s="101" t="s">
        <v>85</v>
      </c>
      <c r="Z24" s="101" t="s">
        <v>86</v>
      </c>
      <c r="AA24" s="101" t="s">
        <v>87</v>
      </c>
      <c r="AB24" s="101" t="s">
        <v>88</v>
      </c>
      <c r="AC24" s="101" t="s">
        <v>89</v>
      </c>
      <c r="AD24" s="101" t="s">
        <v>90</v>
      </c>
      <c r="AE24" s="101" t="s">
        <v>91</v>
      </c>
      <c r="AF24" s="102" t="s">
        <v>92</v>
      </c>
    </row>
    <row r="25" spans="1:34">
      <c r="B25" s="103"/>
      <c r="C25" s="240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8"/>
      <c r="S25" s="103"/>
      <c r="T25" s="240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8"/>
    </row>
    <row r="26" spans="1:34">
      <c r="B26" s="103" t="s">
        <v>109</v>
      </c>
      <c r="C26" s="240">
        <f t="shared" ref="C26:N26" si="5">IFERROR(C117*10^7/C5,"-")</f>
        <v>88905.770972111277</v>
      </c>
      <c r="D26" s="240">
        <f t="shared" si="5"/>
        <v>87851.721880903351</v>
      </c>
      <c r="E26" s="240">
        <f t="shared" si="5"/>
        <v>88514.889562098033</v>
      </c>
      <c r="F26" s="240">
        <f t="shared" si="5"/>
        <v>88724.884658435723</v>
      </c>
      <c r="G26" s="240">
        <f t="shared" si="5"/>
        <v>88036.33226489478</v>
      </c>
      <c r="H26" s="240">
        <f t="shared" si="5"/>
        <v>88031.930754775458</v>
      </c>
      <c r="I26" s="240">
        <f t="shared" si="5"/>
        <v>91311.432385375287</v>
      </c>
      <c r="J26" s="240">
        <f t="shared" si="5"/>
        <v>92155.266202568062</v>
      </c>
      <c r="K26" s="240">
        <f t="shared" si="5"/>
        <v>93950.079306713043</v>
      </c>
      <c r="L26" s="240">
        <f t="shared" si="5"/>
        <v>98355.770881474629</v>
      </c>
      <c r="M26" s="240">
        <f t="shared" si="5"/>
        <v>100293.62526878581</v>
      </c>
      <c r="N26" s="240">
        <f t="shared" si="5"/>
        <v>97708.415099375168</v>
      </c>
      <c r="O26" s="242">
        <f>IFERROR(O117*10^7/O5,"-")</f>
        <v>91449.318674586335</v>
      </c>
      <c r="S26" s="103" t="s">
        <v>109</v>
      </c>
      <c r="T26" s="240">
        <f t="shared" ref="T26:AF26" si="6">IFERROR(T117*10^7/T5,"-")</f>
        <v>78013.700206268695</v>
      </c>
      <c r="U26" s="240">
        <f t="shared" si="6"/>
        <v>78197.856208920566</v>
      </c>
      <c r="V26" s="240">
        <f t="shared" si="6"/>
        <v>77268.773247620557</v>
      </c>
      <c r="W26" s="240">
        <f t="shared" si="6"/>
        <v>77335.417357275655</v>
      </c>
      <c r="X26" s="240">
        <f t="shared" si="6"/>
        <v>77908.06699760964</v>
      </c>
      <c r="Y26" s="240">
        <f t="shared" si="6"/>
        <v>81034.454214755679</v>
      </c>
      <c r="Z26" s="240">
        <f t="shared" si="6"/>
        <v>79794.074638705046</v>
      </c>
      <c r="AA26" s="240">
        <f t="shared" si="6"/>
        <v>83557.962430431449</v>
      </c>
      <c r="AB26" s="240">
        <f t="shared" si="6"/>
        <v>83047.54047621171</v>
      </c>
      <c r="AC26" s="240">
        <f t="shared" si="6"/>
        <v>86901.365071912776</v>
      </c>
      <c r="AD26" s="240">
        <f t="shared" si="6"/>
        <v>87622.073672849263</v>
      </c>
      <c r="AE26" s="240">
        <f t="shared" si="6"/>
        <v>85441.977799240049</v>
      </c>
      <c r="AF26" s="242">
        <f t="shared" si="6"/>
        <v>80950.592171049459</v>
      </c>
    </row>
    <row r="27" spans="1:34">
      <c r="B27" s="103" t="s">
        <v>110</v>
      </c>
      <c r="C27" s="240">
        <f t="shared" ref="C27:N28" si="7">IFERROR(C118*10^7/C6,"-")</f>
        <v>130133.59888296662</v>
      </c>
      <c r="D27" s="240">
        <f t="shared" si="7"/>
        <v>145045.7943545469</v>
      </c>
      <c r="E27" s="240">
        <f t="shared" si="7"/>
        <v>141661.82826914394</v>
      </c>
      <c r="F27" s="240">
        <f t="shared" si="7"/>
        <v>150758.68094406324</v>
      </c>
      <c r="G27" s="240">
        <f t="shared" si="7"/>
        <v>151913.71178977727</v>
      </c>
      <c r="H27" s="240">
        <f t="shared" si="7"/>
        <v>148573.7242253196</v>
      </c>
      <c r="I27" s="240">
        <f t="shared" si="7"/>
        <v>152094.75449735753</v>
      </c>
      <c r="J27" s="240">
        <f t="shared" si="7"/>
        <v>155653.75437526152</v>
      </c>
      <c r="K27" s="240">
        <f t="shared" si="7"/>
        <v>153250.92607106655</v>
      </c>
      <c r="L27" s="240">
        <f t="shared" si="7"/>
        <v>155689.44913761114</v>
      </c>
      <c r="M27" s="240">
        <f t="shared" si="7"/>
        <v>156885.69254842715</v>
      </c>
      <c r="N27" s="240">
        <f t="shared" si="7"/>
        <v>149613.09316942931</v>
      </c>
      <c r="O27" s="242">
        <f>IFERROR(O118*10^7/O6,"-")</f>
        <v>149133.80176556064</v>
      </c>
      <c r="S27" s="103" t="s">
        <v>110</v>
      </c>
      <c r="T27" s="240">
        <f t="shared" ref="T27:AF27" si="8">IFERROR(T118*10^7/T6,"-")</f>
        <v>115035.73495826313</v>
      </c>
      <c r="U27" s="240">
        <f t="shared" si="8"/>
        <v>136571.64433771488</v>
      </c>
      <c r="V27" s="240">
        <f t="shared" si="8"/>
        <v>124591.09196593128</v>
      </c>
      <c r="W27" s="240">
        <f t="shared" si="8"/>
        <v>134472.36566088378</v>
      </c>
      <c r="X27" s="240">
        <f t="shared" si="8"/>
        <v>131837.69076273468</v>
      </c>
      <c r="Y27" s="240">
        <f t="shared" si="8"/>
        <v>139215.97288272792</v>
      </c>
      <c r="Z27" s="240">
        <f t="shared" si="8"/>
        <v>182270.09113504557</v>
      </c>
      <c r="AA27" s="240">
        <f t="shared" si="8"/>
        <v>140000</v>
      </c>
      <c r="AB27" s="240">
        <f t="shared" si="8"/>
        <v>135273.51118296952</v>
      </c>
      <c r="AC27" s="240">
        <f t="shared" si="8"/>
        <v>142180.09478672987</v>
      </c>
      <c r="AD27" s="240">
        <f t="shared" si="8"/>
        <v>122955.62566305275</v>
      </c>
      <c r="AE27" s="240">
        <f t="shared" si="8"/>
        <v>138121.54696132595</v>
      </c>
      <c r="AF27" s="242">
        <f t="shared" si="8"/>
        <v>136077.69849813313</v>
      </c>
    </row>
    <row r="28" spans="1:34">
      <c r="B28" s="103" t="s">
        <v>233</v>
      </c>
      <c r="C28" s="240" t="str">
        <f t="shared" si="7"/>
        <v>-</v>
      </c>
      <c r="D28" s="240">
        <f t="shared" si="7"/>
        <v>81648.960913845309</v>
      </c>
      <c r="E28" s="240">
        <f t="shared" si="7"/>
        <v>97374.011188737626</v>
      </c>
      <c r="F28" s="240">
        <f t="shared" si="7"/>
        <v>96848.224938437357</v>
      </c>
      <c r="G28" s="240">
        <f t="shared" si="7"/>
        <v>92401.511148547259</v>
      </c>
      <c r="H28" s="240">
        <f t="shared" si="7"/>
        <v>91453.074543242532</v>
      </c>
      <c r="I28" s="240">
        <f t="shared" si="7"/>
        <v>92369.64171746622</v>
      </c>
      <c r="J28" s="240">
        <f t="shared" si="7"/>
        <v>91662.337662337377</v>
      </c>
      <c r="K28" s="240">
        <f t="shared" si="7"/>
        <v>93722.135197011303</v>
      </c>
      <c r="L28" s="240">
        <f t="shared" si="7"/>
        <v>92759.237187127525</v>
      </c>
      <c r="M28" s="240">
        <f t="shared" si="7"/>
        <v>94737.174552872835</v>
      </c>
      <c r="N28" s="240">
        <f t="shared" si="7"/>
        <v>100000.15146438252</v>
      </c>
      <c r="O28" s="242">
        <f>IFERROR(O119*10^7/O7,"-")</f>
        <v>93869.509424277101</v>
      </c>
      <c r="S28" s="103"/>
      <c r="T28" s="240"/>
      <c r="U28" s="240"/>
      <c r="V28" s="240"/>
      <c r="W28" s="240"/>
      <c r="X28" s="240"/>
      <c r="Y28" s="240"/>
      <c r="Z28" s="240"/>
      <c r="AA28" s="240"/>
      <c r="AB28" s="240"/>
      <c r="AC28" s="240"/>
      <c r="AD28" s="240"/>
      <c r="AE28" s="240"/>
      <c r="AF28" s="242"/>
    </row>
    <row r="29" spans="1:34">
      <c r="B29" s="103" t="s">
        <v>116</v>
      </c>
      <c r="C29" s="240">
        <f t="shared" ref="C29:O29" si="9">IFERROR(C120*10^7/C8,"-")</f>
        <v>286352.60569283884</v>
      </c>
      <c r="D29" s="240">
        <f t="shared" si="9"/>
        <v>284398.20026686788</v>
      </c>
      <c r="E29" s="240">
        <f t="shared" si="9"/>
        <v>273941.06845138181</v>
      </c>
      <c r="F29" s="240">
        <f t="shared" si="9"/>
        <v>280556.22668324766</v>
      </c>
      <c r="G29" s="240">
        <f t="shared" si="9"/>
        <v>277515.65229844069</v>
      </c>
      <c r="H29" s="240">
        <f t="shared" si="9"/>
        <v>273350.28756464145</v>
      </c>
      <c r="I29" s="240">
        <f t="shared" si="9"/>
        <v>280066.1836573733</v>
      </c>
      <c r="J29" s="240">
        <f t="shared" si="9"/>
        <v>331946.66345368855</v>
      </c>
      <c r="K29" s="240">
        <f t="shared" si="9"/>
        <v>288361.53796777705</v>
      </c>
      <c r="L29" s="240">
        <f t="shared" si="9"/>
        <v>285345.29569892481</v>
      </c>
      <c r="M29" s="240">
        <f t="shared" si="9"/>
        <v>344022.18940512708</v>
      </c>
      <c r="N29" s="240">
        <f t="shared" si="9"/>
        <v>339561.30167106423</v>
      </c>
      <c r="O29" s="242">
        <f t="shared" si="9"/>
        <v>290683.64148716914</v>
      </c>
      <c r="S29" s="103" t="s">
        <v>116</v>
      </c>
      <c r="T29" s="240">
        <f t="shared" ref="T29:AF29" si="10">IFERROR(T120*10^7/T8,"-")</f>
        <v>199780.58154235338</v>
      </c>
      <c r="U29" s="240" t="str">
        <f t="shared" si="10"/>
        <v>-</v>
      </c>
      <c r="V29" s="240">
        <f t="shared" si="10"/>
        <v>198266.25000000533</v>
      </c>
      <c r="W29" s="240">
        <f t="shared" si="10"/>
        <v>222643.25846833689</v>
      </c>
      <c r="X29" s="240">
        <f t="shared" si="10"/>
        <v>245391.35416666546</v>
      </c>
      <c r="Y29" s="240">
        <f t="shared" si="10"/>
        <v>251917.84445805309</v>
      </c>
      <c r="Z29" s="240">
        <f t="shared" si="10"/>
        <v>355871.88612099644</v>
      </c>
      <c r="AA29" s="240">
        <f t="shared" si="10"/>
        <v>261437.90849673201</v>
      </c>
      <c r="AB29" s="240">
        <f t="shared" si="10"/>
        <v>226451.10925771476</v>
      </c>
      <c r="AC29" s="240">
        <f t="shared" si="10"/>
        <v>253521.12676056341</v>
      </c>
      <c r="AD29" s="240">
        <f t="shared" si="10"/>
        <v>339733.33333333331</v>
      </c>
      <c r="AE29" s="240">
        <f t="shared" si="10"/>
        <v>400000</v>
      </c>
      <c r="AF29" s="242">
        <f t="shared" si="10"/>
        <v>262976.9805586781</v>
      </c>
    </row>
    <row r="30" spans="1:34">
      <c r="B30" s="103" t="s">
        <v>111</v>
      </c>
      <c r="C30" s="240">
        <f t="shared" ref="C30:O30" si="11">IFERROR(C121*10^7/C9,"-")</f>
        <v>106637.90490685131</v>
      </c>
      <c r="D30" s="240">
        <f t="shared" si="11"/>
        <v>110313.45690880051</v>
      </c>
      <c r="E30" s="240">
        <f t="shared" si="11"/>
        <v>108126.78096387186</v>
      </c>
      <c r="F30" s="240">
        <f t="shared" si="11"/>
        <v>110102.00185954283</v>
      </c>
      <c r="G30" s="240">
        <f t="shared" si="11"/>
        <v>104504.75095998538</v>
      </c>
      <c r="H30" s="240">
        <f t="shared" si="11"/>
        <v>103078.82291147421</v>
      </c>
      <c r="I30" s="240">
        <f t="shared" si="11"/>
        <v>101206.13442835778</v>
      </c>
      <c r="J30" s="240">
        <f t="shared" si="11"/>
        <v>102924.26918554066</v>
      </c>
      <c r="K30" s="240">
        <f t="shared" si="11"/>
        <v>107462.07553345719</v>
      </c>
      <c r="L30" s="240">
        <f t="shared" si="11"/>
        <v>98285.672335898038</v>
      </c>
      <c r="M30" s="240">
        <f t="shared" si="11"/>
        <v>100769.58644827157</v>
      </c>
      <c r="N30" s="240">
        <f t="shared" si="11"/>
        <v>105925.76443661597</v>
      </c>
      <c r="O30" s="242">
        <f t="shared" si="11"/>
        <v>105158.2135887906</v>
      </c>
      <c r="S30" s="103" t="s">
        <v>111</v>
      </c>
      <c r="T30" s="240">
        <f t="shared" ref="T30:AF30" si="12">IFERROR(T121*10^7/T9,"-")</f>
        <v>88004.532979194351</v>
      </c>
      <c r="U30" s="240">
        <f t="shared" si="12"/>
        <v>94067.011123543765</v>
      </c>
      <c r="V30" s="240">
        <f t="shared" si="12"/>
        <v>86004.165107319743</v>
      </c>
      <c r="W30" s="240">
        <f t="shared" si="12"/>
        <v>92050.801247347234</v>
      </c>
      <c r="X30" s="240">
        <f t="shared" si="12"/>
        <v>94370.95158036318</v>
      </c>
      <c r="Y30" s="240">
        <f t="shared" si="12"/>
        <v>101090.61212715627</v>
      </c>
      <c r="Z30" s="240">
        <f t="shared" si="12"/>
        <v>88557.411542100264</v>
      </c>
      <c r="AA30" s="240">
        <f t="shared" si="12"/>
        <v>85999.611606638835</v>
      </c>
      <c r="AB30" s="240">
        <f t="shared" si="12"/>
        <v>87342.825195676487</v>
      </c>
      <c r="AC30" s="240">
        <f t="shared" si="12"/>
        <v>84487.699344789231</v>
      </c>
      <c r="AD30" s="240">
        <f t="shared" si="12"/>
        <v>75287.126921917385</v>
      </c>
      <c r="AE30" s="240">
        <f t="shared" si="12"/>
        <v>88528.075471698132</v>
      </c>
      <c r="AF30" s="242">
        <f t="shared" si="12"/>
        <v>89875.157451166</v>
      </c>
    </row>
    <row r="31" spans="1:34">
      <c r="B31" s="103" t="s">
        <v>113</v>
      </c>
      <c r="C31" s="240">
        <f t="shared" ref="C31:O31" si="13">IFERROR(C122*10^7/C10,"-")</f>
        <v>225349.15915323392</v>
      </c>
      <c r="D31" s="240">
        <f t="shared" si="13"/>
        <v>224697.46288799072</v>
      </c>
      <c r="E31" s="240">
        <f t="shared" si="13"/>
        <v>225233.74677496398</v>
      </c>
      <c r="F31" s="240">
        <f t="shared" si="13"/>
        <v>225067.06456400821</v>
      </c>
      <c r="G31" s="240">
        <f t="shared" si="13"/>
        <v>226007.99292560015</v>
      </c>
      <c r="H31" s="240">
        <f t="shared" si="13"/>
        <v>225382.20492976613</v>
      </c>
      <c r="I31" s="240">
        <f t="shared" si="13"/>
        <v>222955.5203385425</v>
      </c>
      <c r="J31" s="240">
        <f t="shared" si="13"/>
        <v>224932.7701820989</v>
      </c>
      <c r="K31" s="240">
        <f t="shared" si="13"/>
        <v>228782.11441010359</v>
      </c>
      <c r="L31" s="240">
        <f t="shared" si="13"/>
        <v>237666.57945828428</v>
      </c>
      <c r="M31" s="240">
        <f t="shared" si="13"/>
        <v>237941.25734461914</v>
      </c>
      <c r="N31" s="240">
        <f t="shared" si="13"/>
        <v>233255.17410922318</v>
      </c>
      <c r="O31" s="242">
        <f t="shared" si="13"/>
        <v>227972.84334177812</v>
      </c>
      <c r="S31" s="103" t="s">
        <v>113</v>
      </c>
      <c r="T31" s="240">
        <f t="shared" ref="T31:AF31" si="14">IFERROR(T122*10^7/T10,"-")</f>
        <v>207048.42610364681</v>
      </c>
      <c r="U31" s="240">
        <f t="shared" si="14"/>
        <v>200608.94564643799</v>
      </c>
      <c r="V31" s="240">
        <f t="shared" si="14"/>
        <v>197040</v>
      </c>
      <c r="W31" s="240">
        <f t="shared" si="14"/>
        <v>198327.33905579397</v>
      </c>
      <c r="X31" s="240">
        <f t="shared" si="14"/>
        <v>200134.75972296213</v>
      </c>
      <c r="Y31" s="240">
        <f t="shared" si="14"/>
        <v>199070.6423210162</v>
      </c>
      <c r="Z31" s="240">
        <f t="shared" si="14"/>
        <v>209096.83797054013</v>
      </c>
      <c r="AA31" s="240">
        <f t="shared" si="14"/>
        <v>207919.92977367275</v>
      </c>
      <c r="AB31" s="240">
        <f t="shared" si="14"/>
        <v>203831.83323864877</v>
      </c>
      <c r="AC31" s="240">
        <f t="shared" si="14"/>
        <v>110653.38172220388</v>
      </c>
      <c r="AD31" s="240">
        <f t="shared" si="14"/>
        <v>179740.85952533674</v>
      </c>
      <c r="AE31" s="240">
        <f t="shared" si="14"/>
        <v>209906.39876352396</v>
      </c>
      <c r="AF31" s="242">
        <f t="shared" si="14"/>
        <v>195971.42251807032</v>
      </c>
    </row>
    <row r="32" spans="1:34">
      <c r="B32" s="103" t="s">
        <v>19</v>
      </c>
      <c r="C32" s="240" t="str">
        <f t="shared" ref="C32:O32" si="15">IFERROR(C123*10^7/C11,"-")</f>
        <v>-</v>
      </c>
      <c r="D32" s="240" t="str">
        <f t="shared" si="15"/>
        <v>-</v>
      </c>
      <c r="E32" s="240" t="str">
        <f t="shared" si="15"/>
        <v>-</v>
      </c>
      <c r="F32" s="240" t="str">
        <f t="shared" si="15"/>
        <v>-</v>
      </c>
      <c r="G32" s="240" t="str">
        <f t="shared" si="15"/>
        <v>-</v>
      </c>
      <c r="H32" s="240" t="str">
        <f t="shared" si="15"/>
        <v>-</v>
      </c>
      <c r="I32" s="240" t="str">
        <f t="shared" si="15"/>
        <v>-</v>
      </c>
      <c r="J32" s="240" t="str">
        <f t="shared" si="15"/>
        <v>-</v>
      </c>
      <c r="K32" s="240" t="str">
        <f t="shared" si="15"/>
        <v>-</v>
      </c>
      <c r="L32" s="240" t="str">
        <f t="shared" si="15"/>
        <v>-</v>
      </c>
      <c r="M32" s="240" t="str">
        <f t="shared" si="15"/>
        <v>-</v>
      </c>
      <c r="N32" s="240" t="str">
        <f t="shared" si="15"/>
        <v>-</v>
      </c>
      <c r="O32" s="242" t="str">
        <f t="shared" si="15"/>
        <v>-</v>
      </c>
      <c r="S32" s="103" t="s">
        <v>19</v>
      </c>
      <c r="T32" s="240" t="str">
        <f t="shared" ref="T32:AF32" si="16">IFERROR(T123*10^7/T11,"-")</f>
        <v>-</v>
      </c>
      <c r="U32" s="240" t="str">
        <f t="shared" si="16"/>
        <v>-</v>
      </c>
      <c r="V32" s="240" t="str">
        <f t="shared" si="16"/>
        <v>-</v>
      </c>
      <c r="W32" s="240" t="str">
        <f t="shared" si="16"/>
        <v>-</v>
      </c>
      <c r="X32" s="240" t="str">
        <f t="shared" si="16"/>
        <v>-</v>
      </c>
      <c r="Y32" s="240" t="str">
        <f t="shared" si="16"/>
        <v>-</v>
      </c>
      <c r="Z32" s="240" t="str">
        <f t="shared" si="16"/>
        <v>-</v>
      </c>
      <c r="AA32" s="240" t="str">
        <f t="shared" si="16"/>
        <v>-</v>
      </c>
      <c r="AB32" s="240" t="str">
        <f t="shared" si="16"/>
        <v>-</v>
      </c>
      <c r="AC32" s="240" t="str">
        <f t="shared" si="16"/>
        <v>-</v>
      </c>
      <c r="AD32" s="240" t="str">
        <f t="shared" si="16"/>
        <v>-</v>
      </c>
      <c r="AE32" s="240" t="str">
        <f t="shared" si="16"/>
        <v>-</v>
      </c>
      <c r="AF32" s="242" t="str">
        <f t="shared" si="16"/>
        <v>-</v>
      </c>
    </row>
    <row r="33" spans="2:32">
      <c r="B33" s="103" t="s">
        <v>154</v>
      </c>
      <c r="C33" s="240">
        <f t="shared" ref="C33:O33" si="17">IFERROR(C124*10^7/C12,"-")</f>
        <v>85524.305555555547</v>
      </c>
      <c r="D33" s="240" t="str">
        <f t="shared" si="17"/>
        <v>-</v>
      </c>
      <c r="E33" s="240" t="str">
        <f t="shared" si="17"/>
        <v>-</v>
      </c>
      <c r="F33" s="240">
        <f t="shared" si="17"/>
        <v>173474.53703703702</v>
      </c>
      <c r="G33" s="240" t="str">
        <f t="shared" si="17"/>
        <v>-</v>
      </c>
      <c r="H33" s="240" t="str">
        <f t="shared" si="17"/>
        <v>-</v>
      </c>
      <c r="I33" s="240" t="str">
        <f t="shared" si="17"/>
        <v>-</v>
      </c>
      <c r="J33" s="240" t="str">
        <f t="shared" si="17"/>
        <v>-</v>
      </c>
      <c r="K33" s="240" t="str">
        <f t="shared" si="17"/>
        <v>-</v>
      </c>
      <c r="L33" s="240" t="str">
        <f t="shared" si="17"/>
        <v>-</v>
      </c>
      <c r="M33" s="240" t="str">
        <f t="shared" si="17"/>
        <v>-</v>
      </c>
      <c r="N33" s="240" t="str">
        <f t="shared" si="17"/>
        <v>-</v>
      </c>
      <c r="O33" s="242">
        <f t="shared" si="17"/>
        <v>114841.04938271604</v>
      </c>
      <c r="S33" s="103" t="s">
        <v>154</v>
      </c>
      <c r="T33" s="240">
        <f t="shared" ref="T33:AF33" si="18">IFERROR(T124*10^7/T12,"-")</f>
        <v>0</v>
      </c>
      <c r="U33" s="240">
        <f t="shared" si="18"/>
        <v>0</v>
      </c>
      <c r="V33" s="240">
        <f t="shared" si="18"/>
        <v>0</v>
      </c>
      <c r="W33" s="240" t="str">
        <f t="shared" si="18"/>
        <v>-</v>
      </c>
      <c r="X33" s="240" t="str">
        <f t="shared" si="18"/>
        <v>-</v>
      </c>
      <c r="Y33" s="240" t="str">
        <f t="shared" si="18"/>
        <v>-</v>
      </c>
      <c r="Z33" s="240" t="str">
        <f t="shared" si="18"/>
        <v>-</v>
      </c>
      <c r="AA33" s="240" t="str">
        <f t="shared" si="18"/>
        <v>-</v>
      </c>
      <c r="AB33" s="240" t="str">
        <f t="shared" si="18"/>
        <v>-</v>
      </c>
      <c r="AC33" s="240" t="str">
        <f t="shared" si="18"/>
        <v>-</v>
      </c>
      <c r="AD33" s="240" t="str">
        <f t="shared" si="18"/>
        <v>-</v>
      </c>
      <c r="AE33" s="240" t="str">
        <f t="shared" si="18"/>
        <v>-</v>
      </c>
      <c r="AF33" s="242">
        <f t="shared" si="18"/>
        <v>0</v>
      </c>
    </row>
    <row r="34" spans="2:32">
      <c r="B34" s="103" t="s">
        <v>112</v>
      </c>
      <c r="C34" s="240">
        <f t="shared" ref="C34:O34" si="19">IFERROR(C125*10^7/C13,"-")</f>
        <v>443115.82773178088</v>
      </c>
      <c r="D34" s="240">
        <f t="shared" si="19"/>
        <v>375982.88403034641</v>
      </c>
      <c r="E34" s="240">
        <f t="shared" si="19"/>
        <v>360775.90537812456</v>
      </c>
      <c r="F34" s="240">
        <f t="shared" si="19"/>
        <v>364878.22870766971</v>
      </c>
      <c r="G34" s="240">
        <f t="shared" si="19"/>
        <v>355858.90851384448</v>
      </c>
      <c r="H34" s="240">
        <f t="shared" si="19"/>
        <v>408541.54000734817</v>
      </c>
      <c r="I34" s="240">
        <f t="shared" si="19"/>
        <v>227919.48022943639</v>
      </c>
      <c r="J34" s="240">
        <f t="shared" si="19"/>
        <v>190625.69054683956</v>
      </c>
      <c r="K34" s="240">
        <f t="shared" si="19"/>
        <v>110666.07512324888</v>
      </c>
      <c r="L34" s="240">
        <f t="shared" si="19"/>
        <v>175810.11619334581</v>
      </c>
      <c r="M34" s="240">
        <f t="shared" si="19"/>
        <v>196218.98671188334</v>
      </c>
      <c r="N34" s="240">
        <f t="shared" si="19"/>
        <v>190553.65595524741</v>
      </c>
      <c r="O34" s="242">
        <f t="shared" si="19"/>
        <v>251255.3697987693</v>
      </c>
      <c r="S34" s="103" t="s">
        <v>112</v>
      </c>
      <c r="T34" s="240">
        <f t="shared" ref="T34:AF34" si="20">IFERROR(T125*10^7/T13,"-")</f>
        <v>337196.01483050862</v>
      </c>
      <c r="U34" s="240">
        <f t="shared" si="20"/>
        <v>243993.06054557543</v>
      </c>
      <c r="V34" s="240">
        <f t="shared" si="20"/>
        <v>278737.31459040224</v>
      </c>
      <c r="W34" s="240">
        <f t="shared" si="20"/>
        <v>252135.702754036</v>
      </c>
      <c r="X34" s="240">
        <f t="shared" si="20"/>
        <v>255700.93706293701</v>
      </c>
      <c r="Y34" s="240">
        <f t="shared" si="20"/>
        <v>246798.68571428568</v>
      </c>
      <c r="Z34" s="240">
        <f t="shared" si="20"/>
        <v>275857.97737048811</v>
      </c>
      <c r="AA34" s="240">
        <f t="shared" si="20"/>
        <v>274302.55038065388</v>
      </c>
      <c r="AB34" s="240">
        <f t="shared" si="20"/>
        <v>281018.08302330138</v>
      </c>
      <c r="AC34" s="240">
        <f t="shared" si="20"/>
        <v>273197.7825634933</v>
      </c>
      <c r="AD34" s="240">
        <f t="shared" si="20"/>
        <v>319167.39197530865</v>
      </c>
      <c r="AE34" s="240">
        <f t="shared" si="20"/>
        <v>276568.35393258434</v>
      </c>
      <c r="AF34" s="242">
        <f t="shared" si="20"/>
        <v>278039.00439468457</v>
      </c>
    </row>
    <row r="35" spans="2:32">
      <c r="B35" s="103" t="s">
        <v>18</v>
      </c>
      <c r="C35" s="240">
        <f t="shared" ref="C35:O35" si="21">IFERROR(C126*10^7/C14,"-")</f>
        <v>100140.69838415967</v>
      </c>
      <c r="D35" s="240">
        <f t="shared" si="21"/>
        <v>101122.85896390243</v>
      </c>
      <c r="E35" s="240">
        <f t="shared" si="21"/>
        <v>98945.374930487378</v>
      </c>
      <c r="F35" s="240">
        <f t="shared" si="21"/>
        <v>87347.877304188019</v>
      </c>
      <c r="G35" s="240">
        <f t="shared" si="21"/>
        <v>78071.383265145545</v>
      </c>
      <c r="H35" s="240">
        <f t="shared" si="21"/>
        <v>98590.944219735349</v>
      </c>
      <c r="I35" s="240">
        <f t="shared" si="21"/>
        <v>105933.44533257862</v>
      </c>
      <c r="J35" s="240">
        <f t="shared" si="21"/>
        <v>107909.32514338891</v>
      </c>
      <c r="K35" s="240">
        <f t="shared" si="21"/>
        <v>109124.93364216303</v>
      </c>
      <c r="L35" s="240">
        <f t="shared" si="21"/>
        <v>112813.06741238831</v>
      </c>
      <c r="M35" s="240">
        <f t="shared" si="21"/>
        <v>111624.45272265466</v>
      </c>
      <c r="N35" s="240">
        <f t="shared" si="21"/>
        <v>111140.52849348847</v>
      </c>
      <c r="O35" s="242">
        <f t="shared" si="21"/>
        <v>97776.803240125359</v>
      </c>
      <c r="S35" s="103" t="s">
        <v>18</v>
      </c>
      <c r="T35" s="240">
        <f t="shared" ref="T35:AF35" si="22">IFERROR(T126*10^7/T14,"-")</f>
        <v>80866.200092350293</v>
      </c>
      <c r="U35" s="240">
        <f t="shared" si="22"/>
        <v>74916.248845706039</v>
      </c>
      <c r="V35" s="240">
        <f t="shared" si="22"/>
        <v>65388.305228075413</v>
      </c>
      <c r="W35" s="240">
        <f t="shared" si="22"/>
        <v>60877.459479467019</v>
      </c>
      <c r="X35" s="240">
        <f t="shared" si="22"/>
        <v>71976.687519672632</v>
      </c>
      <c r="Y35" s="240">
        <f t="shared" si="22"/>
        <v>84353.380074704532</v>
      </c>
      <c r="Z35" s="240">
        <f t="shared" si="22"/>
        <v>87618.097944175184</v>
      </c>
      <c r="AA35" s="240">
        <f t="shared" si="22"/>
        <v>90801.151097498718</v>
      </c>
      <c r="AB35" s="240">
        <f t="shared" si="22"/>
        <v>84742.388763584153</v>
      </c>
      <c r="AC35" s="240">
        <f t="shared" si="22"/>
        <v>93326.279416145349</v>
      </c>
      <c r="AD35" s="240">
        <f t="shared" si="22"/>
        <v>83340.944705162197</v>
      </c>
      <c r="AE35" s="240">
        <f t="shared" si="22"/>
        <v>81889.130468447533</v>
      </c>
      <c r="AF35" s="242">
        <f t="shared" si="22"/>
        <v>75509.015828450501</v>
      </c>
    </row>
    <row r="36" spans="2:32">
      <c r="B36" s="103" t="s">
        <v>163</v>
      </c>
      <c r="C36" s="240" t="str">
        <f t="shared" ref="C36:O36" si="23">IFERROR(C127*10^7/C15,"-")</f>
        <v>-</v>
      </c>
      <c r="D36" s="240" t="str">
        <f t="shared" si="23"/>
        <v>-</v>
      </c>
      <c r="E36" s="240" t="str">
        <f t="shared" si="23"/>
        <v>-</v>
      </c>
      <c r="F36" s="240" t="str">
        <f t="shared" si="23"/>
        <v>-</v>
      </c>
      <c r="G36" s="240" t="str">
        <f t="shared" si="23"/>
        <v>-</v>
      </c>
      <c r="H36" s="240" t="str">
        <f t="shared" si="23"/>
        <v>-</v>
      </c>
      <c r="I36" s="240" t="str">
        <f t="shared" si="23"/>
        <v>-</v>
      </c>
      <c r="J36" s="240" t="str">
        <f t="shared" si="23"/>
        <v>-</v>
      </c>
      <c r="K36" s="240" t="str">
        <f t="shared" si="23"/>
        <v>-</v>
      </c>
      <c r="L36" s="240" t="str">
        <f t="shared" si="23"/>
        <v>-</v>
      </c>
      <c r="M36" s="240" t="str">
        <f t="shared" si="23"/>
        <v>-</v>
      </c>
      <c r="N36" s="240" t="str">
        <f t="shared" si="23"/>
        <v>-</v>
      </c>
      <c r="O36" s="242" t="str">
        <f t="shared" si="23"/>
        <v>-</v>
      </c>
      <c r="S36" s="103" t="s">
        <v>163</v>
      </c>
      <c r="T36" s="240" t="str">
        <f t="shared" ref="T36:AF36" si="24">IFERROR(T127*10^7/T15,"-")</f>
        <v>-</v>
      </c>
      <c r="U36" s="240" t="str">
        <f t="shared" si="24"/>
        <v>-</v>
      </c>
      <c r="V36" s="240" t="str">
        <f t="shared" si="24"/>
        <v>-</v>
      </c>
      <c r="W36" s="240" t="str">
        <f t="shared" si="24"/>
        <v>-</v>
      </c>
      <c r="X36" s="240" t="str">
        <f t="shared" si="24"/>
        <v>-</v>
      </c>
      <c r="Y36" s="240" t="str">
        <f t="shared" si="24"/>
        <v>-</v>
      </c>
      <c r="Z36" s="240" t="str">
        <f t="shared" si="24"/>
        <v>-</v>
      </c>
      <c r="AA36" s="240" t="str">
        <f t="shared" si="24"/>
        <v>-</v>
      </c>
      <c r="AB36" s="240" t="str">
        <f t="shared" si="24"/>
        <v>-</v>
      </c>
      <c r="AC36" s="240" t="str">
        <f t="shared" si="24"/>
        <v>-</v>
      </c>
      <c r="AD36" s="240" t="str">
        <f t="shared" si="24"/>
        <v>-</v>
      </c>
      <c r="AE36" s="240" t="str">
        <f t="shared" si="24"/>
        <v>-</v>
      </c>
      <c r="AF36" s="242" t="str">
        <f t="shared" si="24"/>
        <v>-</v>
      </c>
    </row>
    <row r="37" spans="2:32">
      <c r="B37" s="103" t="s">
        <v>164</v>
      </c>
      <c r="C37" s="240" t="str">
        <f t="shared" ref="C37:O37" si="25">IFERROR(C128*10^7/C16,"-")</f>
        <v>-</v>
      </c>
      <c r="D37" s="240" t="str">
        <f t="shared" si="25"/>
        <v>-</v>
      </c>
      <c r="E37" s="240" t="str">
        <f t="shared" si="25"/>
        <v>-</v>
      </c>
      <c r="F37" s="240" t="str">
        <f t="shared" si="25"/>
        <v>-</v>
      </c>
      <c r="G37" s="240" t="str">
        <f t="shared" si="25"/>
        <v>-</v>
      </c>
      <c r="H37" s="240" t="str">
        <f t="shared" si="25"/>
        <v>-</v>
      </c>
      <c r="I37" s="240" t="str">
        <f t="shared" si="25"/>
        <v>-</v>
      </c>
      <c r="J37" s="240" t="str">
        <f t="shared" si="25"/>
        <v>-</v>
      </c>
      <c r="K37" s="240" t="str">
        <f t="shared" si="25"/>
        <v>-</v>
      </c>
      <c r="L37" s="240" t="str">
        <f t="shared" si="25"/>
        <v>-</v>
      </c>
      <c r="M37" s="240" t="str">
        <f t="shared" si="25"/>
        <v>-</v>
      </c>
      <c r="N37" s="240" t="str">
        <f t="shared" si="25"/>
        <v>-</v>
      </c>
      <c r="O37" s="242" t="str">
        <f t="shared" si="25"/>
        <v>-</v>
      </c>
      <c r="S37" s="103" t="s">
        <v>164</v>
      </c>
      <c r="T37" s="240" t="str">
        <f t="shared" ref="T37:AF37" si="26">IFERROR(T128*10^7/T16,"-")</f>
        <v>-</v>
      </c>
      <c r="U37" s="240" t="str">
        <f t="shared" si="26"/>
        <v>-</v>
      </c>
      <c r="V37" s="240" t="str">
        <f t="shared" si="26"/>
        <v>-</v>
      </c>
      <c r="W37" s="240" t="str">
        <f t="shared" si="26"/>
        <v>-</v>
      </c>
      <c r="X37" s="240" t="str">
        <f t="shared" si="26"/>
        <v>-</v>
      </c>
      <c r="Y37" s="240" t="str">
        <f t="shared" si="26"/>
        <v>-</v>
      </c>
      <c r="Z37" s="240" t="str">
        <f t="shared" si="26"/>
        <v>-</v>
      </c>
      <c r="AA37" s="240" t="str">
        <f t="shared" si="26"/>
        <v>-</v>
      </c>
      <c r="AB37" s="240" t="str">
        <f t="shared" si="26"/>
        <v>-</v>
      </c>
      <c r="AC37" s="240" t="str">
        <f t="shared" si="26"/>
        <v>-</v>
      </c>
      <c r="AD37" s="240" t="str">
        <f t="shared" si="26"/>
        <v>-</v>
      </c>
      <c r="AE37" s="240" t="str">
        <f t="shared" si="26"/>
        <v>-</v>
      </c>
      <c r="AF37" s="242" t="str">
        <f t="shared" si="26"/>
        <v>-</v>
      </c>
    </row>
    <row r="38" spans="2:32">
      <c r="B38" s="103" t="s">
        <v>165</v>
      </c>
      <c r="C38" s="240" t="str">
        <f t="shared" ref="C38:O38" si="27">IFERROR(C129*10^7/C17,"-")</f>
        <v>-</v>
      </c>
      <c r="D38" s="240" t="str">
        <f t="shared" si="27"/>
        <v>-</v>
      </c>
      <c r="E38" s="240" t="str">
        <f t="shared" si="27"/>
        <v>-</v>
      </c>
      <c r="F38" s="240" t="str">
        <f t="shared" si="27"/>
        <v>-</v>
      </c>
      <c r="G38" s="240" t="str">
        <f t="shared" si="27"/>
        <v>-</v>
      </c>
      <c r="H38" s="240" t="str">
        <f t="shared" si="27"/>
        <v>-</v>
      </c>
      <c r="I38" s="240" t="str">
        <f t="shared" si="27"/>
        <v>-</v>
      </c>
      <c r="J38" s="240" t="str">
        <f t="shared" si="27"/>
        <v>-</v>
      </c>
      <c r="K38" s="240" t="str">
        <f t="shared" si="27"/>
        <v>-</v>
      </c>
      <c r="L38" s="240" t="str">
        <f t="shared" si="27"/>
        <v>-</v>
      </c>
      <c r="M38" s="240" t="str">
        <f t="shared" si="27"/>
        <v>-</v>
      </c>
      <c r="N38" s="240" t="str">
        <f t="shared" si="27"/>
        <v>-</v>
      </c>
      <c r="O38" s="242" t="str">
        <f t="shared" si="27"/>
        <v>-</v>
      </c>
      <c r="S38" s="103" t="s">
        <v>165</v>
      </c>
      <c r="T38" s="240" t="str">
        <f t="shared" ref="T38:AF38" si="28">IFERROR(T129*10^7/T17,"-")</f>
        <v>-</v>
      </c>
      <c r="U38" s="240" t="str">
        <f t="shared" si="28"/>
        <v>-</v>
      </c>
      <c r="V38" s="240" t="str">
        <f t="shared" si="28"/>
        <v>-</v>
      </c>
      <c r="W38" s="240" t="str">
        <f t="shared" si="28"/>
        <v>-</v>
      </c>
      <c r="X38" s="240" t="str">
        <f t="shared" si="28"/>
        <v>-</v>
      </c>
      <c r="Y38" s="240" t="str">
        <f t="shared" si="28"/>
        <v>-</v>
      </c>
      <c r="Z38" s="240" t="str">
        <f t="shared" si="28"/>
        <v>-</v>
      </c>
      <c r="AA38" s="240" t="str">
        <f t="shared" si="28"/>
        <v>-</v>
      </c>
      <c r="AB38" s="240" t="str">
        <f t="shared" si="28"/>
        <v>-</v>
      </c>
      <c r="AC38" s="240" t="str">
        <f t="shared" si="28"/>
        <v>-</v>
      </c>
      <c r="AD38" s="240" t="str">
        <f t="shared" si="28"/>
        <v>-</v>
      </c>
      <c r="AE38" s="240" t="str">
        <f t="shared" si="28"/>
        <v>-</v>
      </c>
      <c r="AF38" s="242" t="str">
        <f t="shared" si="28"/>
        <v>-</v>
      </c>
    </row>
    <row r="39" spans="2:32">
      <c r="B39" s="103" t="s">
        <v>166</v>
      </c>
      <c r="C39" s="240" t="str">
        <f t="shared" ref="C39:O39" si="29">IFERROR(C130*10^7/C18,"-")</f>
        <v>-</v>
      </c>
      <c r="D39" s="240" t="str">
        <f t="shared" si="29"/>
        <v>-</v>
      </c>
      <c r="E39" s="240" t="str">
        <f t="shared" si="29"/>
        <v>-</v>
      </c>
      <c r="F39" s="240" t="str">
        <f t="shared" si="29"/>
        <v>-</v>
      </c>
      <c r="G39" s="240" t="str">
        <f t="shared" si="29"/>
        <v>-</v>
      </c>
      <c r="H39" s="240" t="str">
        <f t="shared" si="29"/>
        <v>-</v>
      </c>
      <c r="I39" s="240" t="str">
        <f t="shared" si="29"/>
        <v>-</v>
      </c>
      <c r="J39" s="240" t="str">
        <f t="shared" si="29"/>
        <v>-</v>
      </c>
      <c r="K39" s="240" t="str">
        <f t="shared" si="29"/>
        <v>-</v>
      </c>
      <c r="L39" s="240" t="str">
        <f t="shared" si="29"/>
        <v>-</v>
      </c>
      <c r="M39" s="240" t="str">
        <f t="shared" si="29"/>
        <v>-</v>
      </c>
      <c r="N39" s="240" t="str">
        <f t="shared" si="29"/>
        <v>-</v>
      </c>
      <c r="O39" s="242" t="str">
        <f t="shared" si="29"/>
        <v>-</v>
      </c>
      <c r="S39" s="103" t="s">
        <v>166</v>
      </c>
      <c r="T39" s="240" t="str">
        <f t="shared" ref="T39:AF39" si="30">IFERROR(T130*10^7/T18,"-")</f>
        <v>-</v>
      </c>
      <c r="U39" s="240" t="str">
        <f t="shared" si="30"/>
        <v>-</v>
      </c>
      <c r="V39" s="240" t="str">
        <f t="shared" si="30"/>
        <v>-</v>
      </c>
      <c r="W39" s="240" t="str">
        <f t="shared" si="30"/>
        <v>-</v>
      </c>
      <c r="X39" s="240" t="str">
        <f t="shared" si="30"/>
        <v>-</v>
      </c>
      <c r="Y39" s="240" t="str">
        <f t="shared" si="30"/>
        <v>-</v>
      </c>
      <c r="Z39" s="240" t="str">
        <f t="shared" si="30"/>
        <v>-</v>
      </c>
      <c r="AA39" s="240" t="str">
        <f t="shared" si="30"/>
        <v>-</v>
      </c>
      <c r="AB39" s="240" t="str">
        <f t="shared" si="30"/>
        <v>-</v>
      </c>
      <c r="AC39" s="240" t="str">
        <f t="shared" si="30"/>
        <v>-</v>
      </c>
      <c r="AD39" s="240" t="str">
        <f t="shared" si="30"/>
        <v>-</v>
      </c>
      <c r="AE39" s="240" t="str">
        <f t="shared" si="30"/>
        <v>-</v>
      </c>
      <c r="AF39" s="242" t="str">
        <f t="shared" si="30"/>
        <v>-</v>
      </c>
    </row>
    <row r="40" spans="2:32">
      <c r="B40" s="103" t="s">
        <v>167</v>
      </c>
      <c r="C40" s="240">
        <f t="shared" ref="C40:O40" si="31">IFERROR(C131*10^7/C19,"-")</f>
        <v>946103.65188611823</v>
      </c>
      <c r="D40" s="240">
        <f t="shared" si="31"/>
        <v>946103.65188611834</v>
      </c>
      <c r="E40" s="240" t="str">
        <f t="shared" si="31"/>
        <v>-</v>
      </c>
      <c r="F40" s="240" t="str">
        <f t="shared" si="31"/>
        <v>-</v>
      </c>
      <c r="G40" s="240">
        <f t="shared" si="31"/>
        <v>946103.65188611869</v>
      </c>
      <c r="H40" s="240">
        <f t="shared" si="31"/>
        <v>939013.50182406302</v>
      </c>
      <c r="I40" s="240">
        <f t="shared" si="31"/>
        <v>627082.03287557291</v>
      </c>
      <c r="J40" s="240">
        <f t="shared" si="31"/>
        <v>620604.01906503562</v>
      </c>
      <c r="K40" s="240">
        <f t="shared" si="31"/>
        <v>666594.0426098092</v>
      </c>
      <c r="L40" s="240">
        <f t="shared" si="31"/>
        <v>639261.25413809903</v>
      </c>
      <c r="M40" s="240">
        <f t="shared" si="31"/>
        <v>1020564.6172929168</v>
      </c>
      <c r="N40" s="240">
        <f t="shared" si="31"/>
        <v>685318.698980671</v>
      </c>
      <c r="O40" s="242">
        <f t="shared" si="31"/>
        <v>779637.62874148029</v>
      </c>
      <c r="S40" s="103" t="s">
        <v>167</v>
      </c>
      <c r="T40" s="240">
        <f t="shared" ref="T40:AF40" si="32">IFERROR(T131*10^7/T19,"-")</f>
        <v>415918.18181818182</v>
      </c>
      <c r="U40" s="240" t="str">
        <f t="shared" si="32"/>
        <v>-</v>
      </c>
      <c r="V40" s="240" t="str">
        <f t="shared" si="32"/>
        <v>-</v>
      </c>
      <c r="W40" s="240" t="str">
        <f t="shared" si="32"/>
        <v>-</v>
      </c>
      <c r="X40" s="240">
        <f t="shared" si="32"/>
        <v>747400</v>
      </c>
      <c r="Y40" s="240" t="str">
        <f t="shared" si="32"/>
        <v>-</v>
      </c>
      <c r="Z40" s="240">
        <f t="shared" si="32"/>
        <v>499689.4362745097</v>
      </c>
      <c r="AA40" s="240">
        <f t="shared" si="32"/>
        <v>574379.88679245277</v>
      </c>
      <c r="AB40" s="240">
        <f t="shared" si="32"/>
        <v>529356.10552763822</v>
      </c>
      <c r="AC40" s="240">
        <f t="shared" si="32"/>
        <v>494850.08130081301</v>
      </c>
      <c r="AD40" s="240">
        <f t="shared" si="32"/>
        <v>495499.83193277317</v>
      </c>
      <c r="AE40" s="240" t="str">
        <f t="shared" si="32"/>
        <v>-</v>
      </c>
      <c r="AF40" s="242">
        <f t="shared" si="32"/>
        <v>532813.08492201031</v>
      </c>
    </row>
    <row r="41" spans="2:32" ht="15.75" thickBot="1">
      <c r="B41" s="103" t="s">
        <v>159</v>
      </c>
      <c r="C41" s="240">
        <f t="shared" ref="C41:O41" si="33">IFERROR(C132*10^7/C20,"-")</f>
        <v>415918.18181818182</v>
      </c>
      <c r="D41" s="240">
        <f t="shared" si="33"/>
        <v>480909.09090909094</v>
      </c>
      <c r="E41" s="240">
        <f t="shared" si="33"/>
        <v>329572.95081967203</v>
      </c>
      <c r="F41" s="240">
        <f t="shared" si="33"/>
        <v>404384.18972332013</v>
      </c>
      <c r="G41" s="240" t="str">
        <f t="shared" si="33"/>
        <v>-</v>
      </c>
      <c r="H41" s="240">
        <f t="shared" si="33"/>
        <v>403104.16666666674</v>
      </c>
      <c r="I41" s="240">
        <f t="shared" si="33"/>
        <v>298211.46953405021</v>
      </c>
      <c r="J41" s="240">
        <f t="shared" si="33"/>
        <v>343182.75862068968</v>
      </c>
      <c r="K41" s="240">
        <f t="shared" si="33"/>
        <v>301833.52941176464</v>
      </c>
      <c r="L41" s="240">
        <f t="shared" si="33"/>
        <v>307932.24222585926</v>
      </c>
      <c r="M41" s="240">
        <f t="shared" si="33"/>
        <v>321891.32569558104</v>
      </c>
      <c r="N41" s="240">
        <f t="shared" si="33"/>
        <v>324069.30983847292</v>
      </c>
      <c r="O41" s="242">
        <f t="shared" si="33"/>
        <v>326931.12850290333</v>
      </c>
      <c r="S41" s="103" t="s">
        <v>159</v>
      </c>
      <c r="T41" s="240">
        <f t="shared" ref="T41:AF41" si="34">IFERROR(T132*10^7/T20,"-")</f>
        <v>415918.18181818182</v>
      </c>
      <c r="U41" s="240">
        <f t="shared" si="34"/>
        <v>480909.09090909094</v>
      </c>
      <c r="V41" s="240">
        <f t="shared" si="34"/>
        <v>329572.95081967203</v>
      </c>
      <c r="W41" s="240">
        <f t="shared" si="34"/>
        <v>404384.18972332013</v>
      </c>
      <c r="X41" s="240" t="str">
        <f t="shared" si="34"/>
        <v>-</v>
      </c>
      <c r="Y41" s="240">
        <f t="shared" si="34"/>
        <v>403104.16666666674</v>
      </c>
      <c r="Z41" s="240">
        <f t="shared" si="34"/>
        <v>298211.46953405021</v>
      </c>
      <c r="AA41" s="240">
        <f t="shared" si="34"/>
        <v>343182.75862068968</v>
      </c>
      <c r="AB41" s="240">
        <f t="shared" si="34"/>
        <v>301833.52941176464</v>
      </c>
      <c r="AC41" s="240">
        <f t="shared" si="34"/>
        <v>307932.24222585926</v>
      </c>
      <c r="AD41" s="240">
        <f t="shared" si="34"/>
        <v>321891.32569558104</v>
      </c>
      <c r="AE41" s="240">
        <f t="shared" si="34"/>
        <v>324069.30983847292</v>
      </c>
      <c r="AF41" s="242">
        <f t="shared" si="34"/>
        <v>326931.12850290333</v>
      </c>
    </row>
    <row r="42" spans="2:32" ht="15.75" thickBot="1">
      <c r="B42" s="109" t="s">
        <v>92</v>
      </c>
      <c r="C42" s="241">
        <f t="shared" ref="C42:O42" si="35">IFERROR(C133*10^7/C21,"-")</f>
        <v>93253.574396263517</v>
      </c>
      <c r="D42" s="241">
        <f t="shared" si="35"/>
        <v>91034.419478093172</v>
      </c>
      <c r="E42" s="241">
        <f t="shared" si="35"/>
        <v>93399.8630122006</v>
      </c>
      <c r="F42" s="241">
        <f t="shared" si="35"/>
        <v>93422.676982386518</v>
      </c>
      <c r="G42" s="241">
        <f t="shared" si="35"/>
        <v>91265.359579148717</v>
      </c>
      <c r="H42" s="241">
        <f t="shared" si="35"/>
        <v>92586.678282603927</v>
      </c>
      <c r="I42" s="241">
        <f t="shared" si="35"/>
        <v>102098.83901757335</v>
      </c>
      <c r="J42" s="241">
        <f t="shared" si="35"/>
        <v>104438.93521290428</v>
      </c>
      <c r="K42" s="241">
        <f t="shared" si="35"/>
        <v>104006.89773560598</v>
      </c>
      <c r="L42" s="241">
        <f t="shared" si="35"/>
        <v>105033.76135868674</v>
      </c>
      <c r="M42" s="241">
        <f t="shared" si="35"/>
        <v>103844.42471811848</v>
      </c>
      <c r="N42" s="241">
        <f t="shared" si="35"/>
        <v>100654.65589781229</v>
      </c>
      <c r="O42" s="243">
        <f t="shared" si="35"/>
        <v>97123.50750425391</v>
      </c>
      <c r="S42" s="109" t="s">
        <v>92</v>
      </c>
      <c r="T42" s="241">
        <f t="shared" ref="T42:AF42" si="36">IFERROR(T133*10^7/T21,"-")</f>
        <v>81319.451237177782</v>
      </c>
      <c r="U42" s="241">
        <f t="shared" si="36"/>
        <v>79955.110384397762</v>
      </c>
      <c r="V42" s="241">
        <f t="shared" si="36"/>
        <v>80322.899887030071</v>
      </c>
      <c r="W42" s="241">
        <f t="shared" si="36"/>
        <v>82133.68131580147</v>
      </c>
      <c r="X42" s="241">
        <f t="shared" si="36"/>
        <v>81429.968570608413</v>
      </c>
      <c r="Y42" s="241">
        <f t="shared" si="36"/>
        <v>87679.245413060518</v>
      </c>
      <c r="Z42" s="241">
        <f t="shared" si="36"/>
        <v>91433.475317775679</v>
      </c>
      <c r="AA42" s="241">
        <f t="shared" si="36"/>
        <v>98862.122948540564</v>
      </c>
      <c r="AB42" s="241">
        <f t="shared" si="36"/>
        <v>92917.326378401704</v>
      </c>
      <c r="AC42" s="241">
        <f t="shared" si="36"/>
        <v>90807.824670005139</v>
      </c>
      <c r="AD42" s="241">
        <f t="shared" si="36"/>
        <v>89797.681773554272</v>
      </c>
      <c r="AE42" s="241">
        <f t="shared" si="36"/>
        <v>87426.464284451824</v>
      </c>
      <c r="AF42" s="243">
        <f t="shared" si="36"/>
        <v>85907.631093105156</v>
      </c>
    </row>
    <row r="43" spans="2:32"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3"/>
      <c r="N43" s="283"/>
      <c r="O43" s="283"/>
    </row>
    <row r="44" spans="2:32"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3"/>
      <c r="N44" s="283"/>
      <c r="O44" s="283"/>
    </row>
    <row r="45" spans="2:32" ht="15.75" thickBot="1"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3"/>
    </row>
    <row r="46" spans="2:32" ht="15.75" thickBot="1">
      <c r="B46" s="97" t="s">
        <v>115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9"/>
      <c r="S46" s="97" t="s">
        <v>115</v>
      </c>
      <c r="T46" s="98" t="s">
        <v>153</v>
      </c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9"/>
    </row>
    <row r="47" spans="2:32" ht="15.75" thickBot="1">
      <c r="B47" s="100" t="s">
        <v>79</v>
      </c>
      <c r="C47" s="101" t="s">
        <v>80</v>
      </c>
      <c r="D47" s="101" t="s">
        <v>81</v>
      </c>
      <c r="E47" s="101" t="s">
        <v>82</v>
      </c>
      <c r="F47" s="101" t="s">
        <v>83</v>
      </c>
      <c r="G47" s="101" t="s">
        <v>84</v>
      </c>
      <c r="H47" s="101" t="s">
        <v>85</v>
      </c>
      <c r="I47" s="101" t="s">
        <v>86</v>
      </c>
      <c r="J47" s="101" t="s">
        <v>87</v>
      </c>
      <c r="K47" s="101" t="s">
        <v>88</v>
      </c>
      <c r="L47" s="101" t="s">
        <v>89</v>
      </c>
      <c r="M47" s="101" t="s">
        <v>90</v>
      </c>
      <c r="N47" s="101" t="s">
        <v>91</v>
      </c>
      <c r="O47" s="102" t="s">
        <v>92</v>
      </c>
      <c r="S47" s="100" t="s">
        <v>79</v>
      </c>
      <c r="T47" s="101" t="s">
        <v>80</v>
      </c>
      <c r="U47" s="101" t="s">
        <v>81</v>
      </c>
      <c r="V47" s="101" t="s">
        <v>82</v>
      </c>
      <c r="W47" s="101" t="s">
        <v>83</v>
      </c>
      <c r="X47" s="101" t="s">
        <v>84</v>
      </c>
      <c r="Y47" s="101" t="s">
        <v>85</v>
      </c>
      <c r="Z47" s="101" t="s">
        <v>86</v>
      </c>
      <c r="AA47" s="101" t="s">
        <v>87</v>
      </c>
      <c r="AB47" s="101" t="s">
        <v>88</v>
      </c>
      <c r="AC47" s="101" t="s">
        <v>89</v>
      </c>
      <c r="AD47" s="101" t="s">
        <v>90</v>
      </c>
      <c r="AE47" s="101" t="s">
        <v>91</v>
      </c>
      <c r="AF47" s="102" t="s">
        <v>92</v>
      </c>
    </row>
    <row r="48" spans="2:32">
      <c r="B48" s="103"/>
      <c r="C48" s="104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6"/>
      <c r="S48" s="103"/>
      <c r="T48" s="104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6"/>
    </row>
    <row r="49" spans="1:32">
      <c r="A49" s="283"/>
      <c r="B49" s="103" t="s">
        <v>109</v>
      </c>
      <c r="C49" s="156">
        <v>1250.5192299999997</v>
      </c>
      <c r="D49" s="156">
        <v>1351.4468429999999</v>
      </c>
      <c r="E49" s="156">
        <v>1496.6780880000899</v>
      </c>
      <c r="F49" s="156">
        <v>1413.96900960008</v>
      </c>
      <c r="G49" s="156">
        <v>1464.4432570000804</v>
      </c>
      <c r="H49" s="156">
        <v>1449.55857440009</v>
      </c>
      <c r="I49" s="156">
        <v>1493.7232700001043</v>
      </c>
      <c r="J49" s="156">
        <v>1319.6425700000377</v>
      </c>
      <c r="K49" s="156">
        <v>1131.8917940000499</v>
      </c>
      <c r="L49" s="156">
        <v>1334.8221150000707</v>
      </c>
      <c r="M49" s="156">
        <v>1413.9153770000892</v>
      </c>
      <c r="N49" s="156">
        <v>1595.5603883200699</v>
      </c>
      <c r="O49" s="157">
        <f>SUM(C49:N49)</f>
        <v>16716.170516320763</v>
      </c>
      <c r="S49" s="103" t="s">
        <v>109</v>
      </c>
      <c r="T49" s="156">
        <v>1303.296</v>
      </c>
      <c r="U49" s="156">
        <v>1411.3010000000004</v>
      </c>
      <c r="V49" s="156">
        <v>1637.3480000000002</v>
      </c>
      <c r="W49" s="156">
        <v>1545.1110000000003</v>
      </c>
      <c r="X49" s="156">
        <v>1231.529</v>
      </c>
      <c r="Y49" s="156">
        <v>1231.6080000000004</v>
      </c>
      <c r="Z49" s="156">
        <v>1584.26</v>
      </c>
      <c r="AA49" s="156">
        <v>1306.3270000000002</v>
      </c>
      <c r="AB49" s="156">
        <v>1364.0260000000003</v>
      </c>
      <c r="AC49" s="156">
        <v>980.35700000000008</v>
      </c>
      <c r="AD49" s="156">
        <v>1484.1529999999998</v>
      </c>
      <c r="AE49" s="156">
        <v>1781.2880000000005</v>
      </c>
      <c r="AF49" s="157">
        <f>SUM(T49:AE49)</f>
        <v>16860.604000000003</v>
      </c>
    </row>
    <row r="50" spans="1:32">
      <c r="A50" s="283"/>
      <c r="B50" s="103" t="s">
        <v>110</v>
      </c>
      <c r="C50" s="156">
        <v>107.40515239999999</v>
      </c>
      <c r="D50" s="156">
        <f>(71.5350000000009+6.08)-0.92</f>
        <v>76.695000000000903</v>
      </c>
      <c r="E50" s="156">
        <v>92.850325000000026</v>
      </c>
      <c r="F50" s="156">
        <v>90.468199999999499</v>
      </c>
      <c r="G50" s="156">
        <f>1.68+90.56</f>
        <v>92.240000000000009</v>
      </c>
      <c r="H50" s="156">
        <v>106.32383280000001</v>
      </c>
      <c r="I50" s="156">
        <f>163.190449999998+0.18</f>
        <v>163.37044999999802</v>
      </c>
      <c r="J50" s="156">
        <v>233.89000000000001</v>
      </c>
      <c r="K50" s="156">
        <f>203.223199999998+13.03</f>
        <v>216.253199999998</v>
      </c>
      <c r="L50" s="156">
        <v>182.96902500000056</v>
      </c>
      <c r="M50" s="156">
        <f>77.7685756000004+1.53</f>
        <v>79.298575600000405</v>
      </c>
      <c r="N50" s="156">
        <v>82.230569999999901</v>
      </c>
      <c r="O50" s="157">
        <f t="shared" ref="O50:O58" si="37">SUM(C50:N50)</f>
        <v>1523.9943307999974</v>
      </c>
      <c r="S50" s="103" t="s">
        <v>110</v>
      </c>
      <c r="T50" s="156">
        <v>68.917999999999992</v>
      </c>
      <c r="U50" s="156">
        <v>126.13800000000001</v>
      </c>
      <c r="V50" s="156">
        <v>112.23300000000002</v>
      </c>
      <c r="W50" s="156">
        <v>62.86</v>
      </c>
      <c r="X50" s="156">
        <v>93.620999999999981</v>
      </c>
      <c r="Y50" s="156">
        <v>108.46599999999999</v>
      </c>
      <c r="Z50" s="156">
        <v>143.19300000000001</v>
      </c>
      <c r="AA50" s="156">
        <v>463.81300000000005</v>
      </c>
      <c r="AB50" s="156">
        <v>175.59100000000004</v>
      </c>
      <c r="AC50" s="156">
        <f>81.623-AC51</f>
        <v>75.783000000000001</v>
      </c>
      <c r="AD50" s="156">
        <v>41.431999999999995</v>
      </c>
      <c r="AE50" s="156">
        <v>28.800000000000004</v>
      </c>
      <c r="AF50" s="157">
        <f t="shared" ref="AF50:AF58" si="38">SUM(T50:AE50)</f>
        <v>1500.848</v>
      </c>
    </row>
    <row r="51" spans="1:32">
      <c r="A51" s="283"/>
      <c r="B51" s="103" t="s">
        <v>116</v>
      </c>
      <c r="C51" s="156">
        <v>1.6948475999999997</v>
      </c>
      <c r="D51" s="156">
        <v>0.92</v>
      </c>
      <c r="E51" s="156">
        <v>1.228275</v>
      </c>
      <c r="F51" s="156">
        <v>2.3732256000000009</v>
      </c>
      <c r="G51" s="156">
        <v>1.3543499999999986</v>
      </c>
      <c r="H51" s="156">
        <v>1.7385737999999999</v>
      </c>
      <c r="I51" s="156">
        <v>1.4964000000000015</v>
      </c>
      <c r="J51" s="156">
        <v>1.0201499999999999</v>
      </c>
      <c r="K51" s="156">
        <v>1.7597232</v>
      </c>
      <c r="L51" s="156">
        <v>1.8231750000000044</v>
      </c>
      <c r="M51" s="156">
        <v>1.005226799999998</v>
      </c>
      <c r="N51" s="156">
        <v>0.85544999999999805</v>
      </c>
      <c r="O51" s="157">
        <f t="shared" si="37"/>
        <v>17.269396999999998</v>
      </c>
      <c r="S51" s="103" t="s">
        <v>116</v>
      </c>
      <c r="T51" s="156"/>
      <c r="U51" s="156"/>
      <c r="V51" s="156">
        <v>4.66</v>
      </c>
      <c r="W51" s="156">
        <v>2.0150000000000001</v>
      </c>
      <c r="X51" s="156">
        <v>0.16</v>
      </c>
      <c r="Y51" s="156"/>
      <c r="Z51" s="156"/>
      <c r="AA51" s="156">
        <v>4.8899999999999997</v>
      </c>
      <c r="AB51" s="156"/>
      <c r="AC51" s="156">
        <v>5.84</v>
      </c>
      <c r="AD51" s="156"/>
      <c r="AE51" s="156"/>
      <c r="AF51" s="157">
        <f t="shared" si="38"/>
        <v>17.565000000000001</v>
      </c>
    </row>
    <row r="52" spans="1:32">
      <c r="A52" s="283"/>
      <c r="B52" s="103" t="s">
        <v>17</v>
      </c>
      <c r="C52" s="156">
        <v>80.63</v>
      </c>
      <c r="D52" s="156">
        <v>75.772000000000205</v>
      </c>
      <c r="E52" s="156">
        <v>55.942167000000303</v>
      </c>
      <c r="F52" s="156">
        <v>65.050048000000189</v>
      </c>
      <c r="G52" s="156">
        <v>35.948327999999982</v>
      </c>
      <c r="H52" s="156">
        <v>45.094648000000099</v>
      </c>
      <c r="I52" s="156">
        <v>33.31846691199987</v>
      </c>
      <c r="J52" s="156">
        <v>29.626252000000001</v>
      </c>
      <c r="K52" s="156">
        <v>41.073964000000203</v>
      </c>
      <c r="L52" s="156">
        <v>47.723338999999974</v>
      </c>
      <c r="M52" s="156">
        <v>43.142464000000011</v>
      </c>
      <c r="N52" s="156">
        <v>36.8912919999999</v>
      </c>
      <c r="O52" s="157">
        <f t="shared" si="37"/>
        <v>590.21296891200075</v>
      </c>
      <c r="S52" s="103" t="s">
        <v>17</v>
      </c>
      <c r="T52" s="156">
        <v>138.203</v>
      </c>
      <c r="U52" s="156">
        <v>104.20299999999999</v>
      </c>
      <c r="V52" s="156">
        <v>48.338999999999999</v>
      </c>
      <c r="W52" s="156">
        <v>38.238999999999997</v>
      </c>
      <c r="X52" s="156">
        <v>0.68500000000000005</v>
      </c>
      <c r="Y52" s="156">
        <v>45.894999999999996</v>
      </c>
      <c r="Z52" s="156">
        <v>44.317999999999998</v>
      </c>
      <c r="AA52" s="156">
        <v>65.77600000000001</v>
      </c>
      <c r="AB52" s="156">
        <v>47.190000000000005</v>
      </c>
      <c r="AC52" s="156">
        <v>30.253999999999998</v>
      </c>
      <c r="AD52" s="156">
        <v>72.2</v>
      </c>
      <c r="AE52" s="156">
        <v>57.801000000000002</v>
      </c>
      <c r="AF52" s="157">
        <f t="shared" si="38"/>
        <v>693.10300000000007</v>
      </c>
    </row>
    <row r="53" spans="1:32">
      <c r="A53" s="283"/>
      <c r="B53" s="103" t="s">
        <v>145</v>
      </c>
      <c r="C53" s="156"/>
      <c r="D53" s="156"/>
      <c r="E53" s="156"/>
      <c r="F53" s="156"/>
      <c r="G53" s="156"/>
      <c r="H53" s="156"/>
      <c r="I53" s="156">
        <v>6.499799999999996</v>
      </c>
      <c r="J53" s="156">
        <v>5.2559999999999896</v>
      </c>
      <c r="K53" s="156">
        <v>29.4783000000008</v>
      </c>
      <c r="L53" s="156">
        <v>14.621849999999977</v>
      </c>
      <c r="M53" s="156">
        <v>19.287747000000078</v>
      </c>
      <c r="N53" s="156">
        <v>6.2125506000000001</v>
      </c>
      <c r="O53" s="157">
        <f t="shared" si="37"/>
        <v>81.356247600000842</v>
      </c>
      <c r="S53" s="103" t="s">
        <v>145</v>
      </c>
      <c r="T53" s="156">
        <v>0</v>
      </c>
      <c r="U53" s="156">
        <v>0</v>
      </c>
      <c r="V53" s="156">
        <v>0</v>
      </c>
      <c r="W53" s="156">
        <v>0</v>
      </c>
      <c r="X53" s="156">
        <v>0</v>
      </c>
      <c r="Y53" s="156">
        <v>0.72900000000000009</v>
      </c>
      <c r="Z53" s="156">
        <v>29.439</v>
      </c>
      <c r="AA53" s="156">
        <v>22.615000000000006</v>
      </c>
      <c r="AB53" s="156">
        <v>24.332000000000001</v>
      </c>
      <c r="AC53" s="156">
        <v>16.018999999999998</v>
      </c>
      <c r="AD53" s="156">
        <v>24.346000000000004</v>
      </c>
      <c r="AE53" s="156">
        <v>16.853999999999999</v>
      </c>
      <c r="AF53" s="157">
        <f>SUM(T53:AE53)</f>
        <v>134.334</v>
      </c>
    </row>
    <row r="54" spans="1:32">
      <c r="A54" s="283"/>
      <c r="B54" s="103" t="s">
        <v>19</v>
      </c>
      <c r="C54" s="156">
        <v>5.3261999999999997E-2</v>
      </c>
      <c r="D54" s="156">
        <v>2.1000000000000008E-2</v>
      </c>
      <c r="E54" s="156">
        <v>5.5947599999999998E-3</v>
      </c>
      <c r="F54" s="156">
        <v>1.0799999999999999E-2</v>
      </c>
      <c r="G54" s="156">
        <v>2.5380000000000012E-3</v>
      </c>
      <c r="H54" s="156"/>
      <c r="I54" s="156">
        <v>8.3339999999999994E-3</v>
      </c>
      <c r="J54" s="156"/>
      <c r="K54" s="156">
        <v>3.2399999999999998E-3</v>
      </c>
      <c r="L54" s="156"/>
      <c r="M54" s="156"/>
      <c r="N54" s="156"/>
      <c r="O54" s="157">
        <f t="shared" si="37"/>
        <v>0.10476876000000002</v>
      </c>
      <c r="S54" s="103" t="s">
        <v>19</v>
      </c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7">
        <f t="shared" si="38"/>
        <v>0</v>
      </c>
    </row>
    <row r="55" spans="1:32">
      <c r="A55" s="283"/>
      <c r="B55" s="103" t="s">
        <v>152</v>
      </c>
      <c r="C55" s="156"/>
      <c r="D55" s="156"/>
      <c r="E55" s="156"/>
      <c r="F55" s="156"/>
      <c r="G55" s="156"/>
      <c r="H55" s="156"/>
      <c r="I55" s="156"/>
      <c r="J55" s="156">
        <v>0.28079999999999999</v>
      </c>
      <c r="K55" s="156">
        <v>0.63366</v>
      </c>
      <c r="L55" s="156">
        <v>4.3200000000000001E-3</v>
      </c>
      <c r="M55" s="156">
        <v>8.6400000000000001E-3</v>
      </c>
      <c r="N55" s="156">
        <v>4.3200000000000001E-3</v>
      </c>
      <c r="O55" s="157">
        <f t="shared" si="37"/>
        <v>0.93174000000000001</v>
      </c>
      <c r="S55" s="103" t="str">
        <f>B55</f>
        <v>JO Mehendi</v>
      </c>
      <c r="T55" s="156"/>
      <c r="U55" s="156"/>
      <c r="V55" s="156"/>
      <c r="W55" s="156"/>
      <c r="X55" s="156"/>
      <c r="Y55" s="156"/>
      <c r="Z55" s="156"/>
      <c r="AA55" s="156">
        <v>0.95</v>
      </c>
      <c r="AB55" s="156"/>
      <c r="AC55" s="156"/>
      <c r="AD55" s="156"/>
      <c r="AE55" s="156"/>
      <c r="AF55" s="157">
        <f t="shared" si="38"/>
        <v>0.95</v>
      </c>
    </row>
    <row r="56" spans="1:32">
      <c r="A56" s="283"/>
      <c r="B56" s="103" t="s">
        <v>112</v>
      </c>
      <c r="C56" s="156">
        <v>5.7266455000000001</v>
      </c>
      <c r="D56" s="156">
        <v>3.7419999999999272</v>
      </c>
      <c r="E56" s="156">
        <v>2.84054327</v>
      </c>
      <c r="F56" s="156">
        <v>6.6218185000000034</v>
      </c>
      <c r="G56" s="156">
        <f>3.089+2.17</f>
        <v>5.2590000000000003</v>
      </c>
      <c r="H56" s="156">
        <v>8.2568587999999998</v>
      </c>
      <c r="I56" s="156">
        <v>2.6416839509999996</v>
      </c>
      <c r="J56" s="156">
        <v>2.4738030000000002</v>
      </c>
      <c r="K56" s="156">
        <v>2.3073030000000001</v>
      </c>
      <c r="L56" s="156">
        <v>2.9194309700000001</v>
      </c>
      <c r="M56" s="156">
        <v>1.3352405000000034</v>
      </c>
      <c r="N56" s="156">
        <f>2.3074575+2.061</f>
        <v>4.3684574999999999</v>
      </c>
      <c r="O56" s="157">
        <f t="shared" si="37"/>
        <v>48.492784990999922</v>
      </c>
      <c r="S56" s="103" t="s">
        <v>112</v>
      </c>
      <c r="T56" s="156">
        <v>6.6849999999999987</v>
      </c>
      <c r="U56" s="156">
        <v>5.3709999999999978</v>
      </c>
      <c r="V56" s="156">
        <v>5.3049999999999997</v>
      </c>
      <c r="W56" s="156">
        <v>9.6359999999999992</v>
      </c>
      <c r="X56" s="156">
        <v>5.4950000000000001</v>
      </c>
      <c r="Y56" s="156">
        <v>5.6170000000000009</v>
      </c>
      <c r="Z56" s="156">
        <v>3.0839999999999996</v>
      </c>
      <c r="AA56" s="156">
        <v>5.9369999999999994</v>
      </c>
      <c r="AB56" s="156">
        <v>1.4190000000000005</v>
      </c>
      <c r="AC56" s="156">
        <v>1.4600000000000002</v>
      </c>
      <c r="AD56" s="156">
        <v>0.64700000000000002</v>
      </c>
      <c r="AE56" s="156">
        <v>6.3520000000000003</v>
      </c>
      <c r="AF56" s="157">
        <f t="shared" si="38"/>
        <v>57.007999999999996</v>
      </c>
    </row>
    <row r="57" spans="1:32">
      <c r="A57" s="283"/>
      <c r="B57" s="103" t="s">
        <v>18</v>
      </c>
      <c r="C57" s="156">
        <v>44.580812399999999</v>
      </c>
      <c r="D57" s="156">
        <v>29.810000000000016</v>
      </c>
      <c r="E57" s="156">
        <v>35.7279845999999</v>
      </c>
      <c r="F57" s="156">
        <v>50.641734599999722</v>
      </c>
      <c r="G57" s="156">
        <v>44.272045799999809</v>
      </c>
      <c r="H57" s="156">
        <v>23.197795199999899</v>
      </c>
      <c r="I57" s="156">
        <v>28.488347999999917</v>
      </c>
      <c r="J57" s="156">
        <v>18.765556199999999</v>
      </c>
      <c r="K57" s="156">
        <v>40.281197399999897</v>
      </c>
      <c r="L57" s="156">
        <v>67.657129199999858</v>
      </c>
      <c r="M57" s="156">
        <v>20.832011999999985</v>
      </c>
      <c r="N57" s="156">
        <v>19.1742894144</v>
      </c>
      <c r="O57" s="157">
        <f t="shared" si="37"/>
        <v>423.42890481439895</v>
      </c>
      <c r="S57" s="103" t="s">
        <v>18</v>
      </c>
      <c r="T57" s="156">
        <v>50.666999999999987</v>
      </c>
      <c r="U57" s="156">
        <v>35.460999999999999</v>
      </c>
      <c r="V57" s="156">
        <v>54.57200000000001</v>
      </c>
      <c r="W57" s="156">
        <v>109.03799999999993</v>
      </c>
      <c r="X57" s="156">
        <v>26.120999999999999</v>
      </c>
      <c r="Y57" s="156">
        <v>6.3709999999999996</v>
      </c>
      <c r="Z57" s="156">
        <v>19.797000000000001</v>
      </c>
      <c r="AA57" s="156">
        <v>22.782999999999998</v>
      </c>
      <c r="AB57" s="156">
        <v>55.562000000000019</v>
      </c>
      <c r="AC57" s="156">
        <v>33.063000000000009</v>
      </c>
      <c r="AD57" s="156">
        <v>10.754999999999999</v>
      </c>
      <c r="AE57" s="156">
        <v>11.445</v>
      </c>
      <c r="AF57" s="157">
        <f t="shared" si="38"/>
        <v>435.63499999999993</v>
      </c>
    </row>
    <row r="58" spans="1:32" ht="15.75" thickBot="1">
      <c r="A58" s="283"/>
      <c r="B58" s="103" t="s">
        <v>159</v>
      </c>
      <c r="C58" s="156"/>
      <c r="D58" s="156"/>
      <c r="E58" s="156"/>
      <c r="F58" s="156"/>
      <c r="G58" s="156"/>
      <c r="H58" s="156"/>
      <c r="I58" s="156"/>
      <c r="J58" s="156"/>
      <c r="K58" s="156"/>
      <c r="L58" s="156">
        <v>0.11</v>
      </c>
      <c r="M58" s="156">
        <v>0.30500000000000005</v>
      </c>
      <c r="N58" s="156">
        <v>0.192</v>
      </c>
      <c r="O58" s="157">
        <f t="shared" si="37"/>
        <v>0.60699999999999998</v>
      </c>
      <c r="S58" s="103" t="s">
        <v>159</v>
      </c>
      <c r="T58" s="156"/>
      <c r="U58" s="156"/>
      <c r="V58" s="156"/>
      <c r="W58" s="156"/>
      <c r="X58" s="156"/>
      <c r="Y58" s="156"/>
      <c r="Z58" s="156"/>
      <c r="AA58" s="156"/>
      <c r="AB58" s="156"/>
      <c r="AC58" s="156">
        <v>0.11</v>
      </c>
      <c r="AD58" s="156">
        <v>0.30500000000000005</v>
      </c>
      <c r="AE58" s="156">
        <v>0.192</v>
      </c>
      <c r="AF58" s="157">
        <f t="shared" si="38"/>
        <v>0.60699999999999998</v>
      </c>
    </row>
    <row r="59" spans="1:32" ht="15.75" thickBot="1">
      <c r="A59" s="283"/>
      <c r="B59" s="109" t="s">
        <v>92</v>
      </c>
      <c r="C59" s="158">
        <f>SUM(C48:C58)</f>
        <v>1490.6099498999993</v>
      </c>
      <c r="D59" s="158">
        <f t="shared" ref="D59:N59" si="39">SUM(D48:D58)</f>
        <v>1538.4068430000009</v>
      </c>
      <c r="E59" s="158">
        <f t="shared" si="39"/>
        <v>1685.2729776300901</v>
      </c>
      <c r="F59" s="158">
        <f t="shared" si="39"/>
        <v>1629.1348363000798</v>
      </c>
      <c r="G59" s="158">
        <f t="shared" si="39"/>
        <v>1643.5195188000803</v>
      </c>
      <c r="H59" s="158">
        <f t="shared" si="39"/>
        <v>1634.17028300009</v>
      </c>
      <c r="I59" s="158">
        <f t="shared" si="39"/>
        <v>1729.5467528631023</v>
      </c>
      <c r="J59" s="158">
        <f t="shared" si="39"/>
        <v>1610.9551312000381</v>
      </c>
      <c r="K59" s="158">
        <f t="shared" si="39"/>
        <v>1463.682381600049</v>
      </c>
      <c r="L59" s="158">
        <f t="shared" si="39"/>
        <v>1652.6503841700708</v>
      </c>
      <c r="M59" s="158">
        <f t="shared" si="39"/>
        <v>1579.1302829000899</v>
      </c>
      <c r="N59" s="158">
        <f t="shared" si="39"/>
        <v>1745.4893178344696</v>
      </c>
      <c r="O59" s="159">
        <f>SUM(O48:O58)</f>
        <v>19402.568659198158</v>
      </c>
      <c r="S59" s="109" t="s">
        <v>92</v>
      </c>
      <c r="T59" s="158">
        <f>SUM(T48:T58)</f>
        <v>1567.7689999999998</v>
      </c>
      <c r="U59" s="158">
        <f t="shared" ref="U59" si="40">SUM(U48:U58)</f>
        <v>1682.4740000000004</v>
      </c>
      <c r="V59" s="158">
        <f t="shared" ref="V59" si="41">SUM(V48:V58)</f>
        <v>1862.4570000000003</v>
      </c>
      <c r="W59" s="158">
        <f t="shared" ref="W59" si="42">SUM(W48:W58)</f>
        <v>1766.8990000000003</v>
      </c>
      <c r="X59" s="158">
        <f t="shared" ref="X59" si="43">SUM(X48:X58)</f>
        <v>1357.6110000000001</v>
      </c>
      <c r="Y59" s="158">
        <f t="shared" ref="Y59" si="44">SUM(Y48:Y58)</f>
        <v>1398.6860000000004</v>
      </c>
      <c r="Z59" s="158">
        <f t="shared" ref="Z59" si="45">SUM(Z48:Z58)</f>
        <v>1824.0910000000001</v>
      </c>
      <c r="AA59" s="158">
        <f t="shared" ref="AA59" si="46">SUM(AA48:AA58)</f>
        <v>1893.0910000000003</v>
      </c>
      <c r="AB59" s="158">
        <f t="shared" ref="AB59" si="47">SUM(AB48:AB58)</f>
        <v>1668.1200000000008</v>
      </c>
      <c r="AC59" s="158">
        <f t="shared" ref="AC59" si="48">SUM(AC48:AC58)</f>
        <v>1142.886</v>
      </c>
      <c r="AD59" s="158">
        <f t="shared" ref="AD59" si="49">SUM(AD48:AD58)</f>
        <v>1633.838</v>
      </c>
      <c r="AE59" s="158">
        <f t="shared" ref="AE59" si="50">SUM(AE48:AE58)</f>
        <v>1902.7320000000004</v>
      </c>
      <c r="AF59" s="159">
        <f>SUM(AF48:AF58)</f>
        <v>19700.654000000002</v>
      </c>
    </row>
    <row r="60" spans="1:32" ht="15.75" thickBot="1"/>
    <row r="61" spans="1:32" ht="15.75" thickBot="1">
      <c r="B61" s="97" t="s">
        <v>115</v>
      </c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9"/>
      <c r="S61" s="97" t="s">
        <v>115</v>
      </c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9"/>
    </row>
    <row r="62" spans="1:32" ht="15.75" thickBot="1">
      <c r="B62" s="239" t="s">
        <v>108</v>
      </c>
      <c r="C62" s="101" t="s">
        <v>80</v>
      </c>
      <c r="D62" s="101" t="s">
        <v>81</v>
      </c>
      <c r="E62" s="101" t="s">
        <v>82</v>
      </c>
      <c r="F62" s="101" t="s">
        <v>83</v>
      </c>
      <c r="G62" s="101" t="s">
        <v>84</v>
      </c>
      <c r="H62" s="101" t="s">
        <v>85</v>
      </c>
      <c r="I62" s="101" t="s">
        <v>86</v>
      </c>
      <c r="J62" s="101" t="s">
        <v>87</v>
      </c>
      <c r="K62" s="101" t="s">
        <v>88</v>
      </c>
      <c r="L62" s="101" t="s">
        <v>89</v>
      </c>
      <c r="M62" s="101" t="s">
        <v>90</v>
      </c>
      <c r="N62" s="101" t="s">
        <v>91</v>
      </c>
      <c r="O62" s="102" t="s">
        <v>92</v>
      </c>
      <c r="S62" s="239" t="s">
        <v>108</v>
      </c>
      <c r="T62" s="101" t="s">
        <v>80</v>
      </c>
      <c r="U62" s="101" t="s">
        <v>81</v>
      </c>
      <c r="V62" s="101" t="s">
        <v>82</v>
      </c>
      <c r="W62" s="101" t="s">
        <v>83</v>
      </c>
      <c r="X62" s="101" t="s">
        <v>84</v>
      </c>
      <c r="Y62" s="101" t="s">
        <v>85</v>
      </c>
      <c r="Z62" s="101" t="s">
        <v>86</v>
      </c>
      <c r="AA62" s="101" t="s">
        <v>87</v>
      </c>
      <c r="AB62" s="101" t="s">
        <v>88</v>
      </c>
      <c r="AC62" s="101" t="s">
        <v>89</v>
      </c>
      <c r="AD62" s="101" t="s">
        <v>90</v>
      </c>
      <c r="AE62" s="101" t="s">
        <v>91</v>
      </c>
      <c r="AF62" s="102" t="s">
        <v>92</v>
      </c>
    </row>
    <row r="63" spans="1:32">
      <c r="B63" s="103"/>
      <c r="C63" s="240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8"/>
      <c r="S63" s="103"/>
      <c r="T63" s="240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8"/>
    </row>
    <row r="64" spans="1:32">
      <c r="B64" s="103" t="s">
        <v>15</v>
      </c>
      <c r="C64" s="240">
        <f t="shared" ref="C64:O64" si="51">IFERROR(C141*10^7/C49,"-")</f>
        <v>99405.853572722946</v>
      </c>
      <c r="D64" s="240">
        <f t="shared" si="51"/>
        <v>96309.663909982555</v>
      </c>
      <c r="E64" s="240">
        <f t="shared" si="51"/>
        <v>94214.21457819987</v>
      </c>
      <c r="F64" s="240">
        <f t="shared" si="51"/>
        <v>91578.711789959794</v>
      </c>
      <c r="G64" s="240">
        <f t="shared" si="51"/>
        <v>91584.563896248917</v>
      </c>
      <c r="H64" s="240">
        <f t="shared" si="51"/>
        <v>89600.965036241119</v>
      </c>
      <c r="I64" s="240">
        <f t="shared" si="51"/>
        <v>89451.618971165779</v>
      </c>
      <c r="J64" s="240">
        <f t="shared" si="51"/>
        <v>89070.447852170022</v>
      </c>
      <c r="K64" s="240">
        <f t="shared" si="51"/>
        <v>87656.594045414313</v>
      </c>
      <c r="L64" s="240">
        <f t="shared" si="51"/>
        <v>88198.370215039075</v>
      </c>
      <c r="M64" s="240">
        <f t="shared" si="51"/>
        <v>88754.605014802073</v>
      </c>
      <c r="N64" s="240">
        <f t="shared" si="51"/>
        <v>90055.406239612654</v>
      </c>
      <c r="O64" s="242">
        <f t="shared" si="51"/>
        <v>91303.851571933381</v>
      </c>
      <c r="S64" s="103" t="s">
        <v>15</v>
      </c>
      <c r="T64" s="240">
        <f t="shared" ref="T64:AF64" si="52">IFERROR(T141*10^7/T49,"-")</f>
        <v>89186.099857591835</v>
      </c>
      <c r="U64" s="240">
        <f t="shared" si="52"/>
        <v>83649.325438017826</v>
      </c>
      <c r="V64" s="240">
        <f t="shared" si="52"/>
        <v>83152.746257973253</v>
      </c>
      <c r="W64" s="240">
        <f t="shared" si="52"/>
        <v>81268.207526837854</v>
      </c>
      <c r="X64" s="240">
        <f t="shared" si="52"/>
        <v>79673.588750244628</v>
      </c>
      <c r="Y64" s="240">
        <f t="shared" si="52"/>
        <v>77171.163178543793</v>
      </c>
      <c r="Z64" s="240">
        <f t="shared" si="52"/>
        <v>80057.239670256138</v>
      </c>
      <c r="AA64" s="240">
        <f t="shared" si="52"/>
        <v>81176.619391622429</v>
      </c>
      <c r="AB64" s="240">
        <f t="shared" si="52"/>
        <v>78159.061469502718</v>
      </c>
      <c r="AC64" s="240">
        <f t="shared" si="52"/>
        <v>77742.190936566985</v>
      </c>
      <c r="AD64" s="240">
        <f t="shared" si="52"/>
        <v>79560.487645141722</v>
      </c>
      <c r="AE64" s="240">
        <f t="shared" si="52"/>
        <v>79344.553940743965</v>
      </c>
      <c r="AF64" s="242">
        <f t="shared" si="52"/>
        <v>80915.833651036446</v>
      </c>
    </row>
    <row r="65" spans="2:32">
      <c r="B65" s="103" t="s">
        <v>77</v>
      </c>
      <c r="C65" s="240">
        <f t="shared" ref="C65:O65" si="53">IFERROR(C142*10^7/C50,"-")</f>
        <v>142342.64803949883</v>
      </c>
      <c r="D65" s="240">
        <f t="shared" si="53"/>
        <v>148874.97985333792</v>
      </c>
      <c r="E65" s="240">
        <f t="shared" si="53"/>
        <v>152722.3576021042</v>
      </c>
      <c r="F65" s="240">
        <f t="shared" si="53"/>
        <v>151443.1322935099</v>
      </c>
      <c r="G65" s="240">
        <f t="shared" si="53"/>
        <v>151052.56692745059</v>
      </c>
      <c r="H65" s="240">
        <f t="shared" si="53"/>
        <v>153623.67194290139</v>
      </c>
      <c r="I65" s="240">
        <f t="shared" si="53"/>
        <v>146690.07371670596</v>
      </c>
      <c r="J65" s="240">
        <f t="shared" si="53"/>
        <v>139889.39665590232</v>
      </c>
      <c r="K65" s="240">
        <f t="shared" si="53"/>
        <v>140231.42076048022</v>
      </c>
      <c r="L65" s="240">
        <f t="shared" si="53"/>
        <v>139169.84402141301</v>
      </c>
      <c r="M65" s="240">
        <f t="shared" si="53"/>
        <v>143062.48988916195</v>
      </c>
      <c r="N65" s="240">
        <f t="shared" si="53"/>
        <v>143674.86848260951</v>
      </c>
      <c r="O65" s="242">
        <f t="shared" si="53"/>
        <v>144676.5823987925</v>
      </c>
      <c r="S65" s="103" t="s">
        <v>77</v>
      </c>
      <c r="T65" s="240">
        <f t="shared" ref="T65:AF65" si="54">IFERROR(T142*10^7/T50,"-")</f>
        <v>134897.52952784469</v>
      </c>
      <c r="U65" s="240">
        <f t="shared" si="54"/>
        <v>139445.00451886028</v>
      </c>
      <c r="V65" s="240">
        <f t="shared" si="54"/>
        <v>134855.20461896234</v>
      </c>
      <c r="W65" s="240">
        <f t="shared" si="54"/>
        <v>133203.51734012089</v>
      </c>
      <c r="X65" s="240">
        <f t="shared" si="54"/>
        <v>134415.25426987538</v>
      </c>
      <c r="Y65" s="240">
        <f t="shared" si="54"/>
        <v>129202.19036380068</v>
      </c>
      <c r="Z65" s="240">
        <f t="shared" si="54"/>
        <v>121947.01137625441</v>
      </c>
      <c r="AA65" s="240">
        <f t="shared" si="54"/>
        <v>122779.01175689339</v>
      </c>
      <c r="AB65" s="240">
        <f t="shared" si="54"/>
        <v>123708.7319965146</v>
      </c>
      <c r="AC65" s="240">
        <f t="shared" si="54"/>
        <v>125807.16519536045</v>
      </c>
      <c r="AD65" s="240">
        <f t="shared" si="54"/>
        <v>129817.54199652447</v>
      </c>
      <c r="AE65" s="240">
        <f t="shared" si="54"/>
        <v>133323.13541666663</v>
      </c>
      <c r="AF65" s="242">
        <f t="shared" si="54"/>
        <v>127844.82222050471</v>
      </c>
    </row>
    <row r="66" spans="2:32">
      <c r="B66" s="103" t="s">
        <v>16</v>
      </c>
      <c r="C66" s="240">
        <f t="shared" ref="C66:O66" si="55">IFERROR(C143*10^7/C51,"-")</f>
        <v>330437.48318597698</v>
      </c>
      <c r="D66" s="240">
        <f t="shared" si="55"/>
        <v>326086.95652173914</v>
      </c>
      <c r="E66" s="240">
        <f t="shared" si="55"/>
        <v>346765.44406171498</v>
      </c>
      <c r="F66" s="240">
        <f t="shared" si="55"/>
        <v>342734.89539681963</v>
      </c>
      <c r="G66" s="240">
        <f t="shared" si="55"/>
        <v>323480.55277105171</v>
      </c>
      <c r="H66" s="240">
        <f t="shared" si="55"/>
        <v>292109.22004963609</v>
      </c>
      <c r="I66" s="240">
        <f t="shared" si="55"/>
        <v>289168.52123481728</v>
      </c>
      <c r="J66" s="240">
        <f t="shared" si="55"/>
        <v>291285.1537590237</v>
      </c>
      <c r="K66" s="240">
        <f t="shared" si="55"/>
        <v>283417.98301005521</v>
      </c>
      <c r="L66" s="240">
        <f t="shared" si="55"/>
        <v>285410.64900516858</v>
      </c>
      <c r="M66" s="240">
        <f t="shared" si="55"/>
        <v>274212.695085329</v>
      </c>
      <c r="N66" s="240">
        <f t="shared" si="55"/>
        <v>280417.46449237311</v>
      </c>
      <c r="O66" s="242">
        <f t="shared" si="55"/>
        <v>307468.59355002409</v>
      </c>
      <c r="S66" s="103" t="s">
        <v>16</v>
      </c>
      <c r="T66" s="240" t="str">
        <f t="shared" ref="T66:AF66" si="56">IFERROR(T143*10^7/T51,"-")</f>
        <v>-</v>
      </c>
      <c r="U66" s="240" t="str">
        <f t="shared" si="56"/>
        <v>-</v>
      </c>
      <c r="V66" s="240">
        <f t="shared" si="56"/>
        <v>297346.09442060086</v>
      </c>
      <c r="W66" s="240">
        <f t="shared" si="56"/>
        <v>198099.09677419355</v>
      </c>
      <c r="X66" s="240">
        <f t="shared" si="56"/>
        <v>291015</v>
      </c>
      <c r="Y66" s="240" t="str">
        <f t="shared" si="56"/>
        <v>-</v>
      </c>
      <c r="Z66" s="240" t="str">
        <f t="shared" si="56"/>
        <v>-</v>
      </c>
      <c r="AA66" s="240">
        <f t="shared" si="56"/>
        <v>253992.14723926378</v>
      </c>
      <c r="AB66" s="240" t="str">
        <f t="shared" si="56"/>
        <v>-</v>
      </c>
      <c r="AC66" s="240">
        <f t="shared" si="56"/>
        <v>256849.31506849316</v>
      </c>
      <c r="AD66" s="240" t="str">
        <f t="shared" si="56"/>
        <v>-</v>
      </c>
      <c r="AE66" s="240" t="str">
        <f t="shared" si="56"/>
        <v>-</v>
      </c>
      <c r="AF66" s="242">
        <f t="shared" si="56"/>
        <v>260369.28437233134</v>
      </c>
    </row>
    <row r="67" spans="2:32">
      <c r="B67" s="103" t="s">
        <v>17</v>
      </c>
      <c r="C67" s="240">
        <f t="shared" ref="C67:O67" si="57">IFERROR(C144*10^7/C52,"-")</f>
        <v>104502.04638472034</v>
      </c>
      <c r="D67" s="240">
        <f t="shared" si="57"/>
        <v>103221.35805333364</v>
      </c>
      <c r="E67" s="240">
        <f t="shared" si="57"/>
        <v>105479.38470871029</v>
      </c>
      <c r="F67" s="240">
        <f t="shared" si="57"/>
        <v>103108.6000474796</v>
      </c>
      <c r="G67" s="240">
        <f t="shared" si="57"/>
        <v>102571.78003920439</v>
      </c>
      <c r="H67" s="240">
        <f t="shared" si="57"/>
        <v>107386.63441860417</v>
      </c>
      <c r="I67" s="240">
        <f t="shared" si="57"/>
        <v>101316.52463037358</v>
      </c>
      <c r="J67" s="240">
        <f t="shared" si="57"/>
        <v>102109.22932802739</v>
      </c>
      <c r="K67" s="240">
        <f t="shared" si="57"/>
        <v>111823.13350617918</v>
      </c>
      <c r="L67" s="240">
        <f t="shared" si="57"/>
        <v>103951.23337870414</v>
      </c>
      <c r="M67" s="240">
        <f t="shared" si="57"/>
        <v>110225.45837901134</v>
      </c>
      <c r="N67" s="240">
        <f t="shared" si="57"/>
        <v>108034.01680808658</v>
      </c>
      <c r="O67" s="242">
        <f t="shared" si="57"/>
        <v>105183.65385655452</v>
      </c>
      <c r="S67" s="103" t="s">
        <v>17</v>
      </c>
      <c r="T67" s="240">
        <f t="shared" ref="T67:AF67" si="58">IFERROR(T144*10^7/T52,"-")</f>
        <v>90939.006968010843</v>
      </c>
      <c r="U67" s="240">
        <f t="shared" si="58"/>
        <v>92060.068328167137</v>
      </c>
      <c r="V67" s="240">
        <f t="shared" si="58"/>
        <v>97857.251908396953</v>
      </c>
      <c r="W67" s="240">
        <f t="shared" si="58"/>
        <v>95143.491723109924</v>
      </c>
      <c r="X67" s="240">
        <f t="shared" si="58"/>
        <v>88586.277372262761</v>
      </c>
      <c r="Y67" s="240">
        <f t="shared" si="58"/>
        <v>88225.495587754674</v>
      </c>
      <c r="Z67" s="240">
        <f t="shared" si="58"/>
        <v>89592.906268333405</v>
      </c>
      <c r="AA67" s="240">
        <f t="shared" si="58"/>
        <v>104319.8525297981</v>
      </c>
      <c r="AB67" s="240">
        <f t="shared" si="58"/>
        <v>95308.446280991746</v>
      </c>
      <c r="AC67" s="240">
        <f t="shared" si="58"/>
        <v>110008.33410458123</v>
      </c>
      <c r="AD67" s="240">
        <f t="shared" si="58"/>
        <v>96944.918559556783</v>
      </c>
      <c r="AE67" s="240">
        <f t="shared" si="58"/>
        <v>98171.083199252607</v>
      </c>
      <c r="AF67" s="242">
        <f t="shared" si="58"/>
        <v>95182.407145835459</v>
      </c>
    </row>
    <row r="68" spans="2:32">
      <c r="B68" s="103" t="s">
        <v>145</v>
      </c>
      <c r="C68" s="240" t="str">
        <f t="shared" ref="C68:O68" si="59">IFERROR(C145*10^7/C53,"-")</f>
        <v>-</v>
      </c>
      <c r="D68" s="240" t="str">
        <f t="shared" si="59"/>
        <v>-</v>
      </c>
      <c r="E68" s="240" t="str">
        <f t="shared" si="59"/>
        <v>-</v>
      </c>
      <c r="F68" s="240" t="str">
        <f t="shared" si="59"/>
        <v>-</v>
      </c>
      <c r="G68" s="240" t="str">
        <f t="shared" si="59"/>
        <v>-</v>
      </c>
      <c r="H68" s="240" t="str">
        <f t="shared" si="59"/>
        <v>-</v>
      </c>
      <c r="I68" s="240">
        <f t="shared" si="59"/>
        <v>220217.22438412337</v>
      </c>
      <c r="J68" s="240">
        <f t="shared" si="59"/>
        <v>218263.73930936685</v>
      </c>
      <c r="K68" s="240">
        <f t="shared" si="59"/>
        <v>224601.05399564459</v>
      </c>
      <c r="L68" s="240">
        <f t="shared" si="59"/>
        <v>224673.98584994327</v>
      </c>
      <c r="M68" s="240">
        <f t="shared" si="59"/>
        <v>224795.91525127291</v>
      </c>
      <c r="N68" s="240">
        <f t="shared" si="59"/>
        <v>224384.80259621545</v>
      </c>
      <c r="O68" s="242">
        <f t="shared" si="59"/>
        <v>223884.18733881912</v>
      </c>
      <c r="S68" s="103" t="s">
        <v>145</v>
      </c>
      <c r="T68" s="240" t="str">
        <f t="shared" ref="T68:AF68" si="60">IFERROR(T145*10^7/T53,"-")</f>
        <v>-</v>
      </c>
      <c r="U68" s="240" t="str">
        <f t="shared" si="60"/>
        <v>-</v>
      </c>
      <c r="V68" s="240" t="str">
        <f t="shared" si="60"/>
        <v>-</v>
      </c>
      <c r="W68" s="240" t="str">
        <f t="shared" si="60"/>
        <v>-</v>
      </c>
      <c r="X68" s="240" t="str">
        <f t="shared" si="60"/>
        <v>-</v>
      </c>
      <c r="Y68" s="240">
        <f t="shared" si="60"/>
        <v>197039.99999999997</v>
      </c>
      <c r="Z68" s="240">
        <f t="shared" si="60"/>
        <v>201315.50052651242</v>
      </c>
      <c r="AA68" s="240">
        <f t="shared" si="60"/>
        <v>197517.37873093074</v>
      </c>
      <c r="AB68" s="240">
        <f t="shared" si="60"/>
        <v>199797.01134308727</v>
      </c>
      <c r="AC68" s="240">
        <f t="shared" si="60"/>
        <v>201140.73537674011</v>
      </c>
      <c r="AD68" s="240">
        <f t="shared" si="60"/>
        <v>199209.47342479255</v>
      </c>
      <c r="AE68" s="240">
        <f t="shared" si="60"/>
        <v>199421.24599501607</v>
      </c>
      <c r="AF68" s="242">
        <f t="shared" si="60"/>
        <v>199737.65792725596</v>
      </c>
    </row>
    <row r="69" spans="2:32">
      <c r="B69" s="103" t="s">
        <v>19</v>
      </c>
      <c r="C69" s="240">
        <f t="shared" ref="C69:O69" si="61">IFERROR(C146*10^7/C54,"-")</f>
        <v>0</v>
      </c>
      <c r="D69" s="240">
        <f t="shared" si="61"/>
        <v>0</v>
      </c>
      <c r="E69" s="240">
        <f t="shared" si="61"/>
        <v>0</v>
      </c>
      <c r="F69" s="240">
        <f t="shared" si="61"/>
        <v>0</v>
      </c>
      <c r="G69" s="240">
        <f t="shared" si="61"/>
        <v>0</v>
      </c>
      <c r="H69" s="240" t="str">
        <f t="shared" si="61"/>
        <v>-</v>
      </c>
      <c r="I69" s="240">
        <f t="shared" si="61"/>
        <v>0</v>
      </c>
      <c r="J69" s="240" t="str">
        <f t="shared" si="61"/>
        <v>-</v>
      </c>
      <c r="K69" s="240">
        <f t="shared" si="61"/>
        <v>33452679.012345679</v>
      </c>
      <c r="L69" s="240" t="str">
        <f t="shared" si="61"/>
        <v>-</v>
      </c>
      <c r="M69" s="240" t="str">
        <f t="shared" si="61"/>
        <v>-</v>
      </c>
      <c r="N69" s="240" t="str">
        <f t="shared" si="61"/>
        <v>-</v>
      </c>
      <c r="O69" s="242">
        <f t="shared" si="61"/>
        <v>1521187.2610127269</v>
      </c>
      <c r="S69" s="103" t="s">
        <v>19</v>
      </c>
      <c r="T69" s="240" t="str">
        <f t="shared" ref="T69:AF69" si="62">IFERROR(T146*10^7/T54,"-")</f>
        <v>-</v>
      </c>
      <c r="U69" s="240" t="str">
        <f t="shared" si="62"/>
        <v>-</v>
      </c>
      <c r="V69" s="240" t="str">
        <f t="shared" si="62"/>
        <v>-</v>
      </c>
      <c r="W69" s="240" t="str">
        <f t="shared" si="62"/>
        <v>-</v>
      </c>
      <c r="X69" s="240" t="str">
        <f t="shared" si="62"/>
        <v>-</v>
      </c>
      <c r="Y69" s="240" t="str">
        <f t="shared" si="62"/>
        <v>-</v>
      </c>
      <c r="Z69" s="240" t="str">
        <f t="shared" si="62"/>
        <v>-</v>
      </c>
      <c r="AA69" s="240" t="str">
        <f t="shared" si="62"/>
        <v>-</v>
      </c>
      <c r="AB69" s="240" t="str">
        <f t="shared" si="62"/>
        <v>-</v>
      </c>
      <c r="AC69" s="240" t="str">
        <f t="shared" si="62"/>
        <v>-</v>
      </c>
      <c r="AD69" s="240" t="str">
        <f t="shared" si="62"/>
        <v>-</v>
      </c>
      <c r="AE69" s="240" t="str">
        <f t="shared" si="62"/>
        <v>-</v>
      </c>
      <c r="AF69" s="242" t="str">
        <f t="shared" si="62"/>
        <v>-</v>
      </c>
    </row>
    <row r="70" spans="2:32">
      <c r="B70" s="103" t="s">
        <v>152</v>
      </c>
      <c r="C70" s="240" t="str">
        <f t="shared" ref="C70:O70" si="63">IFERROR(C147*10^7/C55,"-")</f>
        <v>-</v>
      </c>
      <c r="D70" s="240" t="str">
        <f t="shared" si="63"/>
        <v>-</v>
      </c>
      <c r="E70" s="240" t="str">
        <f t="shared" si="63"/>
        <v>-</v>
      </c>
      <c r="F70" s="240" t="str">
        <f t="shared" si="63"/>
        <v>-</v>
      </c>
      <c r="G70" s="240" t="str">
        <f t="shared" si="63"/>
        <v>-</v>
      </c>
      <c r="H70" s="240" t="str">
        <f t="shared" si="63"/>
        <v>-</v>
      </c>
      <c r="I70" s="240" t="str">
        <f t="shared" si="63"/>
        <v>-</v>
      </c>
      <c r="J70" s="240">
        <f t="shared" si="63"/>
        <v>0</v>
      </c>
      <c r="K70" s="240">
        <f t="shared" si="63"/>
        <v>0</v>
      </c>
      <c r="L70" s="240">
        <f t="shared" si="63"/>
        <v>0</v>
      </c>
      <c r="M70" s="240">
        <f t="shared" si="63"/>
        <v>0</v>
      </c>
      <c r="N70" s="240">
        <f t="shared" si="63"/>
        <v>0</v>
      </c>
      <c r="O70" s="242">
        <f t="shared" si="63"/>
        <v>161423.49951638057</v>
      </c>
      <c r="S70" s="103" t="s">
        <v>152</v>
      </c>
      <c r="T70" s="240" t="str">
        <f t="shared" ref="T70:AF70" si="64">IFERROR(T147*10^7/T55,"-")</f>
        <v>-</v>
      </c>
      <c r="U70" s="240" t="str">
        <f t="shared" si="64"/>
        <v>-</v>
      </c>
      <c r="V70" s="240" t="str">
        <f t="shared" si="64"/>
        <v>-</v>
      </c>
      <c r="W70" s="240" t="str">
        <f t="shared" si="64"/>
        <v>-</v>
      </c>
      <c r="X70" s="240" t="str">
        <f t="shared" si="64"/>
        <v>-</v>
      </c>
      <c r="Y70" s="240" t="str">
        <f t="shared" si="64"/>
        <v>-</v>
      </c>
      <c r="Z70" s="240" t="str">
        <f t="shared" si="64"/>
        <v>-</v>
      </c>
      <c r="AA70" s="240">
        <f t="shared" si="64"/>
        <v>0</v>
      </c>
      <c r="AB70" s="240" t="str">
        <f t="shared" si="64"/>
        <v>-</v>
      </c>
      <c r="AC70" s="240" t="str">
        <f t="shared" si="64"/>
        <v>-</v>
      </c>
      <c r="AD70" s="240" t="str">
        <f t="shared" si="64"/>
        <v>-</v>
      </c>
      <c r="AE70" s="240" t="str">
        <f t="shared" si="64"/>
        <v>-</v>
      </c>
      <c r="AF70" s="242">
        <f t="shared" si="64"/>
        <v>136308.92631578949</v>
      </c>
    </row>
    <row r="71" spans="2:32">
      <c r="B71" s="103" t="s">
        <v>20</v>
      </c>
      <c r="C71" s="240">
        <f t="shared" ref="C71:O71" si="65">IFERROR(C148*10^7/C56,"-")</f>
        <v>522668.15010054066</v>
      </c>
      <c r="D71" s="240">
        <f t="shared" si="65"/>
        <v>567487.12204168667</v>
      </c>
      <c r="E71" s="240">
        <f t="shared" si="65"/>
        <v>559509.04727012664</v>
      </c>
      <c r="F71" s="240">
        <f t="shared" si="65"/>
        <v>370730.92635973584</v>
      </c>
      <c r="G71" s="240">
        <f t="shared" si="65"/>
        <v>319072.06693287694</v>
      </c>
      <c r="H71" s="240">
        <f t="shared" si="65"/>
        <v>473199.28828976583</v>
      </c>
      <c r="I71" s="240">
        <f t="shared" si="65"/>
        <v>397426.61449727579</v>
      </c>
      <c r="J71" s="240">
        <f t="shared" si="65"/>
        <v>335231.35225648567</v>
      </c>
      <c r="K71" s="240">
        <f t="shared" si="65"/>
        <v>373736.32331774326</v>
      </c>
      <c r="L71" s="240">
        <f t="shared" si="65"/>
        <v>364859.01908480457</v>
      </c>
      <c r="M71" s="240">
        <f t="shared" si="65"/>
        <v>433419.88203623128</v>
      </c>
      <c r="N71" s="240">
        <f t="shared" si="65"/>
        <v>249215.54576186219</v>
      </c>
      <c r="O71" s="242">
        <f t="shared" si="65"/>
        <v>416971.66065860254</v>
      </c>
      <c r="S71" s="103" t="s">
        <v>20</v>
      </c>
      <c r="T71" s="240">
        <f t="shared" ref="T71:AF71" si="66">IFERROR(T148*10^7/T56,"-")</f>
        <v>390058.79132385954</v>
      </c>
      <c r="U71" s="240">
        <f t="shared" si="66"/>
        <v>410399.88642710878</v>
      </c>
      <c r="V71" s="240">
        <f t="shared" si="66"/>
        <v>359154.35626767197</v>
      </c>
      <c r="W71" s="240">
        <f t="shared" si="66"/>
        <v>296219.75819842261</v>
      </c>
      <c r="X71" s="240">
        <f t="shared" si="66"/>
        <v>154360.76979071886</v>
      </c>
      <c r="Y71" s="240">
        <f t="shared" si="66"/>
        <v>212949.2949973295</v>
      </c>
      <c r="Z71" s="240">
        <f t="shared" si="66"/>
        <v>239700.47341115438</v>
      </c>
      <c r="AA71" s="240">
        <f t="shared" si="66"/>
        <v>256426.00976924368</v>
      </c>
      <c r="AB71" s="240">
        <f t="shared" si="66"/>
        <v>249975.05990133889</v>
      </c>
      <c r="AC71" s="240">
        <f t="shared" si="66"/>
        <v>280024.11643835617</v>
      </c>
      <c r="AD71" s="240">
        <f t="shared" si="66"/>
        <v>411473.47758887167</v>
      </c>
      <c r="AE71" s="240">
        <f t="shared" si="66"/>
        <v>331282.78809823678</v>
      </c>
      <c r="AF71" s="242">
        <f t="shared" si="66"/>
        <v>298406.4655837777</v>
      </c>
    </row>
    <row r="72" spans="2:32" ht="15.75" thickBot="1">
      <c r="B72" s="103" t="s">
        <v>18</v>
      </c>
      <c r="C72" s="240">
        <f t="shared" ref="C72:O72" si="67">IFERROR(C149*10^7/C57,"-")</f>
        <v>102510.46927982855</v>
      </c>
      <c r="D72" s="240">
        <f t="shared" si="67"/>
        <v>99088.314990537066</v>
      </c>
      <c r="E72" s="240">
        <f t="shared" si="67"/>
        <v>99786.989927460672</v>
      </c>
      <c r="F72" s="240">
        <f t="shared" si="67"/>
        <v>98276.483412381815</v>
      </c>
      <c r="G72" s="240">
        <f t="shared" si="67"/>
        <v>99018.956727471406</v>
      </c>
      <c r="H72" s="240">
        <f t="shared" si="67"/>
        <v>93472.113040003023</v>
      </c>
      <c r="I72" s="240">
        <f t="shared" si="67"/>
        <v>97271.764443117325</v>
      </c>
      <c r="J72" s="240">
        <f t="shared" si="67"/>
        <v>96981.608627553505</v>
      </c>
      <c r="K72" s="240">
        <f t="shared" si="67"/>
        <v>99557.82223097494</v>
      </c>
      <c r="L72" s="240">
        <f t="shared" si="67"/>
        <v>103153.95173462394</v>
      </c>
      <c r="M72" s="240">
        <f t="shared" si="67"/>
        <v>97631.782278159619</v>
      </c>
      <c r="N72" s="240">
        <f t="shared" si="67"/>
        <v>145610.61949462426</v>
      </c>
      <c r="O72" s="242">
        <f t="shared" si="67"/>
        <v>101609.26990599008</v>
      </c>
      <c r="S72" s="103" t="s">
        <v>18</v>
      </c>
      <c r="T72" s="240">
        <f t="shared" ref="T72:AF72" si="68">IFERROR(T149*10^7/T57,"-")</f>
        <v>74047.853632541897</v>
      </c>
      <c r="U72" s="240">
        <f t="shared" si="68"/>
        <v>76662.627675474447</v>
      </c>
      <c r="V72" s="240">
        <f t="shared" si="68"/>
        <v>75622.415890933073</v>
      </c>
      <c r="W72" s="240">
        <f t="shared" si="68"/>
        <v>74398.612043507819</v>
      </c>
      <c r="X72" s="240">
        <f t="shared" si="68"/>
        <v>75024.908694154132</v>
      </c>
      <c r="Y72" s="240">
        <f t="shared" si="68"/>
        <v>73056.31455030608</v>
      </c>
      <c r="Z72" s="240">
        <f t="shared" si="68"/>
        <v>77754.885588725563</v>
      </c>
      <c r="AA72" s="240">
        <f t="shared" si="68"/>
        <v>73605.097221612596</v>
      </c>
      <c r="AB72" s="240">
        <f t="shared" si="68"/>
        <v>81933.394766207057</v>
      </c>
      <c r="AC72" s="240">
        <f t="shared" si="68"/>
        <v>80750.205365514295</v>
      </c>
      <c r="AD72" s="240">
        <f t="shared" si="68"/>
        <v>71962.849837285001</v>
      </c>
      <c r="AE72" s="240">
        <f t="shared" si="68"/>
        <v>67852.909567496725</v>
      </c>
      <c r="AF72" s="242">
        <f t="shared" si="68"/>
        <v>76035.324342626278</v>
      </c>
    </row>
    <row r="73" spans="2:32" ht="15.75" thickBot="1">
      <c r="B73" s="109" t="s">
        <v>92</v>
      </c>
      <c r="C73" s="241">
        <f t="shared" ref="C73:O73" si="69">IFERROR(C151*10^7/C59,"-")</f>
        <v>104812.95974112977</v>
      </c>
      <c r="D73" s="241">
        <f t="shared" si="69"/>
        <v>100631.54299525877</v>
      </c>
      <c r="E73" s="241">
        <f t="shared" si="69"/>
        <v>98903.378307534775</v>
      </c>
      <c r="F73" s="241">
        <f t="shared" si="69"/>
        <v>97082.56544636497</v>
      </c>
      <c r="G73" s="241">
        <f t="shared" si="69"/>
        <v>96284.150251446248</v>
      </c>
      <c r="H73" s="241">
        <f t="shared" si="69"/>
        <v>96452.387270201536</v>
      </c>
      <c r="I73" s="241">
        <f t="shared" si="69"/>
        <v>96357.840257398231</v>
      </c>
      <c r="J73" s="241">
        <f t="shared" si="69"/>
        <v>97722.516181640938</v>
      </c>
      <c r="K73" s="241">
        <f t="shared" si="69"/>
        <v>99910.271878887273</v>
      </c>
      <c r="L73" s="241">
        <f t="shared" si="69"/>
        <v>96843.064929531756</v>
      </c>
      <c r="M73" s="241">
        <f t="shared" si="69"/>
        <v>94313.050387762516</v>
      </c>
      <c r="N73" s="241">
        <f t="shared" si="69"/>
        <v>94565.949916429992</v>
      </c>
      <c r="O73" s="243">
        <f t="shared" si="69"/>
        <v>97724.939154214109</v>
      </c>
      <c r="S73" s="109" t="s">
        <v>92</v>
      </c>
      <c r="T73" s="241">
        <f t="shared" ref="T73:AF73" si="70">IFERROR(T151*10^7/T59,"-")</f>
        <v>92144.06496747928</v>
      </c>
      <c r="U73" s="241">
        <f t="shared" si="70"/>
        <v>89249.175410734417</v>
      </c>
      <c r="V73" s="241">
        <f t="shared" si="70"/>
        <v>87751.460463248266</v>
      </c>
      <c r="W73" s="241">
        <f t="shared" si="70"/>
        <v>84313.620348418292</v>
      </c>
      <c r="X73" s="241">
        <f t="shared" si="70"/>
        <v>83757.882832416639</v>
      </c>
      <c r="Y73" s="241">
        <f t="shared" si="70"/>
        <v>82164.92045391172</v>
      </c>
      <c r="Z73" s="241">
        <f t="shared" si="70"/>
        <v>85779.216108187582</v>
      </c>
      <c r="AA73" s="241">
        <f t="shared" si="70"/>
        <v>94506.562943883822</v>
      </c>
      <c r="AB73" s="241">
        <f t="shared" si="70"/>
        <v>85485.03482363373</v>
      </c>
      <c r="AC73" s="241">
        <f t="shared" si="70"/>
        <v>84804.162716141436</v>
      </c>
      <c r="AD73" s="241">
        <f t="shared" si="70"/>
        <v>83523.350766722273</v>
      </c>
      <c r="AE73" s="241">
        <f t="shared" si="70"/>
        <v>82592.435182674133</v>
      </c>
      <c r="AF73" s="243">
        <f t="shared" si="70"/>
        <v>86484.759795791528</v>
      </c>
    </row>
    <row r="74" spans="2:32">
      <c r="B74" s="236"/>
      <c r="C74" s="246"/>
      <c r="D74" s="246"/>
      <c r="E74" s="246"/>
      <c r="F74" s="246"/>
      <c r="G74" s="246"/>
      <c r="H74" s="246"/>
      <c r="I74" s="246"/>
      <c r="J74" s="246"/>
      <c r="K74" s="246"/>
      <c r="L74" s="246"/>
      <c r="M74" s="246"/>
      <c r="N74" s="246"/>
      <c r="O74" s="246"/>
    </row>
    <row r="75" spans="2:32" ht="15.75" thickBot="1"/>
    <row r="76" spans="2:32" ht="15.75" thickBot="1">
      <c r="B76" s="97" t="s">
        <v>78</v>
      </c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  <c r="S76" s="97" t="s">
        <v>78</v>
      </c>
      <c r="T76" s="98" t="s">
        <v>153</v>
      </c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9"/>
    </row>
    <row r="77" spans="2:32" ht="15.75" thickBot="1">
      <c r="B77" s="100" t="s">
        <v>79</v>
      </c>
      <c r="C77" s="101" t="s">
        <v>80</v>
      </c>
      <c r="D77" s="101" t="s">
        <v>81</v>
      </c>
      <c r="E77" s="101" t="s">
        <v>82</v>
      </c>
      <c r="F77" s="101" t="s">
        <v>83</v>
      </c>
      <c r="G77" s="101" t="s">
        <v>84</v>
      </c>
      <c r="H77" s="101" t="s">
        <v>85</v>
      </c>
      <c r="I77" s="101" t="s">
        <v>86</v>
      </c>
      <c r="J77" s="101" t="s">
        <v>87</v>
      </c>
      <c r="K77" s="101" t="s">
        <v>88</v>
      </c>
      <c r="L77" s="101" t="s">
        <v>89</v>
      </c>
      <c r="M77" s="101" t="s">
        <v>90</v>
      </c>
      <c r="N77" s="101" t="s">
        <v>91</v>
      </c>
      <c r="O77" s="102" t="s">
        <v>92</v>
      </c>
      <c r="S77" s="100" t="s">
        <v>79</v>
      </c>
      <c r="T77" s="101" t="s">
        <v>80</v>
      </c>
      <c r="U77" s="101" t="s">
        <v>81</v>
      </c>
      <c r="V77" s="101" t="s">
        <v>82</v>
      </c>
      <c r="W77" s="101" t="s">
        <v>83</v>
      </c>
      <c r="X77" s="101" t="s">
        <v>84</v>
      </c>
      <c r="Y77" s="101" t="s">
        <v>85</v>
      </c>
      <c r="Z77" s="101" t="s">
        <v>86</v>
      </c>
      <c r="AA77" s="101" t="s">
        <v>87</v>
      </c>
      <c r="AB77" s="101" t="s">
        <v>88</v>
      </c>
      <c r="AC77" s="101" t="s">
        <v>89</v>
      </c>
      <c r="AD77" s="101" t="s">
        <v>90</v>
      </c>
      <c r="AE77" s="101" t="s">
        <v>91</v>
      </c>
      <c r="AF77" s="102" t="s">
        <v>92</v>
      </c>
    </row>
    <row r="78" spans="2:32">
      <c r="B78" s="103"/>
      <c r="C78" s="104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6"/>
      <c r="S78" s="103"/>
      <c r="T78" s="104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6"/>
    </row>
    <row r="79" spans="2:32">
      <c r="B79" s="103" t="s">
        <v>15</v>
      </c>
      <c r="C79" s="156">
        <v>947.16509759999985</v>
      </c>
      <c r="D79" s="156">
        <v>958.09367599999985</v>
      </c>
      <c r="E79" s="156">
        <v>927.64241520000007</v>
      </c>
      <c r="F79" s="156">
        <v>886.54590999999982</v>
      </c>
      <c r="G79" s="156">
        <v>951.90765000002909</v>
      </c>
      <c r="H79" s="156">
        <v>815.65401199999974</v>
      </c>
      <c r="I79" s="156">
        <v>919.89372307200028</v>
      </c>
      <c r="J79" s="156">
        <v>756.18471100000022</v>
      </c>
      <c r="K79" s="156">
        <v>815.01620799999978</v>
      </c>
      <c r="L79" s="156">
        <v>829.81681139999989</v>
      </c>
      <c r="M79" s="156">
        <v>972.3325279999998</v>
      </c>
      <c r="N79" s="156">
        <v>1056.5538387999998</v>
      </c>
      <c r="O79" s="157">
        <f>SUM(C79:N79)</f>
        <v>10836.806581072027</v>
      </c>
      <c r="S79" s="103" t="s">
        <v>15</v>
      </c>
      <c r="T79" s="156">
        <v>598.45499999999993</v>
      </c>
      <c r="U79" s="156">
        <v>687.37900000000002</v>
      </c>
      <c r="V79" s="156">
        <v>1160.856</v>
      </c>
      <c r="W79" s="156">
        <v>1188.6870000000001</v>
      </c>
      <c r="X79" s="156">
        <v>1249.6920000000002</v>
      </c>
      <c r="Y79" s="156">
        <v>861.75099999999986</v>
      </c>
      <c r="Z79" s="156">
        <v>509.07199999999995</v>
      </c>
      <c r="AA79" s="156">
        <v>558.721</v>
      </c>
      <c r="AB79" s="156">
        <v>935.74599999999998</v>
      </c>
      <c r="AC79" s="156">
        <v>1174.7650000000001</v>
      </c>
      <c r="AD79" s="156">
        <v>960.87599999999998</v>
      </c>
      <c r="AE79" s="156">
        <v>788.13</v>
      </c>
      <c r="AF79" s="157">
        <f>SUM(T79:AE79)</f>
        <v>10674.13</v>
      </c>
    </row>
    <row r="80" spans="2:32">
      <c r="B80" s="103" t="s">
        <v>77</v>
      </c>
      <c r="C80" s="156">
        <v>59.936500000000017</v>
      </c>
      <c r="D80" s="156">
        <v>88.802350000000004</v>
      </c>
      <c r="E80" s="156">
        <v>96.888524999999746</v>
      </c>
      <c r="F80" s="156">
        <f>115.0955+1</f>
        <v>116.0955</v>
      </c>
      <c r="G80" s="156">
        <v>85.140192999999442</v>
      </c>
      <c r="H80" s="156">
        <v>115.13530000000006</v>
      </c>
      <c r="I80" s="156">
        <v>172.63812500000006</v>
      </c>
      <c r="J80" s="156">
        <v>208.50592500000008</v>
      </c>
      <c r="K80" s="156">
        <v>232.49732099999997</v>
      </c>
      <c r="L80" s="156">
        <v>151.305375</v>
      </c>
      <c r="M80" s="156">
        <v>82.310275000000004</v>
      </c>
      <c r="N80" s="156">
        <v>94.225450800000033</v>
      </c>
      <c r="O80" s="157">
        <f t="shared" ref="O80:O85" si="71">SUM(C80:N80)</f>
        <v>1503.4808397999993</v>
      </c>
      <c r="S80" s="103" t="s">
        <v>77</v>
      </c>
      <c r="T80" s="156">
        <v>61.423000000000009</v>
      </c>
      <c r="U80" s="156">
        <v>20.006</v>
      </c>
      <c r="V80" s="156">
        <v>97.169000000000011</v>
      </c>
      <c r="W80" s="156">
        <v>133.399</v>
      </c>
      <c r="X80" s="156">
        <v>141.66499999999996</v>
      </c>
      <c r="Y80" s="156">
        <v>145.25500000000002</v>
      </c>
      <c r="Z80" s="156">
        <v>121.73000000000002</v>
      </c>
      <c r="AA80" s="156">
        <v>198.232</v>
      </c>
      <c r="AB80" s="156">
        <v>218.12299999999999</v>
      </c>
      <c r="AC80" s="156">
        <v>145.05000000000001</v>
      </c>
      <c r="AD80" s="156">
        <v>50.21</v>
      </c>
      <c r="AE80" s="156">
        <v>69.954000000000008</v>
      </c>
      <c r="AF80" s="157">
        <f t="shared" ref="AF80:AF85" si="72">SUM(T80:AE80)</f>
        <v>1402.2159999999999</v>
      </c>
    </row>
    <row r="81" spans="2:32">
      <c r="B81" s="103" t="s">
        <v>16</v>
      </c>
      <c r="C81" s="156">
        <v>1.7160749999999998</v>
      </c>
      <c r="D81" s="156">
        <v>0.27779999999999994</v>
      </c>
      <c r="E81" s="156">
        <v>0.8867250000000001</v>
      </c>
      <c r="F81" s="156">
        <v>2.5407609999999989</v>
      </c>
      <c r="G81" s="156">
        <v>2.710806999999992</v>
      </c>
      <c r="H81" s="156">
        <v>1.5850500000000001</v>
      </c>
      <c r="I81" s="156">
        <v>1.7070750000000001</v>
      </c>
      <c r="J81" s="156">
        <v>1.8967499999999999</v>
      </c>
      <c r="K81" s="156">
        <v>2.337299999999999</v>
      </c>
      <c r="L81" s="156">
        <v>1.8120749999999994</v>
      </c>
      <c r="M81" s="156">
        <v>0.76222499999999993</v>
      </c>
      <c r="N81" s="156">
        <v>1.0198499999999999</v>
      </c>
      <c r="O81" s="157">
        <f t="shared" si="71"/>
        <v>19.252492999999994</v>
      </c>
      <c r="S81" s="103" t="s">
        <v>16</v>
      </c>
      <c r="T81" s="156">
        <v>0</v>
      </c>
      <c r="U81" s="156">
        <v>2.9740000000000002</v>
      </c>
      <c r="V81" s="156">
        <v>6.2479999999999993</v>
      </c>
      <c r="W81" s="156">
        <v>3.1419999999999999</v>
      </c>
      <c r="X81" s="156">
        <v>0</v>
      </c>
      <c r="Y81" s="156">
        <v>0.9890000000000001</v>
      </c>
      <c r="Z81" s="156">
        <v>1.323</v>
      </c>
      <c r="AA81" s="156">
        <v>3.6289999999999996</v>
      </c>
      <c r="AB81" s="156">
        <v>2.4239999999999999</v>
      </c>
      <c r="AC81" s="156">
        <v>0</v>
      </c>
      <c r="AD81" s="156">
        <v>0.89</v>
      </c>
      <c r="AE81" s="156">
        <v>0</v>
      </c>
      <c r="AF81" s="157">
        <f t="shared" si="72"/>
        <v>21.619</v>
      </c>
    </row>
    <row r="82" spans="2:32">
      <c r="B82" s="103" t="s">
        <v>17</v>
      </c>
      <c r="C82" s="156">
        <v>40.546631999999988</v>
      </c>
      <c r="D82" s="156">
        <v>29.804175599999997</v>
      </c>
      <c r="E82" s="156">
        <v>31.607582000000001</v>
      </c>
      <c r="F82" s="156">
        <v>60.835374959999996</v>
      </c>
      <c r="G82" s="156">
        <v>44.787416000000022</v>
      </c>
      <c r="H82" s="156">
        <v>62.830968000000006</v>
      </c>
      <c r="I82" s="156">
        <v>38.575760000000045</v>
      </c>
      <c r="J82" s="156">
        <v>30.485310000000002</v>
      </c>
      <c r="K82" s="156">
        <v>37.399056000000009</v>
      </c>
      <c r="L82" s="156">
        <v>39.457014000000008</v>
      </c>
      <c r="M82" s="156">
        <v>42.031185999999998</v>
      </c>
      <c r="N82" s="156">
        <v>53.289445999999998</v>
      </c>
      <c r="O82" s="157">
        <f t="shared" si="71"/>
        <v>511.64992056000011</v>
      </c>
      <c r="S82" s="103" t="s">
        <v>17</v>
      </c>
      <c r="T82" s="156">
        <v>29.763999999999999</v>
      </c>
      <c r="U82" s="156">
        <v>33.590000000000003</v>
      </c>
      <c r="V82" s="156">
        <v>7.9560000000000004</v>
      </c>
      <c r="W82" s="156">
        <v>54.09</v>
      </c>
      <c r="X82" s="156">
        <v>40.530999999999999</v>
      </c>
      <c r="Y82" s="156">
        <v>109.761</v>
      </c>
      <c r="Z82" s="156">
        <v>32.147999999999996</v>
      </c>
      <c r="AA82" s="156">
        <v>17.971</v>
      </c>
      <c r="AB82" s="156">
        <v>3.66</v>
      </c>
      <c r="AC82" s="156">
        <v>60.205000000000005</v>
      </c>
      <c r="AD82" s="156">
        <v>25.067</v>
      </c>
      <c r="AE82" s="156">
        <v>85.694999999999993</v>
      </c>
      <c r="AF82" s="157">
        <f t="shared" si="72"/>
        <v>500.43800000000005</v>
      </c>
    </row>
    <row r="83" spans="2:32">
      <c r="B83" s="103" t="s">
        <v>19</v>
      </c>
      <c r="C83" s="156">
        <v>0.12852</v>
      </c>
      <c r="D83" s="156">
        <v>0.13319999999999999</v>
      </c>
      <c r="E83" s="156">
        <v>0.16739999999999999</v>
      </c>
      <c r="F83" s="156">
        <v>0.12249</v>
      </c>
      <c r="G83" s="156">
        <v>0.1090799999999999</v>
      </c>
      <c r="H83" s="156">
        <v>0.16684199999999999</v>
      </c>
      <c r="I83" s="156">
        <v>6.3899999999999971E-2</v>
      </c>
      <c r="J83" s="156">
        <v>7.1279999999999996E-2</v>
      </c>
      <c r="K83" s="156">
        <v>0.105264</v>
      </c>
      <c r="L83" s="156">
        <v>0.11163599999999999</v>
      </c>
      <c r="M83" s="156">
        <v>0.10693800000000002</v>
      </c>
      <c r="N83" s="156">
        <v>0.11385000000000001</v>
      </c>
      <c r="O83" s="157">
        <f t="shared" si="71"/>
        <v>1.4003999999999996</v>
      </c>
      <c r="S83" s="103" t="s">
        <v>19</v>
      </c>
      <c r="T83" s="156">
        <v>0.216</v>
      </c>
      <c r="U83" s="156">
        <v>0.20599999999999999</v>
      </c>
      <c r="V83" s="156">
        <v>0</v>
      </c>
      <c r="W83" s="156"/>
      <c r="X83" s="156">
        <v>0.108</v>
      </c>
      <c r="Y83" s="156">
        <v>0.19500000000000001</v>
      </c>
      <c r="Z83" s="156">
        <v>0.108</v>
      </c>
      <c r="AA83" s="156">
        <v>0.34700000000000003</v>
      </c>
      <c r="AB83" s="156">
        <v>0</v>
      </c>
      <c r="AC83" s="156">
        <v>0</v>
      </c>
      <c r="AD83" s="156">
        <v>0</v>
      </c>
      <c r="AE83" s="156">
        <v>0</v>
      </c>
      <c r="AF83" s="157">
        <f t="shared" si="72"/>
        <v>1.1800000000000002</v>
      </c>
    </row>
    <row r="84" spans="2:32">
      <c r="B84" s="103" t="s">
        <v>20</v>
      </c>
      <c r="C84" s="156"/>
      <c r="D84" s="156"/>
      <c r="E84" s="156"/>
      <c r="F84" s="156"/>
      <c r="G84" s="156"/>
      <c r="H84" s="156"/>
      <c r="I84" s="156">
        <v>0</v>
      </c>
      <c r="J84" s="156">
        <v>0</v>
      </c>
      <c r="K84" s="156">
        <v>0</v>
      </c>
      <c r="L84" s="156">
        <v>0.36091200000000012</v>
      </c>
      <c r="M84" s="156">
        <v>3.6480540000000081</v>
      </c>
      <c r="N84" s="156">
        <v>0.89357649999999988</v>
      </c>
      <c r="O84" s="157">
        <f t="shared" si="71"/>
        <v>4.902542500000008</v>
      </c>
      <c r="S84" s="103" t="s">
        <v>20</v>
      </c>
      <c r="T84" s="156">
        <v>0</v>
      </c>
      <c r="U84" s="156">
        <v>0</v>
      </c>
      <c r="V84" s="156">
        <v>0</v>
      </c>
      <c r="W84" s="156">
        <v>0</v>
      </c>
      <c r="X84" s="156">
        <v>0</v>
      </c>
      <c r="Y84" s="156">
        <v>0</v>
      </c>
      <c r="Z84" s="156">
        <v>0</v>
      </c>
      <c r="AA84" s="156">
        <v>0</v>
      </c>
      <c r="AB84" s="156">
        <v>0</v>
      </c>
      <c r="AC84" s="156">
        <v>3.09</v>
      </c>
      <c r="AD84" s="156">
        <v>1.6459999999999999</v>
      </c>
      <c r="AE84" s="156">
        <v>3.6509999999999994</v>
      </c>
      <c r="AF84" s="157">
        <f t="shared" si="72"/>
        <v>8.3869999999999987</v>
      </c>
    </row>
    <row r="85" spans="2:32" ht="15.75" thickBot="1">
      <c r="B85" s="103" t="s">
        <v>18</v>
      </c>
      <c r="C85" s="156">
        <v>6.9641376000000044</v>
      </c>
      <c r="D85" s="156">
        <v>7.620220800000002</v>
      </c>
      <c r="E85" s="156">
        <v>4.991708</v>
      </c>
      <c r="F85" s="156">
        <v>12.5028048</v>
      </c>
      <c r="G85" s="156">
        <v>11.008901399999964</v>
      </c>
      <c r="H85" s="156">
        <v>15.012755400000001</v>
      </c>
      <c r="I85" s="156">
        <v>13.540334399999971</v>
      </c>
      <c r="J85" s="156">
        <v>27.744625199999994</v>
      </c>
      <c r="K85" s="156">
        <v>29.4976764</v>
      </c>
      <c r="L85" s="156">
        <v>36.171533404799995</v>
      </c>
      <c r="M85" s="156">
        <v>18.874343400000001</v>
      </c>
      <c r="N85" s="156">
        <v>30.468288024000003</v>
      </c>
      <c r="O85" s="157">
        <f t="shared" si="71"/>
        <v>214.39732882879991</v>
      </c>
      <c r="S85" s="103" t="s">
        <v>18</v>
      </c>
      <c r="T85" s="156">
        <v>13.383999999999997</v>
      </c>
      <c r="U85" s="156">
        <v>3.3430000000000004</v>
      </c>
      <c r="V85" s="156">
        <v>12.184999999999999</v>
      </c>
      <c r="W85" s="156">
        <v>20.593000000000004</v>
      </c>
      <c r="X85" s="156">
        <v>9.8990000000000009</v>
      </c>
      <c r="Y85" s="156">
        <v>14.378</v>
      </c>
      <c r="Z85" s="156">
        <v>21.86</v>
      </c>
      <c r="AA85" s="156">
        <v>31.428999999999995</v>
      </c>
      <c r="AB85" s="156">
        <v>37.479000000000021</v>
      </c>
      <c r="AC85" s="156">
        <v>62.489000000000033</v>
      </c>
      <c r="AD85" s="156">
        <v>10.730999999999998</v>
      </c>
      <c r="AE85" s="156">
        <v>15.330000000000002</v>
      </c>
      <c r="AF85" s="157">
        <f t="shared" si="72"/>
        <v>253.10000000000005</v>
      </c>
    </row>
    <row r="86" spans="2:32" s="110" customFormat="1" ht="15.75" thickBot="1">
      <c r="B86" s="109" t="s">
        <v>92</v>
      </c>
      <c r="C86" s="158">
        <f>SUM(C78:C85)</f>
        <v>1056.4569621999999</v>
      </c>
      <c r="D86" s="158">
        <f t="shared" ref="D86:O86" si="73">SUM(D78:D85)</f>
        <v>1084.7314223999999</v>
      </c>
      <c r="E86" s="158">
        <f t="shared" si="73"/>
        <v>1062.1843552</v>
      </c>
      <c r="F86" s="158">
        <f t="shared" si="73"/>
        <v>1078.6428407599997</v>
      </c>
      <c r="G86" s="158">
        <f t="shared" si="73"/>
        <v>1095.6640474000285</v>
      </c>
      <c r="H86" s="158">
        <f t="shared" si="73"/>
        <v>1010.3849273999997</v>
      </c>
      <c r="I86" s="158">
        <f t="shared" si="73"/>
        <v>1146.4189174720002</v>
      </c>
      <c r="J86" s="158">
        <f t="shared" si="73"/>
        <v>1024.8886012000003</v>
      </c>
      <c r="K86" s="158">
        <f t="shared" si="73"/>
        <v>1116.8528253999998</v>
      </c>
      <c r="L86" s="158">
        <f t="shared" si="73"/>
        <v>1059.0353568047999</v>
      </c>
      <c r="M86" s="158">
        <f t="shared" si="73"/>
        <v>1120.0655493999996</v>
      </c>
      <c r="N86" s="158">
        <f t="shared" si="73"/>
        <v>1236.5643001239998</v>
      </c>
      <c r="O86" s="159">
        <f t="shared" si="73"/>
        <v>13091.890105760825</v>
      </c>
      <c r="S86" s="109" t="s">
        <v>92</v>
      </c>
      <c r="T86" s="158">
        <f>SUM(T78:T85)</f>
        <v>703.24199999999996</v>
      </c>
      <c r="U86" s="158">
        <f t="shared" ref="U86:AF86" si="74">SUM(U78:U85)</f>
        <v>747.49800000000005</v>
      </c>
      <c r="V86" s="158">
        <f t="shared" si="74"/>
        <v>1284.414</v>
      </c>
      <c r="W86" s="158">
        <f t="shared" si="74"/>
        <v>1399.9110000000003</v>
      </c>
      <c r="X86" s="158">
        <f t="shared" si="74"/>
        <v>1441.895</v>
      </c>
      <c r="Y86" s="158">
        <f t="shared" si="74"/>
        <v>1132.3289999999997</v>
      </c>
      <c r="Z86" s="158">
        <f t="shared" si="74"/>
        <v>686.24099999999987</v>
      </c>
      <c r="AA86" s="158">
        <f t="shared" si="74"/>
        <v>810.32899999999995</v>
      </c>
      <c r="AB86" s="158">
        <f t="shared" si="74"/>
        <v>1197.432</v>
      </c>
      <c r="AC86" s="158">
        <f t="shared" si="74"/>
        <v>1445.5989999999999</v>
      </c>
      <c r="AD86" s="158">
        <f t="shared" si="74"/>
        <v>1049.4199999999998</v>
      </c>
      <c r="AE86" s="158">
        <f t="shared" si="74"/>
        <v>962.76</v>
      </c>
      <c r="AF86" s="159">
        <f t="shared" si="74"/>
        <v>12861.070000000002</v>
      </c>
    </row>
    <row r="87" spans="2:32" ht="15.75" thickBot="1"/>
    <row r="88" spans="2:32" ht="15.75" thickBot="1">
      <c r="B88" s="97" t="s">
        <v>94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9"/>
      <c r="S88" s="97" t="s">
        <v>94</v>
      </c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9"/>
    </row>
    <row r="89" spans="2:32" ht="15.75" thickBot="1">
      <c r="B89" s="100" t="s">
        <v>79</v>
      </c>
      <c r="C89" s="101" t="s">
        <v>80</v>
      </c>
      <c r="D89" s="101" t="s">
        <v>81</v>
      </c>
      <c r="E89" s="101" t="s">
        <v>82</v>
      </c>
      <c r="F89" s="101" t="s">
        <v>83</v>
      </c>
      <c r="G89" s="101" t="s">
        <v>84</v>
      </c>
      <c r="H89" s="101" t="s">
        <v>85</v>
      </c>
      <c r="I89" s="101" t="s">
        <v>86</v>
      </c>
      <c r="J89" s="101" t="s">
        <v>87</v>
      </c>
      <c r="K89" s="101" t="s">
        <v>88</v>
      </c>
      <c r="L89" s="101" t="s">
        <v>89</v>
      </c>
      <c r="M89" s="101" t="s">
        <v>90</v>
      </c>
      <c r="N89" s="101" t="s">
        <v>91</v>
      </c>
      <c r="O89" s="102" t="s">
        <v>92</v>
      </c>
      <c r="S89" s="100" t="s">
        <v>79</v>
      </c>
      <c r="T89" s="101" t="s">
        <v>80</v>
      </c>
      <c r="U89" s="101" t="s">
        <v>81</v>
      </c>
      <c r="V89" s="101" t="s">
        <v>82</v>
      </c>
      <c r="W89" s="101" t="s">
        <v>83</v>
      </c>
      <c r="X89" s="101" t="s">
        <v>84</v>
      </c>
      <c r="Y89" s="101" t="s">
        <v>85</v>
      </c>
      <c r="Z89" s="101" t="s">
        <v>86</v>
      </c>
      <c r="AA89" s="101" t="s">
        <v>87</v>
      </c>
      <c r="AB89" s="101" t="s">
        <v>88</v>
      </c>
      <c r="AC89" s="101" t="s">
        <v>89</v>
      </c>
      <c r="AD89" s="101" t="s">
        <v>90</v>
      </c>
      <c r="AE89" s="101" t="s">
        <v>91</v>
      </c>
      <c r="AF89" s="102" t="s">
        <v>92</v>
      </c>
    </row>
    <row r="90" spans="2:32">
      <c r="B90" s="103"/>
      <c r="C90" s="104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6"/>
      <c r="S90" s="103"/>
      <c r="T90" s="104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6"/>
    </row>
    <row r="91" spans="2:32">
      <c r="B91" s="103" t="s">
        <v>15</v>
      </c>
      <c r="C91" s="156">
        <v>1324.0572087999997</v>
      </c>
      <c r="D91" s="156">
        <v>1260.9018159999996</v>
      </c>
      <c r="E91" s="156">
        <v>1123.4094354559998</v>
      </c>
      <c r="F91" s="156">
        <v>951.05385920000003</v>
      </c>
      <c r="G91" s="156">
        <v>1046.3737462399999</v>
      </c>
      <c r="H91" s="156">
        <v>956.61647359999984</v>
      </c>
      <c r="I91" s="156">
        <v>869.31236998400004</v>
      </c>
      <c r="J91" s="156">
        <v>889.03327599999989</v>
      </c>
      <c r="K91" s="156">
        <v>710.75230620799994</v>
      </c>
      <c r="L91" s="156">
        <v>813.77837199999988</v>
      </c>
      <c r="M91" s="156">
        <v>757.42544239999995</v>
      </c>
      <c r="N91" s="156">
        <v>691.21039079999991</v>
      </c>
      <c r="O91" s="157">
        <f>SUM(C91:N91)</f>
        <v>11393.924696687998</v>
      </c>
      <c r="S91" s="103" t="s">
        <v>15</v>
      </c>
      <c r="T91" s="156">
        <v>1324.0572087999974</v>
      </c>
      <c r="U91" s="156">
        <v>1260.9018159999973</v>
      </c>
      <c r="V91" s="156">
        <v>1123.4094354559993</v>
      </c>
      <c r="W91" s="156">
        <v>951.05385919999935</v>
      </c>
      <c r="X91" s="156">
        <v>1046.3737462399997</v>
      </c>
      <c r="Y91" s="156">
        <v>956.61647359999984</v>
      </c>
      <c r="Z91" s="156">
        <v>869.31236998399811</v>
      </c>
      <c r="AA91" s="156">
        <v>889.03327599999807</v>
      </c>
      <c r="AB91" s="156">
        <v>710.7523062079996</v>
      </c>
      <c r="AC91" s="156">
        <v>814.20230799999911</v>
      </c>
      <c r="AD91" s="156">
        <v>757.4254423999987</v>
      </c>
      <c r="AE91" s="156">
        <v>691.21039079999935</v>
      </c>
      <c r="AF91" s="157">
        <f>SUM(T91:AE91)</f>
        <v>11394.348632687987</v>
      </c>
    </row>
    <row r="92" spans="2:32">
      <c r="B92" s="103" t="s">
        <v>77</v>
      </c>
      <c r="C92" s="156">
        <v>87.116699999999994</v>
      </c>
      <c r="D92" s="156">
        <v>57.712800000000001</v>
      </c>
      <c r="E92" s="156">
        <v>66.759374999999991</v>
      </c>
      <c r="F92" s="156">
        <v>70.9268</v>
      </c>
      <c r="G92" s="156">
        <v>109.50415000000001</v>
      </c>
      <c r="H92" s="156">
        <v>72.938700000000011</v>
      </c>
      <c r="I92" s="156">
        <v>155.40339959999901</v>
      </c>
      <c r="J92" s="156">
        <v>235.224875</v>
      </c>
      <c r="K92" s="156">
        <v>178.7285952</v>
      </c>
      <c r="L92" s="156">
        <v>129.13325</v>
      </c>
      <c r="M92" s="156">
        <v>75.750140999999999</v>
      </c>
      <c r="N92" s="156">
        <v>77.632548</v>
      </c>
      <c r="O92" s="157">
        <f t="shared" ref="O92:O95" si="75">SUM(C92:N92)</f>
        <v>1316.8313337999991</v>
      </c>
      <c r="S92" s="103" t="s">
        <v>77</v>
      </c>
      <c r="T92" s="156">
        <v>68.276699999999991</v>
      </c>
      <c r="U92" s="156">
        <v>57.712800000000044</v>
      </c>
      <c r="V92" s="156">
        <v>66.759374999999878</v>
      </c>
      <c r="W92" s="156">
        <v>70.926799999999858</v>
      </c>
      <c r="X92" s="156">
        <v>64.504149999999939</v>
      </c>
      <c r="Y92" s="156">
        <v>72.938699999999884</v>
      </c>
      <c r="Z92" s="156">
        <v>109.23384959999996</v>
      </c>
      <c r="AA92" s="156">
        <v>199.26177500000014</v>
      </c>
      <c r="AB92" s="156">
        <v>158.4284952000001</v>
      </c>
      <c r="AC92" s="156">
        <v>124.71824999999983</v>
      </c>
      <c r="AD92" s="156">
        <v>76.100924999999947</v>
      </c>
      <c r="AE92" s="156">
        <v>75.007547999999915</v>
      </c>
      <c r="AF92" s="157">
        <f t="shared" ref="AF92:AF95" si="76">SUM(T92:AE92)</f>
        <v>1143.8693677999993</v>
      </c>
    </row>
    <row r="93" spans="2:32">
      <c r="B93" s="103" t="s">
        <v>16</v>
      </c>
      <c r="C93" s="156">
        <v>1.5683249999999995</v>
      </c>
      <c r="D93" s="156">
        <v>1.8440999999999994</v>
      </c>
      <c r="E93" s="156">
        <v>1.5078</v>
      </c>
      <c r="F93" s="156">
        <v>1.3903429999999983</v>
      </c>
      <c r="G93" s="156">
        <v>1.8635250000000001</v>
      </c>
      <c r="H93" s="156">
        <v>3.0289523999999983</v>
      </c>
      <c r="I93" s="156">
        <v>9.5806475999999989</v>
      </c>
      <c r="J93" s="156">
        <v>1.7414999999999998</v>
      </c>
      <c r="K93" s="156">
        <v>2.1435751999999995</v>
      </c>
      <c r="L93" s="156">
        <v>1.0263</v>
      </c>
      <c r="M93" s="156">
        <v>1.5928207999999993</v>
      </c>
      <c r="N93" s="156">
        <v>1.3991350000000002</v>
      </c>
      <c r="O93" s="157">
        <f t="shared" si="75"/>
        <v>28.68702399999999</v>
      </c>
      <c r="S93" s="103" t="s">
        <v>16</v>
      </c>
      <c r="T93" s="156">
        <v>1.5683249999999997</v>
      </c>
      <c r="U93" s="156">
        <v>1.8440999999999996</v>
      </c>
      <c r="V93" s="156">
        <v>1.5077999999999998</v>
      </c>
      <c r="W93" s="156">
        <v>1.3903430000000001</v>
      </c>
      <c r="X93" s="156">
        <v>1.8635250000000003</v>
      </c>
      <c r="Y93" s="156">
        <v>3.028952399999997</v>
      </c>
      <c r="Z93" s="156">
        <v>2.0806475999999994</v>
      </c>
      <c r="AA93" s="156">
        <v>1.7414999999999998</v>
      </c>
      <c r="AB93" s="156">
        <v>2.1435751999999986</v>
      </c>
      <c r="AC93" s="156">
        <v>1.0262999999999995</v>
      </c>
      <c r="AD93" s="156">
        <v>1.5928208000000004</v>
      </c>
      <c r="AE93" s="156">
        <v>1.3991350000000002</v>
      </c>
      <c r="AF93" s="157">
        <f t="shared" si="76"/>
        <v>21.187023999999997</v>
      </c>
    </row>
    <row r="94" spans="2:32">
      <c r="B94" s="103" t="s">
        <v>17</v>
      </c>
      <c r="C94" s="156">
        <v>26.554671000000006</v>
      </c>
      <c r="D94" s="156">
        <v>52.764864000000017</v>
      </c>
      <c r="E94" s="156">
        <v>41.74831200000002</v>
      </c>
      <c r="F94" s="156">
        <v>82.337835999999996</v>
      </c>
      <c r="G94" s="156">
        <v>37.398024000000007</v>
      </c>
      <c r="H94" s="156">
        <v>39.28416</v>
      </c>
      <c r="I94" s="156">
        <v>40.216680000000018</v>
      </c>
      <c r="J94" s="156">
        <v>31.735095999999999</v>
      </c>
      <c r="K94" s="156">
        <v>47.185568000000004</v>
      </c>
      <c r="L94" s="156">
        <v>89.429687999999999</v>
      </c>
      <c r="M94" s="156">
        <v>58.432430000000004</v>
      </c>
      <c r="N94" s="156">
        <v>39.037779999999998</v>
      </c>
      <c r="O94" s="157">
        <f t="shared" si="75"/>
        <v>586.12510900000007</v>
      </c>
      <c r="S94" s="103" t="s">
        <v>17</v>
      </c>
      <c r="T94" s="156">
        <v>26.554670999999924</v>
      </c>
      <c r="U94" s="156">
        <v>52.764863999999911</v>
      </c>
      <c r="V94" s="156">
        <v>41.748311999999942</v>
      </c>
      <c r="W94" s="156">
        <v>82.337835999999811</v>
      </c>
      <c r="X94" s="156">
        <v>37.398023999999985</v>
      </c>
      <c r="Y94" s="156">
        <v>39.284159999999972</v>
      </c>
      <c r="Z94" s="156">
        <v>40.216679999999968</v>
      </c>
      <c r="AA94" s="156">
        <v>31.735095999999984</v>
      </c>
      <c r="AB94" s="156">
        <v>45.385567999999942</v>
      </c>
      <c r="AC94" s="156">
        <v>89.429687999999956</v>
      </c>
      <c r="AD94" s="156">
        <v>58.432430000000018</v>
      </c>
      <c r="AE94" s="156">
        <v>39.03777999999997</v>
      </c>
      <c r="AF94" s="157">
        <f t="shared" si="76"/>
        <v>584.32510899999943</v>
      </c>
    </row>
    <row r="95" spans="2:32">
      <c r="B95" s="103" t="s">
        <v>19</v>
      </c>
      <c r="C95" s="156">
        <v>-1.3319999999999999E-3</v>
      </c>
      <c r="D95" s="156">
        <v>-7.0650000000000004E-2</v>
      </c>
      <c r="E95" s="156">
        <v>0.20651400000000003</v>
      </c>
      <c r="F95" s="156">
        <v>0.19565000000000005</v>
      </c>
      <c r="G95" s="156">
        <v>0.471582</v>
      </c>
      <c r="H95" s="156">
        <v>0.34259400000000007</v>
      </c>
      <c r="I95" s="156">
        <v>0.19168199999999999</v>
      </c>
      <c r="J95" s="156">
        <v>0.13796999999999998</v>
      </c>
      <c r="K95" s="156">
        <v>0.14165999999999998</v>
      </c>
      <c r="L95" s="156">
        <v>0.25019999999999992</v>
      </c>
      <c r="M95" s="156">
        <v>0.12501000000000001</v>
      </c>
      <c r="N95" s="156">
        <v>0.44350199999999995</v>
      </c>
      <c r="O95" s="157">
        <f t="shared" si="75"/>
        <v>2.4343819999999998</v>
      </c>
      <c r="S95" s="103" t="s">
        <v>19</v>
      </c>
      <c r="T95" s="156">
        <v>0</v>
      </c>
      <c r="U95" s="156">
        <v>-7.0650000000000018E-2</v>
      </c>
      <c r="V95" s="156">
        <v>0.20651399999999998</v>
      </c>
      <c r="W95" s="156">
        <v>0.19565000000000002</v>
      </c>
      <c r="X95" s="156">
        <v>0.47158200000000144</v>
      </c>
      <c r="Y95" s="156">
        <v>0.34259400000000095</v>
      </c>
      <c r="Z95" s="156">
        <v>0.19168199999999991</v>
      </c>
      <c r="AA95" s="156">
        <v>0.1379699999999999</v>
      </c>
      <c r="AB95" s="156">
        <v>0.14165999999999984</v>
      </c>
      <c r="AC95" s="156">
        <v>0.2501999999999997</v>
      </c>
      <c r="AD95" s="156">
        <v>0.12500999999999984</v>
      </c>
      <c r="AE95" s="156">
        <v>0.44350200000000051</v>
      </c>
      <c r="AF95" s="157">
        <f t="shared" si="76"/>
        <v>2.4357140000000022</v>
      </c>
    </row>
    <row r="96" spans="2:32">
      <c r="B96" s="103" t="s">
        <v>20</v>
      </c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7">
        <f t="shared" ref="O96:O97" si="77">SUM(C96:K96)</f>
        <v>0</v>
      </c>
      <c r="S96" s="103" t="s">
        <v>20</v>
      </c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7">
        <f t="shared" ref="AF96:AF97" si="78">SUM(T96:AB96)</f>
        <v>0</v>
      </c>
    </row>
    <row r="97" spans="2:33" ht="15.75" thickBot="1">
      <c r="B97" s="103" t="s">
        <v>18</v>
      </c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7">
        <f t="shared" si="77"/>
        <v>0</v>
      </c>
      <c r="S97" s="103" t="s">
        <v>18</v>
      </c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7">
        <f t="shared" si="78"/>
        <v>0</v>
      </c>
    </row>
    <row r="98" spans="2:33" ht="15.75" thickBot="1">
      <c r="B98" s="109" t="s">
        <v>92</v>
      </c>
      <c r="C98" s="158">
        <f>SUM(C90:C97)</f>
        <v>1439.2955727999997</v>
      </c>
      <c r="D98" s="158">
        <f t="shared" ref="D98:N98" si="79">SUM(D90:D97)</f>
        <v>1373.1529299999997</v>
      </c>
      <c r="E98" s="158">
        <f t="shared" si="79"/>
        <v>1233.6314364559998</v>
      </c>
      <c r="F98" s="158">
        <f t="shared" si="79"/>
        <v>1105.9044881999998</v>
      </c>
      <c r="G98" s="158">
        <f t="shared" si="79"/>
        <v>1195.6110272399999</v>
      </c>
      <c r="H98" s="158">
        <f t="shared" si="79"/>
        <v>1072.2108799999996</v>
      </c>
      <c r="I98" s="158">
        <f t="shared" si="79"/>
        <v>1074.7047791839989</v>
      </c>
      <c r="J98" s="158">
        <f t="shared" si="79"/>
        <v>1157.872717</v>
      </c>
      <c r="K98" s="158">
        <f t="shared" si="79"/>
        <v>938.95170460799989</v>
      </c>
      <c r="L98" s="158">
        <f t="shared" si="79"/>
        <v>1033.6178099999997</v>
      </c>
      <c r="M98" s="158">
        <f t="shared" si="79"/>
        <v>893.32584419999989</v>
      </c>
      <c r="N98" s="158">
        <f t="shared" si="79"/>
        <v>809.72335579999992</v>
      </c>
      <c r="O98" s="159">
        <f t="shared" ref="O98" si="80">SUM(O90:O97)</f>
        <v>13328.002545487998</v>
      </c>
      <c r="S98" s="109" t="s">
        <v>92</v>
      </c>
      <c r="T98" s="158">
        <f>SUM(T90:T97)</f>
        <v>1420.4569047999971</v>
      </c>
      <c r="U98" s="158">
        <f t="shared" ref="U98:AF98" si="81">SUM(U90:U97)</f>
        <v>1373.1529299999975</v>
      </c>
      <c r="V98" s="158">
        <f t="shared" si="81"/>
        <v>1233.6314364559992</v>
      </c>
      <c r="W98" s="158">
        <f t="shared" si="81"/>
        <v>1105.9044881999989</v>
      </c>
      <c r="X98" s="158">
        <f t="shared" si="81"/>
        <v>1150.6110272399997</v>
      </c>
      <c r="Y98" s="158">
        <f t="shared" si="81"/>
        <v>1072.2108799999996</v>
      </c>
      <c r="Z98" s="158">
        <f t="shared" si="81"/>
        <v>1021.0352291839981</v>
      </c>
      <c r="AA98" s="158">
        <f t="shared" si="81"/>
        <v>1121.9096169999982</v>
      </c>
      <c r="AB98" s="158">
        <f t="shared" si="81"/>
        <v>916.85160460799966</v>
      </c>
      <c r="AC98" s="158">
        <f t="shared" si="81"/>
        <v>1029.6267459999988</v>
      </c>
      <c r="AD98" s="158">
        <f t="shared" si="81"/>
        <v>893.67662819999873</v>
      </c>
      <c r="AE98" s="158">
        <f t="shared" si="81"/>
        <v>807.09835579999924</v>
      </c>
      <c r="AF98" s="159">
        <f t="shared" si="81"/>
        <v>13146.165847487986</v>
      </c>
    </row>
    <row r="100" spans="2:33" ht="15.75" thickBot="1"/>
    <row r="101" spans="2:33" ht="15.75" thickBot="1">
      <c r="B101" s="97" t="s">
        <v>95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9"/>
      <c r="S101" s="97" t="s">
        <v>95</v>
      </c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9"/>
    </row>
    <row r="102" spans="2:33" ht="15.75" thickBot="1">
      <c r="B102" s="100" t="s">
        <v>79</v>
      </c>
      <c r="C102" s="101" t="s">
        <v>80</v>
      </c>
      <c r="D102" s="101" t="s">
        <v>81</v>
      </c>
      <c r="E102" s="101" t="s">
        <v>82</v>
      </c>
      <c r="F102" s="101" t="s">
        <v>83</v>
      </c>
      <c r="G102" s="101" t="s">
        <v>84</v>
      </c>
      <c r="H102" s="101" t="s">
        <v>85</v>
      </c>
      <c r="I102" s="101" t="s">
        <v>86</v>
      </c>
      <c r="J102" s="101" t="s">
        <v>87</v>
      </c>
      <c r="K102" s="101" t="s">
        <v>88</v>
      </c>
      <c r="L102" s="101" t="s">
        <v>89</v>
      </c>
      <c r="M102" s="101" t="s">
        <v>90</v>
      </c>
      <c r="N102" s="101" t="s">
        <v>91</v>
      </c>
      <c r="O102" s="102" t="s">
        <v>92</v>
      </c>
      <c r="S102" s="100" t="s">
        <v>79</v>
      </c>
      <c r="T102" s="101" t="s">
        <v>80</v>
      </c>
      <c r="U102" s="101" t="s">
        <v>81</v>
      </c>
      <c r="V102" s="101" t="s">
        <v>82</v>
      </c>
      <c r="W102" s="101" t="s">
        <v>83</v>
      </c>
      <c r="X102" s="101" t="s">
        <v>84</v>
      </c>
      <c r="Y102" s="101" t="s">
        <v>85</v>
      </c>
      <c r="Z102" s="101" t="s">
        <v>86</v>
      </c>
      <c r="AA102" s="101" t="s">
        <v>87</v>
      </c>
      <c r="AB102" s="101" t="s">
        <v>88</v>
      </c>
      <c r="AC102" s="101" t="s">
        <v>89</v>
      </c>
      <c r="AD102" s="101" t="s">
        <v>90</v>
      </c>
      <c r="AE102" s="101" t="s">
        <v>91</v>
      </c>
      <c r="AF102" s="102" t="s">
        <v>92</v>
      </c>
      <c r="AG102" s="374"/>
    </row>
    <row r="103" spans="2:33">
      <c r="B103" s="103"/>
      <c r="C103" s="104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6"/>
      <c r="S103" s="103"/>
      <c r="T103" s="104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6"/>
    </row>
    <row r="104" spans="2:33">
      <c r="B104" s="103" t="s">
        <v>15</v>
      </c>
      <c r="C104" s="160">
        <f>C79/C91-1</f>
        <v>-0.28464941597318083</v>
      </c>
      <c r="D104" s="160">
        <f t="shared" ref="D104:J104" si="82">D79/D91-1</f>
        <v>-0.24015203734150214</v>
      </c>
      <c r="E104" s="160">
        <f t="shared" si="82"/>
        <v>-0.17426150615918268</v>
      </c>
      <c r="F104" s="160">
        <f t="shared" si="82"/>
        <v>-6.7827861246746335E-2</v>
      </c>
      <c r="G104" s="160">
        <f t="shared" si="82"/>
        <v>-9.0279497721938995E-2</v>
      </c>
      <c r="H104" s="160">
        <f t="shared" si="82"/>
        <v>-0.14735525206828315</v>
      </c>
      <c r="I104" s="160">
        <f t="shared" si="82"/>
        <v>5.8185474904643542E-2</v>
      </c>
      <c r="J104" s="160">
        <f t="shared" si="82"/>
        <v>-0.14943036282929834</v>
      </c>
      <c r="K104" s="160">
        <f t="shared" ref="K104:M104" si="83">K79/K91-1</f>
        <v>0.14669512976787624</v>
      </c>
      <c r="L104" s="160">
        <f t="shared" si="83"/>
        <v>1.9708608574325659E-2</v>
      </c>
      <c r="M104" s="160">
        <f t="shared" si="83"/>
        <v>0.28373365029703668</v>
      </c>
      <c r="N104" s="160">
        <f t="shared" ref="N104" si="84">N79/N91-1</f>
        <v>0.52855607042763797</v>
      </c>
      <c r="O104" s="162">
        <f t="shared" ref="O104" si="85">O79/O91-1</f>
        <v>-4.8896067899932172E-2</v>
      </c>
      <c r="S104" s="103" t="s">
        <v>15</v>
      </c>
      <c r="T104" s="160">
        <f>T79/T91-1</f>
        <v>-0.54801424287219125</v>
      </c>
      <c r="U104" s="160">
        <f t="shared" ref="U104:AF108" si="86">U79/U91-1</f>
        <v>-0.45485128875411063</v>
      </c>
      <c r="V104" s="160">
        <f t="shared" si="86"/>
        <v>3.3332962464215798E-2</v>
      </c>
      <c r="W104" s="160">
        <f t="shared" si="86"/>
        <v>0.24986296885424686</v>
      </c>
      <c r="X104" s="160">
        <f t="shared" si="86"/>
        <v>0.19430748763584393</v>
      </c>
      <c r="Y104" s="160">
        <f t="shared" si="86"/>
        <v>-9.9167718953235506E-2</v>
      </c>
      <c r="Z104" s="160">
        <f t="shared" si="86"/>
        <v>-0.41439692154688801</v>
      </c>
      <c r="AA104" s="160">
        <f t="shared" si="86"/>
        <v>-0.37154095905854345</v>
      </c>
      <c r="AB104" s="160">
        <f t="shared" si="86"/>
        <v>0.31655710692292383</v>
      </c>
      <c r="AC104" s="160">
        <f t="shared" si="86"/>
        <v>0.44284164814723348</v>
      </c>
      <c r="AD104" s="160">
        <f t="shared" si="86"/>
        <v>0.26860803217190909</v>
      </c>
      <c r="AE104" s="160">
        <f t="shared" si="86"/>
        <v>0.14021723413015685</v>
      </c>
      <c r="AF104" s="162">
        <f t="shared" si="86"/>
        <v>-6.320840759794133E-2</v>
      </c>
    </row>
    <row r="105" spans="2:33">
      <c r="B105" s="103" t="s">
        <v>77</v>
      </c>
      <c r="C105" s="160">
        <f t="shared" ref="C105:J105" si="87">C80/C92-1</f>
        <v>-0.311997584848829</v>
      </c>
      <c r="D105" s="160">
        <f t="shared" si="87"/>
        <v>0.53869418915734468</v>
      </c>
      <c r="E105" s="160">
        <f t="shared" si="87"/>
        <v>0.45130964752141201</v>
      </c>
      <c r="F105" s="160">
        <f t="shared" si="87"/>
        <v>0.63683544161022354</v>
      </c>
      <c r="G105" s="160">
        <f t="shared" si="87"/>
        <v>-0.22249345801050069</v>
      </c>
      <c r="H105" s="160">
        <f t="shared" si="87"/>
        <v>0.57852141592871886</v>
      </c>
      <c r="I105" s="160">
        <f t="shared" si="87"/>
        <v>0.11090314268775603</v>
      </c>
      <c r="J105" s="160">
        <f t="shared" si="87"/>
        <v>-0.11358896460248913</v>
      </c>
      <c r="K105" s="160">
        <f t="shared" ref="K105:M105" si="88">K80/K92-1</f>
        <v>0.30084008515722926</v>
      </c>
      <c r="L105" s="160">
        <f t="shared" si="88"/>
        <v>0.17169958163369992</v>
      </c>
      <c r="M105" s="160">
        <f t="shared" si="88"/>
        <v>8.6602267842643466E-2</v>
      </c>
      <c r="N105" s="160">
        <f t="shared" ref="N105" si="89">N80/N92-1</f>
        <v>0.21373641890512252</v>
      </c>
      <c r="O105" s="162">
        <f t="shared" ref="O105" si="90">O80/O92-1</f>
        <v>0.14174139178582812</v>
      </c>
      <c r="S105" s="103" t="s">
        <v>77</v>
      </c>
      <c r="T105" s="160">
        <f t="shared" ref="T105:AD105" si="91">T80/T92-1</f>
        <v>-0.10038124279585836</v>
      </c>
      <c r="U105" s="160">
        <f t="shared" si="91"/>
        <v>-0.65335246253863988</v>
      </c>
      <c r="V105" s="160">
        <f t="shared" si="91"/>
        <v>0.45551093011281463</v>
      </c>
      <c r="W105" s="160">
        <f t="shared" si="91"/>
        <v>0.88079823141605518</v>
      </c>
      <c r="X105" s="160">
        <f t="shared" si="91"/>
        <v>1.1962152822725374</v>
      </c>
      <c r="Y105" s="160">
        <f t="shared" si="91"/>
        <v>0.99146680705853352</v>
      </c>
      <c r="Z105" s="160">
        <f t="shared" si="91"/>
        <v>0.11439815080910654</v>
      </c>
      <c r="AA105" s="160">
        <f t="shared" si="91"/>
        <v>-5.167950551480005E-3</v>
      </c>
      <c r="AB105" s="160">
        <f t="shared" si="91"/>
        <v>0.37679146497378246</v>
      </c>
      <c r="AC105" s="160">
        <f t="shared" si="91"/>
        <v>0.16302145034908855</v>
      </c>
      <c r="AD105" s="160">
        <f t="shared" si="91"/>
        <v>-0.34021826935743504</v>
      </c>
      <c r="AE105" s="160">
        <f t="shared" si="86"/>
        <v>-6.7373859494779254E-2</v>
      </c>
      <c r="AF105" s="162">
        <f t="shared" si="86"/>
        <v>0.22585326565469432</v>
      </c>
    </row>
    <row r="106" spans="2:33">
      <c r="B106" s="103" t="s">
        <v>16</v>
      </c>
      <c r="C106" s="160">
        <f t="shared" ref="C106:J106" si="92">C81/C93-1</f>
        <v>9.4208789632251211E-2</v>
      </c>
      <c r="D106" s="160">
        <f t="shared" si="92"/>
        <v>-0.84935741011875709</v>
      </c>
      <c r="E106" s="160">
        <f t="shared" si="92"/>
        <v>-0.41190807799442897</v>
      </c>
      <c r="F106" s="160">
        <f t="shared" si="92"/>
        <v>0.82743466899894624</v>
      </c>
      <c r="G106" s="160">
        <f t="shared" si="92"/>
        <v>0.45466629103445988</v>
      </c>
      <c r="H106" s="160">
        <f t="shared" si="92"/>
        <v>-0.47670026111998298</v>
      </c>
      <c r="I106" s="160">
        <f t="shared" si="92"/>
        <v>-0.82182049990023631</v>
      </c>
      <c r="J106" s="160">
        <f t="shared" si="92"/>
        <v>8.9147286821705585E-2</v>
      </c>
      <c r="K106" s="160">
        <f t="shared" ref="K106:M106" si="93">K81/K93-1</f>
        <v>9.0374622733086163E-2</v>
      </c>
      <c r="L106" s="160">
        <f t="shared" si="93"/>
        <v>0.76563870213387841</v>
      </c>
      <c r="M106" s="160">
        <f t="shared" si="93"/>
        <v>-0.5214621757827369</v>
      </c>
      <c r="N106" s="160">
        <f t="shared" ref="N106" si="94">N81/N93-1</f>
        <v>-0.27108534916216109</v>
      </c>
      <c r="O106" s="162">
        <f t="shared" ref="O106" si="95">O81/O93-1</f>
        <v>-0.32887799724363176</v>
      </c>
      <c r="S106" s="103" t="s">
        <v>16</v>
      </c>
      <c r="T106" s="160">
        <f t="shared" ref="T106:AD106" si="96">T81/T93-1</f>
        <v>-1</v>
      </c>
      <c r="U106" s="160">
        <f t="shared" si="96"/>
        <v>0.61271080743994411</v>
      </c>
      <c r="V106" s="160">
        <f t="shared" si="96"/>
        <v>3.143785647963921</v>
      </c>
      <c r="W106" s="160">
        <f t="shared" si="96"/>
        <v>1.2598740023145365</v>
      </c>
      <c r="X106" s="160">
        <f t="shared" si="96"/>
        <v>-1</v>
      </c>
      <c r="Y106" s="160">
        <f t="shared" si="96"/>
        <v>-0.67348446941589413</v>
      </c>
      <c r="Z106" s="160">
        <f t="shared" si="96"/>
        <v>-0.36414028017046218</v>
      </c>
      <c r="AA106" s="160">
        <f t="shared" si="96"/>
        <v>1.0838357737582545</v>
      </c>
      <c r="AB106" s="160">
        <f t="shared" si="96"/>
        <v>0.13082106939845239</v>
      </c>
      <c r="AC106" s="160">
        <f t="shared" si="96"/>
        <v>-1</v>
      </c>
      <c r="AD106" s="160">
        <f t="shared" si="96"/>
        <v>-0.44124285669800412</v>
      </c>
      <c r="AE106" s="160">
        <f t="shared" si="86"/>
        <v>-1</v>
      </c>
      <c r="AF106" s="162">
        <f t="shared" si="86"/>
        <v>2.0388705841839938E-2</v>
      </c>
    </row>
    <row r="107" spans="2:33">
      <c r="B107" s="103" t="s">
        <v>17</v>
      </c>
      <c r="C107" s="160">
        <f t="shared" ref="C107:J107" si="97">C82/C94-1</f>
        <v>0.52691148009327549</v>
      </c>
      <c r="D107" s="160">
        <f t="shared" si="97"/>
        <v>-0.43515109600206703</v>
      </c>
      <c r="E107" s="160">
        <f t="shared" si="97"/>
        <v>-0.24290155731326368</v>
      </c>
      <c r="F107" s="160">
        <f t="shared" si="97"/>
        <v>-0.26114921261714963</v>
      </c>
      <c r="G107" s="160">
        <f t="shared" si="97"/>
        <v>0.19758776559959457</v>
      </c>
      <c r="H107" s="160">
        <f t="shared" si="97"/>
        <v>0.5993970088707512</v>
      </c>
      <c r="I107" s="160">
        <f t="shared" si="97"/>
        <v>-4.080197569764521E-2</v>
      </c>
      <c r="J107" s="160">
        <f t="shared" si="97"/>
        <v>-3.9381825093580791E-2</v>
      </c>
      <c r="K107" s="160">
        <f t="shared" ref="K107:M107" si="98">K82/K94-1</f>
        <v>-0.20740477257792034</v>
      </c>
      <c r="L107" s="160">
        <f t="shared" si="98"/>
        <v>-0.55879289213219652</v>
      </c>
      <c r="M107" s="160">
        <f t="shared" si="98"/>
        <v>-0.28068735118494992</v>
      </c>
      <c r="N107" s="160">
        <f t="shared" ref="N107" si="99">N82/N94-1</f>
        <v>0.3650736799070029</v>
      </c>
      <c r="O107" s="162">
        <f t="shared" ref="O107" si="100">O82/O94-1</f>
        <v>-0.12706363760300865</v>
      </c>
      <c r="S107" s="103" t="s">
        <v>17</v>
      </c>
      <c r="T107" s="160">
        <f t="shared" ref="T107:AD107" si="101">T82/T94-1</f>
        <v>0.12085741902055891</v>
      </c>
      <c r="U107" s="160">
        <f t="shared" si="101"/>
        <v>-0.36340213062995741</v>
      </c>
      <c r="V107" s="160">
        <f t="shared" si="101"/>
        <v>-0.80942942076316737</v>
      </c>
      <c r="W107" s="160">
        <f t="shared" si="101"/>
        <v>-0.34307236347576431</v>
      </c>
      <c r="X107" s="160">
        <f t="shared" si="101"/>
        <v>8.377383789047288E-2</v>
      </c>
      <c r="Y107" s="160">
        <f t="shared" si="101"/>
        <v>1.7940269055008451</v>
      </c>
      <c r="Z107" s="160">
        <f t="shared" si="101"/>
        <v>-0.20063018628091578</v>
      </c>
      <c r="AA107" s="160">
        <f t="shared" si="101"/>
        <v>-0.43371842958975104</v>
      </c>
      <c r="AB107" s="160">
        <f t="shared" si="101"/>
        <v>-0.91935762487317541</v>
      </c>
      <c r="AC107" s="160">
        <f t="shared" si="101"/>
        <v>-0.32678955561155443</v>
      </c>
      <c r="AD107" s="160">
        <f t="shared" si="101"/>
        <v>-0.57100877030101271</v>
      </c>
      <c r="AE107" s="160">
        <f t="shared" si="86"/>
        <v>1.1951811808970709</v>
      </c>
      <c r="AF107" s="162">
        <f t="shared" si="86"/>
        <v>-0.14356238968330803</v>
      </c>
    </row>
    <row r="108" spans="2:33">
      <c r="B108" s="103" t="s">
        <v>19</v>
      </c>
      <c r="C108" s="160">
        <f t="shared" ref="C108:J108" si="102">C83/C95-1</f>
        <v>-97.486486486486498</v>
      </c>
      <c r="D108" s="160">
        <f t="shared" si="102"/>
        <v>-2.8853503184713372</v>
      </c>
      <c r="E108" s="160">
        <f t="shared" si="102"/>
        <v>-0.18940120282402173</v>
      </c>
      <c r="F108" s="160">
        <f t="shared" si="102"/>
        <v>-0.37393304370048575</v>
      </c>
      <c r="G108" s="160">
        <f t="shared" si="102"/>
        <v>-0.7686934615825034</v>
      </c>
      <c r="H108" s="160">
        <f t="shared" si="102"/>
        <v>-0.51300373036305369</v>
      </c>
      <c r="I108" s="160">
        <f t="shared" si="102"/>
        <v>-0.66663536482298813</v>
      </c>
      <c r="J108" s="160">
        <f t="shared" si="102"/>
        <v>-0.48336594911937369</v>
      </c>
      <c r="K108" s="160">
        <f t="shared" ref="K108:M108" si="103">K83/K95-1</f>
        <v>-0.25692503176620074</v>
      </c>
      <c r="L108" s="160">
        <f t="shared" si="103"/>
        <v>-0.55381294964028771</v>
      </c>
      <c r="M108" s="160">
        <f t="shared" si="103"/>
        <v>-0.14456443484521231</v>
      </c>
      <c r="N108" s="160">
        <f t="shared" ref="N108" si="104">N83/N95-1</f>
        <v>-0.74329315313121469</v>
      </c>
      <c r="O108" s="162">
        <f t="shared" ref="O108" si="105">O83/O95-1</f>
        <v>-0.42474106364572206</v>
      </c>
      <c r="S108" s="103" t="s">
        <v>19</v>
      </c>
      <c r="T108" s="160" t="e">
        <f t="shared" ref="T108:AD108" si="106">T83/T95-1</f>
        <v>#DIV/0!</v>
      </c>
      <c r="U108" s="160">
        <f t="shared" si="106"/>
        <v>-3.915782024062278</v>
      </c>
      <c r="V108" s="160">
        <f t="shared" si="106"/>
        <v>-1</v>
      </c>
      <c r="W108" s="160">
        <f t="shared" si="106"/>
        <v>-1</v>
      </c>
      <c r="X108" s="160">
        <f t="shared" si="106"/>
        <v>-0.77098362532921172</v>
      </c>
      <c r="Y108" s="160">
        <f t="shared" si="106"/>
        <v>-0.43081314909192958</v>
      </c>
      <c r="Z108" s="160">
        <f t="shared" si="106"/>
        <v>-0.43656681378533169</v>
      </c>
      <c r="AA108" s="160">
        <f t="shared" si="106"/>
        <v>1.5150395013408731</v>
      </c>
      <c r="AB108" s="160">
        <f t="shared" si="106"/>
        <v>-1</v>
      </c>
      <c r="AC108" s="160">
        <f t="shared" si="106"/>
        <v>-1</v>
      </c>
      <c r="AD108" s="160">
        <f t="shared" si="106"/>
        <v>-1</v>
      </c>
      <c r="AE108" s="160">
        <f t="shared" si="86"/>
        <v>-1</v>
      </c>
      <c r="AF108" s="162">
        <f t="shared" si="86"/>
        <v>-0.51554246516627189</v>
      </c>
    </row>
    <row r="109" spans="2:33">
      <c r="B109" s="103" t="s">
        <v>20</v>
      </c>
      <c r="C109" s="160"/>
      <c r="D109" s="160"/>
      <c r="E109" s="160"/>
      <c r="F109" s="160"/>
      <c r="G109" s="160"/>
      <c r="H109" s="160"/>
      <c r="I109" s="160"/>
      <c r="J109" s="160"/>
      <c r="K109" s="161"/>
      <c r="L109" s="161"/>
      <c r="M109" s="161"/>
      <c r="N109" s="161"/>
      <c r="O109" s="163">
        <f t="shared" ref="O109:O110" si="107">SUM(C109:N109)</f>
        <v>0</v>
      </c>
      <c r="S109" s="103" t="s">
        <v>20</v>
      </c>
      <c r="T109" s="160"/>
      <c r="U109" s="160"/>
      <c r="V109" s="160"/>
      <c r="W109" s="160"/>
      <c r="X109" s="160"/>
      <c r="Y109" s="160"/>
      <c r="Z109" s="160"/>
      <c r="AA109" s="160"/>
      <c r="AB109" s="161"/>
      <c r="AC109" s="161"/>
      <c r="AD109" s="161"/>
      <c r="AE109" s="161"/>
      <c r="AF109" s="163">
        <f t="shared" ref="AF109:AF110" si="108">SUM(T109:AE109)</f>
        <v>0</v>
      </c>
    </row>
    <row r="110" spans="2:33" ht="15.75" thickBot="1">
      <c r="B110" s="103" t="s">
        <v>18</v>
      </c>
      <c r="C110" s="160"/>
      <c r="D110" s="160"/>
      <c r="E110" s="160"/>
      <c r="F110" s="160"/>
      <c r="G110" s="160"/>
      <c r="H110" s="160"/>
      <c r="I110" s="160"/>
      <c r="J110" s="160"/>
      <c r="K110" s="161"/>
      <c r="L110" s="161"/>
      <c r="M110" s="161"/>
      <c r="N110" s="161"/>
      <c r="O110" s="163">
        <f t="shared" si="107"/>
        <v>0</v>
      </c>
      <c r="S110" s="103" t="s">
        <v>18</v>
      </c>
      <c r="T110" s="160"/>
      <c r="U110" s="160"/>
      <c r="V110" s="160"/>
      <c r="W110" s="160"/>
      <c r="X110" s="160"/>
      <c r="Y110" s="160"/>
      <c r="Z110" s="160"/>
      <c r="AA110" s="160"/>
      <c r="AB110" s="161"/>
      <c r="AC110" s="161"/>
      <c r="AD110" s="161"/>
      <c r="AE110" s="161"/>
      <c r="AF110" s="163">
        <f t="shared" si="108"/>
        <v>0</v>
      </c>
    </row>
    <row r="111" spans="2:33" ht="15.75" thickBot="1">
      <c r="B111" s="109" t="s">
        <v>92</v>
      </c>
      <c r="C111" s="164">
        <f t="shared" ref="C111:J111" si="109">C86/C98-1</f>
        <v>-0.26599026484548072</v>
      </c>
      <c r="D111" s="164">
        <f t="shared" si="109"/>
        <v>-0.21004325250210831</v>
      </c>
      <c r="E111" s="164">
        <f t="shared" si="109"/>
        <v>-0.13897755536170209</v>
      </c>
      <c r="F111" s="164">
        <f t="shared" si="109"/>
        <v>-2.4650996293877014E-2</v>
      </c>
      <c r="G111" s="164">
        <f t="shared" si="109"/>
        <v>-8.3594896302264243E-2</v>
      </c>
      <c r="H111" s="164">
        <f t="shared" si="109"/>
        <v>-5.7662120160541508E-2</v>
      </c>
      <c r="I111" s="164">
        <f t="shared" si="109"/>
        <v>6.6729151741981019E-2</v>
      </c>
      <c r="J111" s="164">
        <f t="shared" si="109"/>
        <v>-0.1148521023490009</v>
      </c>
      <c r="K111" s="165">
        <f t="shared" ref="K111" si="110">SUM(K103:K110)</f>
        <v>7.3580033314070592E-2</v>
      </c>
      <c r="L111" s="165">
        <f t="shared" ref="L111" si="111">SUM(L103:L110)</f>
        <v>-0.15555894943058024</v>
      </c>
      <c r="M111" s="165">
        <f t="shared" ref="M111:N111" si="112">SUM(M103:M110)</f>
        <v>-0.57637804367321899</v>
      </c>
      <c r="N111" s="165">
        <f t="shared" si="112"/>
        <v>9.2987666946387604E-2</v>
      </c>
      <c r="O111" s="166">
        <f t="shared" ref="O111" si="113">O86/O98-1</f>
        <v>-1.7715515803761961E-2</v>
      </c>
      <c r="S111" s="109" t="s">
        <v>92</v>
      </c>
      <c r="T111" s="164">
        <f t="shared" ref="T111:AA111" si="114">T86/T98-1</f>
        <v>-0.5049184543201487</v>
      </c>
      <c r="U111" s="164">
        <f t="shared" si="114"/>
        <v>-0.45563383096739163</v>
      </c>
      <c r="V111" s="164">
        <f t="shared" si="114"/>
        <v>4.1165101701599038E-2</v>
      </c>
      <c r="W111" s="164">
        <f t="shared" si="114"/>
        <v>0.26585163089312935</v>
      </c>
      <c r="X111" s="164">
        <f t="shared" si="114"/>
        <v>0.25315590226760709</v>
      </c>
      <c r="Y111" s="164">
        <f t="shared" si="114"/>
        <v>5.606930606785121E-2</v>
      </c>
      <c r="Z111" s="164">
        <f t="shared" si="114"/>
        <v>-0.32789684392336071</v>
      </c>
      <c r="AA111" s="164">
        <f t="shared" si="114"/>
        <v>-0.27772345675507193</v>
      </c>
      <c r="AB111" s="165">
        <f t="shared" ref="AB111" si="115">SUM(AB103:AB110)</f>
        <v>-1.0951879835780167</v>
      </c>
      <c r="AC111" s="165">
        <f t="shared" ref="AC111:AE111" si="116">SUM(AC103:AC110)</f>
        <v>-1.7209264571152323</v>
      </c>
      <c r="AD111" s="165">
        <f t="shared" si="116"/>
        <v>-2.0838618641845428</v>
      </c>
      <c r="AE111" s="165">
        <f t="shared" si="116"/>
        <v>-0.73197544446755147</v>
      </c>
      <c r="AF111" s="166">
        <f t="shared" ref="AF111" si="117">AF86/AF98-1</f>
        <v>-2.1686615762759542E-2</v>
      </c>
    </row>
    <row r="112" spans="2:33">
      <c r="B112" s="236"/>
      <c r="C112" s="288"/>
      <c r="D112" s="288"/>
      <c r="E112" s="288"/>
      <c r="F112" s="288"/>
      <c r="G112" s="288"/>
      <c r="H112" s="288"/>
      <c r="I112" s="288"/>
      <c r="J112" s="288"/>
      <c r="K112" s="289"/>
      <c r="L112" s="289"/>
      <c r="M112" s="289"/>
      <c r="N112" s="289"/>
      <c r="O112" s="288"/>
    </row>
    <row r="113" spans="1:33" ht="15.75" thickBot="1"/>
    <row r="114" spans="1:33" ht="15.75" thickBot="1">
      <c r="B114" s="97" t="s">
        <v>162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9"/>
      <c r="S114" s="97" t="s">
        <v>162</v>
      </c>
      <c r="T114" s="98" t="s">
        <v>153</v>
      </c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9"/>
    </row>
    <row r="115" spans="1:33" ht="15.75" thickBot="1">
      <c r="B115" s="100" t="s">
        <v>93</v>
      </c>
      <c r="C115" s="101" t="s">
        <v>80</v>
      </c>
      <c r="D115" s="101" t="s">
        <v>81</v>
      </c>
      <c r="E115" s="101" t="s">
        <v>82</v>
      </c>
      <c r="F115" s="101" t="s">
        <v>83</v>
      </c>
      <c r="G115" s="101" t="s">
        <v>84</v>
      </c>
      <c r="H115" s="101" t="s">
        <v>85</v>
      </c>
      <c r="I115" s="101" t="s">
        <v>86</v>
      </c>
      <c r="J115" s="101" t="s">
        <v>87</v>
      </c>
      <c r="K115" s="101" t="s">
        <v>88</v>
      </c>
      <c r="L115" s="101" t="s">
        <v>89</v>
      </c>
      <c r="M115" s="101" t="s">
        <v>90</v>
      </c>
      <c r="N115" s="101" t="s">
        <v>91</v>
      </c>
      <c r="O115" s="102" t="s">
        <v>92</v>
      </c>
      <c r="P115" s="374" t="s">
        <v>221</v>
      </c>
      <c r="S115" s="100" t="s">
        <v>93</v>
      </c>
      <c r="T115" s="101" t="s">
        <v>80</v>
      </c>
      <c r="U115" s="101" t="s">
        <v>81</v>
      </c>
      <c r="V115" s="101" t="s">
        <v>82</v>
      </c>
      <c r="W115" s="101" t="s">
        <v>83</v>
      </c>
      <c r="X115" s="101" t="s">
        <v>84</v>
      </c>
      <c r="Y115" s="101" t="s">
        <v>85</v>
      </c>
      <c r="Z115" s="101" t="s">
        <v>86</v>
      </c>
      <c r="AA115" s="101" t="s">
        <v>87</v>
      </c>
      <c r="AB115" s="101" t="s">
        <v>88</v>
      </c>
      <c r="AC115" s="101" t="s">
        <v>89</v>
      </c>
      <c r="AD115" s="101" t="s">
        <v>90</v>
      </c>
      <c r="AE115" s="101" t="s">
        <v>91</v>
      </c>
      <c r="AF115" s="102" t="s">
        <v>92</v>
      </c>
      <c r="AG115" s="374" t="s">
        <v>221</v>
      </c>
    </row>
    <row r="116" spans="1:33">
      <c r="B116" s="103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8"/>
      <c r="S116" s="103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8"/>
    </row>
    <row r="117" spans="1:33">
      <c r="A117" s="244">
        <f>C117+D117</f>
        <v>35.640497505999932</v>
      </c>
      <c r="B117" s="103" t="s">
        <v>109</v>
      </c>
      <c r="C117" s="156">
        <v>17.588610818999996</v>
      </c>
      <c r="D117" s="167">
        <v>18.051886686999932</v>
      </c>
      <c r="E117" s="156">
        <v>18.702698162000168</v>
      </c>
      <c r="F117" s="245">
        <v>13.557065435</v>
      </c>
      <c r="G117" s="156">
        <v>15.043333392999676</v>
      </c>
      <c r="H117" s="156">
        <v>13.791987671999976</v>
      </c>
      <c r="I117" s="156">
        <v>9.0451040490000985</v>
      </c>
      <c r="J117" s="156">
        <v>10.063686411000043</v>
      </c>
      <c r="K117" s="156">
        <v>13.005504639999847</v>
      </c>
      <c r="L117" s="156">
        <v>12.157227458000452</v>
      </c>
      <c r="M117" s="156">
        <v>13.809715752000194</v>
      </c>
      <c r="N117" s="156">
        <v>14.303706521000031</v>
      </c>
      <c r="O117" s="157">
        <f>SUM(C117:N117)</f>
        <v>169.12052699900042</v>
      </c>
      <c r="S117" s="103" t="s">
        <v>109</v>
      </c>
      <c r="T117" s="156">
        <v>15.434909167999997</v>
      </c>
      <c r="U117" s="107">
        <v>18.689576965999994</v>
      </c>
      <c r="V117" s="107">
        <v>12.243368477999997</v>
      </c>
      <c r="W117" s="107">
        <v>13.143826998000002</v>
      </c>
      <c r="X117" s="107">
        <v>15.716129468000002</v>
      </c>
      <c r="Y117" s="107">
        <v>11.040166456</v>
      </c>
      <c r="Z117" s="107">
        <v>6.4379455299999995</v>
      </c>
      <c r="AA117" s="156">
        <v>7.4182174140000017</v>
      </c>
      <c r="AB117" s="156">
        <v>10.233674355999998</v>
      </c>
      <c r="AC117" s="156">
        <v>11.587002201999999</v>
      </c>
      <c r="AD117" s="331">
        <v>14.507332634000001</v>
      </c>
      <c r="AE117" s="156">
        <v>14.163639762000003</v>
      </c>
      <c r="AF117" s="157">
        <f>SUM(T117:AE117)</f>
        <v>150.61578943199996</v>
      </c>
    </row>
    <row r="118" spans="1:33">
      <c r="A118" s="244">
        <f t="shared" ref="A118:A120" si="118">C118+D118</f>
        <v>2.4864143610000005</v>
      </c>
      <c r="B118" s="103" t="s">
        <v>234</v>
      </c>
      <c r="C118" s="156">
        <v>1.4334072770000006</v>
      </c>
      <c r="D118" s="167">
        <v>1.0530070840000001</v>
      </c>
      <c r="E118" s="156">
        <f>1.63+0.5659</f>
        <v>2.1959</v>
      </c>
      <c r="F118" s="156">
        <v>1.0445567729999996</v>
      </c>
      <c r="G118" s="156">
        <v>0.86183990799999965</v>
      </c>
      <c r="H118" s="245">
        <v>0.86672443200000004</v>
      </c>
      <c r="I118" s="156">
        <f>1.9551152+0.0274</f>
        <v>1.9825152000000001</v>
      </c>
      <c r="J118" s="156">
        <f>2.95542242700003-J119</f>
        <v>2.60252242700003</v>
      </c>
      <c r="K118" s="156">
        <f>2.90269283500003-K119+0.0233</f>
        <v>2.5370928350000299</v>
      </c>
      <c r="L118" s="156">
        <f>2.58417951399999-L119</f>
        <v>1.65027951399999</v>
      </c>
      <c r="M118" s="156">
        <f>0.858268762+0.014</f>
        <v>0.87226876200000003</v>
      </c>
      <c r="N118" s="156">
        <f>1.426996971-N119</f>
        <v>0.83279697099999994</v>
      </c>
      <c r="O118" s="157">
        <f t="shared" ref="O118:O132" si="119">SUM(C118:N118)</f>
        <v>17.932911183000051</v>
      </c>
      <c r="S118" s="103" t="s">
        <v>234</v>
      </c>
      <c r="T118" s="156">
        <v>1.1534748180000001</v>
      </c>
      <c r="U118" s="167">
        <v>0.64833291000000004</v>
      </c>
      <c r="V118" s="156">
        <v>1.1424629360000003</v>
      </c>
      <c r="W118" s="156">
        <v>1.8936264059999997</v>
      </c>
      <c r="X118" s="156">
        <v>0.83364927000000011</v>
      </c>
      <c r="Y118" s="156">
        <v>0.41276143800000004</v>
      </c>
      <c r="Z118" s="156">
        <v>1.32</v>
      </c>
      <c r="AA118" s="156">
        <v>3.57</v>
      </c>
      <c r="AB118" s="156">
        <v>2.5099999999999998</v>
      </c>
      <c r="AC118" s="156">
        <v>0.75</v>
      </c>
      <c r="AD118" s="331">
        <v>0.95037321299999988</v>
      </c>
      <c r="AE118" s="156">
        <v>0.25</v>
      </c>
      <c r="AF118" s="157">
        <f t="shared" ref="AF118:AF132" si="120">SUM(T118:AE118)</f>
        <v>15.434680991000002</v>
      </c>
    </row>
    <row r="119" spans="1:33">
      <c r="A119" s="244"/>
      <c r="B119" s="103" t="s">
        <v>233</v>
      </c>
      <c r="C119" s="156"/>
      <c r="D119" s="167">
        <v>0.11865226999999999</v>
      </c>
      <c r="E119" s="156">
        <v>0.19978284299999988</v>
      </c>
      <c r="F119" s="156">
        <v>0.54077627600000011</v>
      </c>
      <c r="G119" s="156">
        <v>0.53423735500000036</v>
      </c>
      <c r="H119" s="245">
        <v>0.45912991799999986</v>
      </c>
      <c r="I119" s="156">
        <v>0.51437161899999984</v>
      </c>
      <c r="J119" s="156">
        <v>0.35289999999999999</v>
      </c>
      <c r="K119" s="156">
        <f>0.3889</f>
        <v>0.38890000000000002</v>
      </c>
      <c r="L119" s="156">
        <v>0.93389999999999995</v>
      </c>
      <c r="M119" s="156">
        <v>0.73881894000000137</v>
      </c>
      <c r="N119" s="156">
        <v>0.59419999999999995</v>
      </c>
      <c r="O119" s="157">
        <f t="shared" si="119"/>
        <v>5.3756692210000017</v>
      </c>
      <c r="S119" s="103" t="s">
        <v>233</v>
      </c>
      <c r="T119" s="156">
        <v>0</v>
      </c>
      <c r="U119" s="167">
        <v>0.20012399999999997</v>
      </c>
      <c r="V119" s="156">
        <v>0.24202983</v>
      </c>
      <c r="W119" s="156">
        <v>0.60075871000000003</v>
      </c>
      <c r="X119" s="156">
        <v>1.4117217299999998</v>
      </c>
      <c r="Y119" s="156">
        <v>0.15907909000000001</v>
      </c>
      <c r="Z119" s="156">
        <v>0.42</v>
      </c>
      <c r="AA119" s="156">
        <v>0.29581760000000001</v>
      </c>
      <c r="AB119" s="156">
        <v>0.52</v>
      </c>
      <c r="AC119" s="156">
        <v>0.59</v>
      </c>
      <c r="AD119" s="331">
        <v>0.73198140099999998</v>
      </c>
      <c r="AE119" s="156">
        <v>2.25</v>
      </c>
      <c r="AF119" s="157">
        <f t="shared" si="120"/>
        <v>7.4215123609999996</v>
      </c>
    </row>
    <row r="120" spans="1:33">
      <c r="A120" s="244">
        <f t="shared" si="118"/>
        <v>8.5299516999999977E-2</v>
      </c>
      <c r="B120" s="103" t="s">
        <v>116</v>
      </c>
      <c r="C120" s="156">
        <v>4.8648427000000022E-2</v>
      </c>
      <c r="D120" s="167">
        <v>3.6651089999999956E-2</v>
      </c>
      <c r="E120" s="156">
        <v>5.1839648999999981E-2</v>
      </c>
      <c r="F120" s="156">
        <v>7.1066295000000043E-2</v>
      </c>
      <c r="G120" s="156">
        <v>8.7205131000000075E-2</v>
      </c>
      <c r="H120" s="156">
        <v>8.4838361999999848E-2</v>
      </c>
      <c r="I120" s="156">
        <v>8.6105648000000173E-2</v>
      </c>
      <c r="J120" s="156">
        <v>3.6201333000000023E-2</v>
      </c>
      <c r="K120" s="156">
        <v>4.4923844000000011E-2</v>
      </c>
      <c r="L120" s="156">
        <v>5.5197194000000005E-2</v>
      </c>
      <c r="M120" s="156">
        <v>6.8139615000000056E-2</v>
      </c>
      <c r="N120" s="156">
        <v>4.4399338000000003E-2</v>
      </c>
      <c r="O120" s="157">
        <f t="shared" si="119"/>
        <v>0.71521592600000028</v>
      </c>
      <c r="S120" s="103" t="s">
        <v>116</v>
      </c>
      <c r="T120" s="156">
        <v>3.1605288000000176E-2</v>
      </c>
      <c r="U120" s="167">
        <v>0</v>
      </c>
      <c r="V120" s="156">
        <v>1.7764656000000212E-2</v>
      </c>
      <c r="W120" s="156">
        <v>6.0469909000000488E-2</v>
      </c>
      <c r="X120" s="156">
        <v>0.11307633599999989</v>
      </c>
      <c r="Y120" s="156">
        <v>8.22763680000001E-2</v>
      </c>
      <c r="Z120" s="156">
        <v>0.1</v>
      </c>
      <c r="AA120" s="156">
        <v>0.04</v>
      </c>
      <c r="AB120" s="156">
        <v>2.7151488000000001E-2</v>
      </c>
      <c r="AC120" s="156">
        <v>0.09</v>
      </c>
      <c r="AD120" s="331">
        <v>2.9352959999999997E-2</v>
      </c>
      <c r="AE120" s="156">
        <v>0.04</v>
      </c>
      <c r="AF120" s="157">
        <f t="shared" si="120"/>
        <v>0.63169700500000092</v>
      </c>
    </row>
    <row r="121" spans="1:33">
      <c r="A121" s="244"/>
      <c r="B121" s="103" t="s">
        <v>111</v>
      </c>
      <c r="C121" s="156">
        <v>0.47640053200000004</v>
      </c>
      <c r="D121" s="167">
        <v>0.53070354600000191</v>
      </c>
      <c r="E121" s="156">
        <v>0.46561180300000243</v>
      </c>
      <c r="F121" s="156">
        <v>0.31821381100000001</v>
      </c>
      <c r="G121" s="156">
        <v>0.23754519300000068</v>
      </c>
      <c r="H121" s="156">
        <v>0.46251781200000092</v>
      </c>
      <c r="I121" s="156">
        <v>0.22312299099999983</v>
      </c>
      <c r="J121" s="156">
        <v>0.13962771200000007</v>
      </c>
      <c r="K121" s="156">
        <v>0.23953399800000055</v>
      </c>
      <c r="L121" s="156">
        <v>0.43284041000000173</v>
      </c>
      <c r="M121" s="156">
        <v>0.28885162600000081</v>
      </c>
      <c r="N121" s="156">
        <v>0.24653269400000055</v>
      </c>
      <c r="O121" s="157">
        <f t="shared" si="119"/>
        <v>4.0615021280000105</v>
      </c>
      <c r="S121" s="103" t="s">
        <v>111</v>
      </c>
      <c r="T121" s="156">
        <v>0.23856268800000005</v>
      </c>
      <c r="U121" s="167">
        <v>0.28583202000000008</v>
      </c>
      <c r="V121" s="156">
        <v>7.8134783999999999E-2</v>
      </c>
      <c r="W121" s="156">
        <v>0.42507219000000007</v>
      </c>
      <c r="X121" s="156">
        <v>0.28065921000000005</v>
      </c>
      <c r="Y121" s="156">
        <v>0.17522035799999999</v>
      </c>
      <c r="Z121" s="156">
        <v>0.327618144</v>
      </c>
      <c r="AA121" s="156">
        <v>7.6169856000000008E-2</v>
      </c>
      <c r="AB121" s="156">
        <v>2.3434079999999999E-2</v>
      </c>
      <c r="AC121" s="156">
        <v>0.34171050000000003</v>
      </c>
      <c r="AD121" s="331">
        <v>7.4918219999999994E-2</v>
      </c>
      <c r="AE121" s="156">
        <v>0.11260771200000001</v>
      </c>
      <c r="AF121" s="157">
        <f t="shared" si="120"/>
        <v>2.4399397619999998</v>
      </c>
    </row>
    <row r="122" spans="1:33">
      <c r="A122" s="244"/>
      <c r="B122" s="103" t="s">
        <v>113</v>
      </c>
      <c r="C122" s="156">
        <v>0.19701544599999998</v>
      </c>
      <c r="D122" s="167">
        <v>0.11655057400000039</v>
      </c>
      <c r="E122" s="156">
        <v>0.17678033699999979</v>
      </c>
      <c r="F122" s="156">
        <v>0.25057897899999998</v>
      </c>
      <c r="G122" s="156">
        <v>0.1749945309999994</v>
      </c>
      <c r="H122" s="156">
        <v>0.31845322300000034</v>
      </c>
      <c r="I122" s="156">
        <v>0.6664585209999998</v>
      </c>
      <c r="J122" s="156">
        <v>0.79442334299999795</v>
      </c>
      <c r="K122" s="156">
        <v>1.0145795119999963</v>
      </c>
      <c r="L122" s="156">
        <v>0.57412402600000023</v>
      </c>
      <c r="M122" s="156">
        <v>0.26742156999999855</v>
      </c>
      <c r="N122" s="156">
        <v>9.2073440000000048E-2</v>
      </c>
      <c r="O122" s="157">
        <f t="shared" si="119"/>
        <v>4.6434535019999936</v>
      </c>
      <c r="S122" s="103" t="s">
        <v>113</v>
      </c>
      <c r="T122" s="156">
        <v>0.25889335200000002</v>
      </c>
      <c r="U122" s="167">
        <v>0.19007697600000001</v>
      </c>
      <c r="V122" s="156">
        <v>3.5467199999999997E-2</v>
      </c>
      <c r="W122" s="156">
        <v>0.11090464799999999</v>
      </c>
      <c r="X122" s="156">
        <v>0.37565294399999999</v>
      </c>
      <c r="Y122" s="156">
        <v>1.1033291280000002</v>
      </c>
      <c r="Z122" s="156">
        <v>0.38327450400000002</v>
      </c>
      <c r="AA122" s="156">
        <v>0.544771008</v>
      </c>
      <c r="AB122" s="156">
        <v>0.46642838399999997</v>
      </c>
      <c r="AC122" s="156">
        <v>0.13415616</v>
      </c>
      <c r="AD122" s="331">
        <v>0.25219439999999999</v>
      </c>
      <c r="AE122" s="156">
        <v>0.12222849599999999</v>
      </c>
      <c r="AF122" s="157">
        <f t="shared" si="120"/>
        <v>3.9773771999999998</v>
      </c>
    </row>
    <row r="123" spans="1:33">
      <c r="A123" s="244"/>
      <c r="B123" s="103" t="s">
        <v>19</v>
      </c>
      <c r="C123" s="156"/>
      <c r="D123" s="167"/>
      <c r="E123" s="156"/>
      <c r="F123" s="156">
        <v>0</v>
      </c>
      <c r="G123" s="156"/>
      <c r="H123" s="156"/>
      <c r="I123" s="156"/>
      <c r="J123" s="156"/>
      <c r="K123" s="156"/>
      <c r="L123" s="156"/>
      <c r="M123" s="156"/>
      <c r="N123" s="156"/>
      <c r="O123" s="157">
        <f t="shared" si="119"/>
        <v>0</v>
      </c>
      <c r="S123" s="103" t="s">
        <v>19</v>
      </c>
      <c r="T123" s="156"/>
      <c r="U123" s="167"/>
      <c r="V123" s="156"/>
      <c r="W123" s="156"/>
      <c r="X123" s="156"/>
      <c r="Y123" s="156"/>
      <c r="Z123" s="156"/>
      <c r="AA123" s="156"/>
      <c r="AB123" s="156"/>
      <c r="AC123" s="156"/>
      <c r="AD123" s="331"/>
      <c r="AE123" s="156"/>
      <c r="AF123" s="157">
        <f t="shared" si="120"/>
        <v>0</v>
      </c>
    </row>
    <row r="124" spans="1:33">
      <c r="A124" s="244"/>
      <c r="B124" s="103" t="s">
        <v>154</v>
      </c>
      <c r="C124" s="156">
        <v>7.3892999999999992E-5</v>
      </c>
      <c r="D124" s="167"/>
      <c r="E124" s="156"/>
      <c r="F124" s="156">
        <v>7.4941E-5</v>
      </c>
      <c r="G124" s="156"/>
      <c r="H124" s="156"/>
      <c r="I124" s="156"/>
      <c r="J124" s="156"/>
      <c r="K124" s="156"/>
      <c r="L124" s="156"/>
      <c r="M124" s="156"/>
      <c r="N124" s="156"/>
      <c r="O124" s="157">
        <f t="shared" si="119"/>
        <v>1.4883399999999998E-4</v>
      </c>
      <c r="S124" s="103" t="s">
        <v>154</v>
      </c>
      <c r="T124" s="156"/>
      <c r="U124" s="167"/>
      <c r="V124" s="156"/>
      <c r="W124" s="156"/>
      <c r="X124" s="156"/>
      <c r="Y124" s="156"/>
      <c r="Z124" s="156"/>
      <c r="AA124" s="156"/>
      <c r="AB124" s="156"/>
      <c r="AC124" s="156"/>
      <c r="AD124" s="331"/>
      <c r="AE124" s="156"/>
      <c r="AF124" s="157">
        <f t="shared" si="120"/>
        <v>0</v>
      </c>
    </row>
    <row r="125" spans="1:33">
      <c r="A125" s="244"/>
      <c r="B125" s="103" t="s">
        <v>112</v>
      </c>
      <c r="C125" s="156">
        <v>0.28131733499999995</v>
      </c>
      <c r="D125" s="167">
        <v>8.5635327999999747E-2</v>
      </c>
      <c r="E125" s="156">
        <v>6.9550360999999894E-2</v>
      </c>
      <c r="F125" s="156">
        <v>0.10424427400000001</v>
      </c>
      <c r="G125" s="156">
        <v>7.452089799999996E-2</v>
      </c>
      <c r="H125" s="156">
        <v>0.10815555100000021</v>
      </c>
      <c r="I125" s="156">
        <f>0.072457768</f>
        <v>7.2457768000000006E-2</v>
      </c>
      <c r="J125" s="156">
        <f>0.0669518720000001+0.09</f>
        <v>0.1569518720000001</v>
      </c>
      <c r="K125" s="156">
        <v>9.2255743999999959E-2</v>
      </c>
      <c r="L125" s="156">
        <v>0.12118459099999973</v>
      </c>
      <c r="M125" s="156">
        <v>6.876002900000007E-2</v>
      </c>
      <c r="N125" s="156">
        <v>6.7503625000000012E-2</v>
      </c>
      <c r="O125" s="157">
        <f t="shared" si="119"/>
        <v>1.3025373759999999</v>
      </c>
      <c r="S125" s="103" t="s">
        <v>112</v>
      </c>
      <c r="T125" s="156">
        <v>0.15915651900000005</v>
      </c>
      <c r="U125" s="167">
        <v>3.6672156999999997E-2</v>
      </c>
      <c r="V125" s="156">
        <v>5.7503507999999995E-2</v>
      </c>
      <c r="W125" s="156">
        <v>5.3099778999999993E-2</v>
      </c>
      <c r="X125" s="156">
        <v>5.4847851000000003E-2</v>
      </c>
      <c r="Y125" s="156">
        <v>7.7741585999999974E-2</v>
      </c>
      <c r="Z125" s="156">
        <v>0.29500252099999996</v>
      </c>
      <c r="AA125" s="156">
        <v>0.12250351900000001</v>
      </c>
      <c r="AB125" s="156">
        <v>0.28703187000000002</v>
      </c>
      <c r="AC125" s="156">
        <v>0.18394406700000002</v>
      </c>
      <c r="AD125" s="331">
        <v>2.0682047000000002E-2</v>
      </c>
      <c r="AE125" s="156">
        <v>0.24614583500000004</v>
      </c>
      <c r="AF125" s="157">
        <f t="shared" si="120"/>
        <v>1.5943312590000001</v>
      </c>
    </row>
    <row r="126" spans="1:33">
      <c r="A126" s="244"/>
      <c r="B126" s="103" t="s">
        <v>18</v>
      </c>
      <c r="C126" s="156">
        <v>0.25173223700000003</v>
      </c>
      <c r="D126" s="167">
        <v>0.20579465500000038</v>
      </c>
      <c r="E126" s="156">
        <v>0.21018843700000028</v>
      </c>
      <c r="F126" s="156">
        <v>0.37675525999999998</v>
      </c>
      <c r="G126" s="156">
        <v>0.30101194100000023</v>
      </c>
      <c r="H126" s="156">
        <v>0.17628475500000015</v>
      </c>
      <c r="I126" s="156">
        <v>0.14167180500000034</v>
      </c>
      <c r="J126" s="156">
        <v>0.1661925480000003</v>
      </c>
      <c r="K126" s="156">
        <v>0.18769840400000043</v>
      </c>
      <c r="L126" s="156">
        <v>0.15448094100000032</v>
      </c>
      <c r="M126" s="156">
        <v>0.12880462900000011</v>
      </c>
      <c r="N126" s="156">
        <v>0.18019817600000046</v>
      </c>
      <c r="O126" s="157">
        <f t="shared" si="119"/>
        <v>2.480813788000003</v>
      </c>
      <c r="S126" s="103" t="s">
        <v>18</v>
      </c>
      <c r="T126" s="156">
        <v>0.26269385099999992</v>
      </c>
      <c r="U126" s="167">
        <v>0.18659390100000001</v>
      </c>
      <c r="V126" s="156">
        <v>0.13145011000000001</v>
      </c>
      <c r="W126" s="156">
        <v>0.31249617500000004</v>
      </c>
      <c r="X126" s="156">
        <v>0.18293594899999999</v>
      </c>
      <c r="Y126" s="156">
        <v>0.137757505</v>
      </c>
      <c r="Z126" s="156">
        <v>0.10484381600000001</v>
      </c>
      <c r="AA126" s="156">
        <v>7.1151781999999997E-2</v>
      </c>
      <c r="AB126" s="156">
        <v>0.165315452</v>
      </c>
      <c r="AC126" s="156">
        <v>3.1329631999999996E-2</v>
      </c>
      <c r="AD126" s="331">
        <v>0.16338158799999999</v>
      </c>
      <c r="AE126" s="156">
        <v>0.10575981199999998</v>
      </c>
      <c r="AF126" s="157">
        <f t="shared" si="120"/>
        <v>1.8557095730000002</v>
      </c>
    </row>
    <row r="127" spans="1:33">
      <c r="A127" s="244"/>
      <c r="B127" s="103" t="s">
        <v>163</v>
      </c>
      <c r="C127" s="156"/>
      <c r="D127" s="167"/>
      <c r="E127" s="156"/>
      <c r="F127" s="156">
        <v>0</v>
      </c>
      <c r="G127" s="156"/>
      <c r="H127" s="156"/>
      <c r="I127" s="156"/>
      <c r="J127" s="156"/>
      <c r="K127" s="156"/>
      <c r="L127" s="156"/>
      <c r="M127" s="156"/>
      <c r="N127" s="156"/>
      <c r="O127" s="157">
        <f t="shared" si="119"/>
        <v>0</v>
      </c>
      <c r="S127" s="103" t="s">
        <v>163</v>
      </c>
      <c r="T127" s="156"/>
      <c r="U127" s="167"/>
      <c r="V127" s="156"/>
      <c r="W127" s="156"/>
      <c r="X127" s="156"/>
      <c r="Y127" s="156"/>
      <c r="Z127" s="156"/>
      <c r="AA127" s="156"/>
      <c r="AB127" s="156"/>
      <c r="AC127" s="156"/>
      <c r="AD127" s="331"/>
      <c r="AE127" s="156"/>
      <c r="AF127" s="157">
        <f t="shared" si="120"/>
        <v>0</v>
      </c>
    </row>
    <row r="128" spans="1:33">
      <c r="A128" s="244"/>
      <c r="B128" s="103" t="s">
        <v>164</v>
      </c>
      <c r="C128" s="156"/>
      <c r="D128" s="167"/>
      <c r="E128" s="156"/>
      <c r="F128" s="156">
        <v>0</v>
      </c>
      <c r="G128" s="156"/>
      <c r="H128" s="156"/>
      <c r="I128" s="156"/>
      <c r="J128" s="156"/>
      <c r="K128" s="156"/>
      <c r="L128" s="156"/>
      <c r="M128" s="156"/>
      <c r="N128" s="156"/>
      <c r="O128" s="157">
        <f t="shared" si="119"/>
        <v>0</v>
      </c>
      <c r="S128" s="103" t="s">
        <v>164</v>
      </c>
      <c r="T128" s="156"/>
      <c r="U128" s="167"/>
      <c r="V128" s="156"/>
      <c r="W128" s="156"/>
      <c r="X128" s="156"/>
      <c r="Y128" s="156"/>
      <c r="Z128" s="156"/>
      <c r="AA128" s="156"/>
      <c r="AB128" s="156"/>
      <c r="AC128" s="156"/>
      <c r="AD128" s="331"/>
      <c r="AE128" s="156"/>
      <c r="AF128" s="157">
        <f t="shared" si="120"/>
        <v>0</v>
      </c>
    </row>
    <row r="129" spans="1:32">
      <c r="A129" s="244">
        <f t="shared" ref="A129:A131" si="121">C129+D129</f>
        <v>0</v>
      </c>
      <c r="B129" s="103" t="s">
        <v>165</v>
      </c>
      <c r="C129" s="156"/>
      <c r="D129" s="167"/>
      <c r="E129" s="156"/>
      <c r="F129" s="156">
        <v>0</v>
      </c>
      <c r="G129" s="156"/>
      <c r="H129" s="156"/>
      <c r="I129" s="156"/>
      <c r="J129" s="156"/>
      <c r="K129" s="156"/>
      <c r="L129" s="156"/>
      <c r="M129" s="156"/>
      <c r="N129" s="156"/>
      <c r="O129" s="157">
        <f t="shared" si="119"/>
        <v>0</v>
      </c>
      <c r="S129" s="103" t="s">
        <v>165</v>
      </c>
      <c r="T129" s="156"/>
      <c r="U129" s="167"/>
      <c r="V129" s="156"/>
      <c r="W129" s="156"/>
      <c r="X129" s="156"/>
      <c r="Y129" s="156"/>
      <c r="Z129" s="156"/>
      <c r="AA129" s="156"/>
      <c r="AB129" s="156"/>
      <c r="AC129" s="156"/>
      <c r="AD129" s="331"/>
      <c r="AE129" s="156"/>
      <c r="AF129" s="157">
        <f t="shared" si="120"/>
        <v>0</v>
      </c>
    </row>
    <row r="130" spans="1:32">
      <c r="A130" s="244">
        <f t="shared" si="121"/>
        <v>0</v>
      </c>
      <c r="B130" s="103" t="s">
        <v>166</v>
      </c>
      <c r="C130" s="156"/>
      <c r="D130" s="167"/>
      <c r="E130" s="156"/>
      <c r="F130" s="156">
        <v>0</v>
      </c>
      <c r="G130" s="156"/>
      <c r="H130" s="156"/>
      <c r="I130" s="156"/>
      <c r="J130" s="156"/>
      <c r="K130" s="156"/>
      <c r="L130" s="156"/>
      <c r="M130" s="156"/>
      <c r="N130" s="156"/>
      <c r="O130" s="157">
        <f t="shared" si="119"/>
        <v>0</v>
      </c>
      <c r="S130" s="103" t="s">
        <v>166</v>
      </c>
      <c r="T130" s="156"/>
      <c r="U130" s="167"/>
      <c r="V130" s="156"/>
      <c r="W130" s="156"/>
      <c r="X130" s="156"/>
      <c r="Y130" s="156"/>
      <c r="Z130" s="156"/>
      <c r="AA130" s="156"/>
      <c r="AB130" s="156"/>
      <c r="AC130" s="156"/>
      <c r="AD130" s="331"/>
      <c r="AE130" s="156"/>
      <c r="AF130" s="157">
        <f t="shared" si="120"/>
        <v>0</v>
      </c>
    </row>
    <row r="131" spans="1:32">
      <c r="A131" s="244">
        <f t="shared" si="121"/>
        <v>7.0436659999999988E-3</v>
      </c>
      <c r="B131" s="103" t="s">
        <v>167</v>
      </c>
      <c r="C131" s="156">
        <v>5.5343089999999985E-3</v>
      </c>
      <c r="D131" s="167">
        <v>1.509357E-3</v>
      </c>
      <c r="E131" s="156"/>
      <c r="F131" s="156">
        <v>0</v>
      </c>
      <c r="G131" s="156">
        <v>4.024952E-3</v>
      </c>
      <c r="H131" s="156">
        <v>4.993486000000001E-3</v>
      </c>
      <c r="I131" s="156">
        <v>7.7152160000000048E-3</v>
      </c>
      <c r="J131" s="156">
        <v>6.6379930000000009E-3</v>
      </c>
      <c r="K131" s="156">
        <v>2.4048179999999995E-3</v>
      </c>
      <c r="L131" s="156">
        <v>1.7560723999999996E-2</v>
      </c>
      <c r="M131" s="156">
        <v>2.3268015999999996E-2</v>
      </c>
      <c r="N131" s="156">
        <v>3.2405979999999999E-3</v>
      </c>
      <c r="O131" s="157">
        <f t="shared" si="119"/>
        <v>7.6889469000000002E-2</v>
      </c>
      <c r="S131" s="103" t="s">
        <v>167</v>
      </c>
      <c r="T131" s="156">
        <v>1.83004E-3</v>
      </c>
      <c r="U131" s="167"/>
      <c r="V131" s="156"/>
      <c r="W131" s="156"/>
      <c r="X131" s="156">
        <v>9.566719999999999E-3</v>
      </c>
      <c r="Y131" s="156"/>
      <c r="Z131" s="156">
        <v>2.0387328999999999E-2</v>
      </c>
      <c r="AA131" s="156">
        <v>1.5221067E-2</v>
      </c>
      <c r="AB131" s="156">
        <v>2.1068373000000001E-2</v>
      </c>
      <c r="AC131" s="156">
        <v>1.8259967999999998E-2</v>
      </c>
      <c r="AD131" s="331">
        <v>5.8964480000000003E-3</v>
      </c>
      <c r="AE131" s="156"/>
      <c r="AF131" s="157">
        <f t="shared" si="120"/>
        <v>9.2229944999999994E-2</v>
      </c>
    </row>
    <row r="132" spans="1:32" ht="15.75" thickBot="1">
      <c r="A132" s="244"/>
      <c r="B132" s="103" t="s">
        <v>159</v>
      </c>
      <c r="C132" s="156">
        <v>1.83004E-3</v>
      </c>
      <c r="D132" s="167">
        <v>2.1159999999999998E-3</v>
      </c>
      <c r="E132" s="156">
        <v>1.6083159999999999E-2</v>
      </c>
      <c r="F132" s="156">
        <v>1.0230919999999999E-2</v>
      </c>
      <c r="G132" s="156">
        <v>0</v>
      </c>
      <c r="H132" s="156">
        <v>3.8698000000000001E-3</v>
      </c>
      <c r="I132" s="156">
        <v>8.3201000000000004E-3</v>
      </c>
      <c r="J132" s="156">
        <v>5.9713799999999992E-3</v>
      </c>
      <c r="K132" s="156">
        <v>2.0524679999999997E-2</v>
      </c>
      <c r="L132" s="279">
        <v>1.881466E-2</v>
      </c>
      <c r="M132" s="331">
        <v>1.9667560000000001E-2</v>
      </c>
      <c r="N132" s="156">
        <v>2.2069120000000005E-2</v>
      </c>
      <c r="O132" s="390">
        <f t="shared" si="119"/>
        <v>0.12949742</v>
      </c>
      <c r="S132" s="103" t="s">
        <v>159</v>
      </c>
      <c r="T132" s="156">
        <v>1.83004E-3</v>
      </c>
      <c r="U132" s="167">
        <v>2.1159999999999998E-3</v>
      </c>
      <c r="V132" s="156">
        <v>1.6083159999999999E-2</v>
      </c>
      <c r="W132" s="156">
        <v>1.0230919999999999E-2</v>
      </c>
      <c r="X132" s="156">
        <v>0</v>
      </c>
      <c r="Y132" s="156">
        <v>3.8698000000000001E-3</v>
      </c>
      <c r="Z132" s="156">
        <v>8.3201000000000004E-3</v>
      </c>
      <c r="AA132" s="156">
        <v>5.9713799999999992E-3</v>
      </c>
      <c r="AB132" s="156">
        <v>2.0524679999999997E-2</v>
      </c>
      <c r="AC132" s="156">
        <v>1.881466E-2</v>
      </c>
      <c r="AD132" s="331">
        <v>1.9667560000000001E-2</v>
      </c>
      <c r="AE132" s="156">
        <v>2.2069120000000005E-2</v>
      </c>
      <c r="AF132" s="390">
        <f t="shared" si="120"/>
        <v>0.12949742</v>
      </c>
    </row>
    <row r="133" spans="1:32" ht="15.75" thickBot="1">
      <c r="B133" s="109" t="s">
        <v>92</v>
      </c>
      <c r="C133" s="158">
        <f t="shared" ref="C133:O133" si="122">SUM(C116:C132)</f>
        <v>20.284570314999996</v>
      </c>
      <c r="D133" s="158">
        <f t="shared" si="122"/>
        <v>20.202506590999935</v>
      </c>
      <c r="E133" s="158">
        <f t="shared" si="122"/>
        <v>22.088434752000175</v>
      </c>
      <c r="F133" s="158">
        <f t="shared" si="122"/>
        <v>16.273562964</v>
      </c>
      <c r="G133" s="158">
        <f t="shared" si="122"/>
        <v>17.318713301999676</v>
      </c>
      <c r="H133" s="345">
        <f t="shared" si="122"/>
        <v>16.276955010999981</v>
      </c>
      <c r="I133" s="158">
        <f t="shared" si="122"/>
        <v>12.747842917000098</v>
      </c>
      <c r="J133" s="158">
        <f t="shared" si="122"/>
        <v>14.325115019000071</v>
      </c>
      <c r="K133" s="158">
        <f t="shared" si="122"/>
        <v>17.53341847499987</v>
      </c>
      <c r="L133" s="158">
        <f t="shared" si="122"/>
        <v>16.115609518000444</v>
      </c>
      <c r="M133" s="158">
        <f t="shared" ref="M133" si="123">SUM(M116:M132)</f>
        <v>16.285716499000195</v>
      </c>
      <c r="N133" s="158">
        <f t="shared" si="122"/>
        <v>16.386720483000037</v>
      </c>
      <c r="O133" s="159">
        <f t="shared" si="122"/>
        <v>205.8391658460005</v>
      </c>
      <c r="S133" s="109" t="s">
        <v>92</v>
      </c>
      <c r="T133" s="158">
        <f t="shared" ref="T133:AF133" si="124">SUM(T116:T132)</f>
        <v>17.542955764000006</v>
      </c>
      <c r="U133" s="158">
        <f t="shared" si="124"/>
        <v>20.239324929999995</v>
      </c>
      <c r="V133" s="158">
        <f t="shared" si="124"/>
        <v>13.964264661999998</v>
      </c>
      <c r="W133" s="158">
        <f t="shared" si="124"/>
        <v>16.610485735000001</v>
      </c>
      <c r="X133" s="158">
        <f t="shared" si="124"/>
        <v>18.978239477999999</v>
      </c>
      <c r="Y133" s="158">
        <f t="shared" si="124"/>
        <v>13.192201729000002</v>
      </c>
      <c r="Z133" s="158">
        <f t="shared" si="124"/>
        <v>9.417391944000002</v>
      </c>
      <c r="AA133" s="158">
        <f t="shared" si="124"/>
        <v>12.159823626</v>
      </c>
      <c r="AB133" s="158">
        <f t="shared" si="124"/>
        <v>14.274628682999996</v>
      </c>
      <c r="AC133" s="158">
        <f t="shared" si="124"/>
        <v>13.745217189</v>
      </c>
      <c r="AD133" s="158">
        <f t="shared" si="124"/>
        <v>16.755780471000005</v>
      </c>
      <c r="AE133" s="158">
        <f t="shared" si="124"/>
        <v>17.312450737000002</v>
      </c>
      <c r="AF133" s="159">
        <f t="shared" si="124"/>
        <v>184.19276494799999</v>
      </c>
    </row>
    <row r="134" spans="1:32">
      <c r="F134" s="331"/>
    </row>
    <row r="137" spans="1:32" ht="15.75" thickBot="1"/>
    <row r="138" spans="1:32" ht="15.75" thickBot="1">
      <c r="B138" s="97" t="s">
        <v>115</v>
      </c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9"/>
      <c r="S138" s="97" t="s">
        <v>115</v>
      </c>
      <c r="T138" s="98" t="s">
        <v>153</v>
      </c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9"/>
    </row>
    <row r="139" spans="1:32" ht="15.75" thickBot="1">
      <c r="B139" s="100" t="s">
        <v>93</v>
      </c>
      <c r="C139" s="101" t="s">
        <v>80</v>
      </c>
      <c r="D139" s="101" t="s">
        <v>81</v>
      </c>
      <c r="E139" s="101" t="s">
        <v>82</v>
      </c>
      <c r="F139" s="101" t="s">
        <v>83</v>
      </c>
      <c r="G139" s="101" t="s">
        <v>84</v>
      </c>
      <c r="H139" s="101" t="s">
        <v>85</v>
      </c>
      <c r="I139" s="101" t="s">
        <v>86</v>
      </c>
      <c r="J139" s="101" t="s">
        <v>87</v>
      </c>
      <c r="K139" s="101" t="s">
        <v>88</v>
      </c>
      <c r="L139" s="101" t="s">
        <v>89</v>
      </c>
      <c r="M139" s="101" t="s">
        <v>90</v>
      </c>
      <c r="N139" s="101" t="s">
        <v>91</v>
      </c>
      <c r="O139" s="102" t="s">
        <v>92</v>
      </c>
      <c r="S139" s="100" t="s">
        <v>93</v>
      </c>
      <c r="T139" s="101" t="s">
        <v>80</v>
      </c>
      <c r="U139" s="101" t="s">
        <v>81</v>
      </c>
      <c r="V139" s="101" t="s">
        <v>82</v>
      </c>
      <c r="W139" s="101" t="s">
        <v>83</v>
      </c>
      <c r="X139" s="101" t="s">
        <v>84</v>
      </c>
      <c r="Y139" s="101" t="s">
        <v>85</v>
      </c>
      <c r="Z139" s="101" t="s">
        <v>86</v>
      </c>
      <c r="AA139" s="101" t="s">
        <v>87</v>
      </c>
      <c r="AB139" s="101" t="s">
        <v>88</v>
      </c>
      <c r="AC139" s="101" t="s">
        <v>89</v>
      </c>
      <c r="AD139" s="101" t="s">
        <v>90</v>
      </c>
      <c r="AE139" s="101" t="s">
        <v>91</v>
      </c>
      <c r="AF139" s="102" t="s">
        <v>92</v>
      </c>
    </row>
    <row r="140" spans="1:32">
      <c r="B140" s="103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8"/>
      <c r="S140" s="103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8"/>
    </row>
    <row r="141" spans="1:32">
      <c r="A141" s="244">
        <f>C141+D141</f>
        <v>25.446632270879117</v>
      </c>
      <c r="B141" s="103" t="s">
        <v>15</v>
      </c>
      <c r="C141" s="156">
        <v>12.430893146725422</v>
      </c>
      <c r="D141" s="167">
        <v>13.015739124153695</v>
      </c>
      <c r="E141" s="156">
        <v>14.100835053733038</v>
      </c>
      <c r="F141" s="245">
        <v>12.948946041010062</v>
      </c>
      <c r="G141" s="156">
        <v>13.412039704315475</v>
      </c>
      <c r="H141" s="156">
        <v>12.9881847142806</v>
      </c>
      <c r="I141" s="156">
        <v>13.36159647964131</v>
      </c>
      <c r="J141" s="156">
        <v>11.7541154714692</v>
      </c>
      <c r="K141" s="156">
        <v>9.9217779489998108</v>
      </c>
      <c r="L141" s="156">
        <v>11.772913506999769</v>
      </c>
      <c r="M141" s="156">
        <v>12.549150080999787</v>
      </c>
      <c r="N141" s="156">
        <v>14.368883894999801</v>
      </c>
      <c r="O141" s="157">
        <f>SUM(C141:N141)</f>
        <v>152.62507516732799</v>
      </c>
      <c r="S141" s="103" t="s">
        <v>15</v>
      </c>
      <c r="T141" s="107">
        <v>11.623588720000001</v>
      </c>
      <c r="U141" s="107">
        <v>11.805437664000003</v>
      </c>
      <c r="V141" s="107">
        <v>13.614998278</v>
      </c>
      <c r="W141" s="107">
        <v>12.556840139999998</v>
      </c>
      <c r="X141" s="107">
        <v>9.8120335080000007</v>
      </c>
      <c r="Y141" s="107">
        <v>9.5044621940000003</v>
      </c>
      <c r="Z141" s="107">
        <v>12.683148251999999</v>
      </c>
      <c r="AA141" s="156">
        <v>10.604320967999998</v>
      </c>
      <c r="AB141" s="156">
        <v>10.661099197999995</v>
      </c>
      <c r="AC141" s="156">
        <v>7.6215101080000007</v>
      </c>
      <c r="AD141" s="156">
        <v>11.807993642</v>
      </c>
      <c r="AE141" s="156">
        <v>14.133550179999999</v>
      </c>
      <c r="AF141" s="157">
        <f>SUM(T141:AE141)</f>
        <v>136.42898285199999</v>
      </c>
    </row>
    <row r="142" spans="1:32">
      <c r="A142" s="244">
        <f t="shared" ref="A142:A149" si="125">C142+D142</f>
        <v>2.6706300385553821</v>
      </c>
      <c r="B142" s="103" t="s">
        <v>77</v>
      </c>
      <c r="C142" s="156">
        <v>1.5288333805701932</v>
      </c>
      <c r="D142" s="167">
        <v>1.1417966579851886</v>
      </c>
      <c r="E142" s="156">
        <v>1.41803205381216</v>
      </c>
      <c r="F142" s="156">
        <v>1.3700787580955638</v>
      </c>
      <c r="G142" s="156">
        <v>1.3933088773388045</v>
      </c>
      <c r="H142" s="156">
        <f>1.59528576097791+3.81/100</f>
        <v>1.6333857609779101</v>
      </c>
      <c r="I142" s="156">
        <v>2.3964823353631135</v>
      </c>
      <c r="J142" s="156">
        <v>3.2718730983849</v>
      </c>
      <c r="K142" s="156">
        <f>2.852649348+0.1799</f>
        <v>3.0325493479999999</v>
      </c>
      <c r="L142" s="156">
        <v>2.5463770670000097</v>
      </c>
      <c r="M142" s="156">
        <f>1.106365167+0.0281</f>
        <v>1.1344651670000001</v>
      </c>
      <c r="N142" s="156">
        <v>1.181446633</v>
      </c>
      <c r="O142" s="157">
        <f t="shared" ref="O142:O150" si="126">SUM(C142:N142)</f>
        <v>22.048629137527847</v>
      </c>
      <c r="S142" s="103" t="s">
        <v>77</v>
      </c>
      <c r="T142" s="156">
        <v>0.92968679399999998</v>
      </c>
      <c r="U142" s="167">
        <v>1.7589313979999999</v>
      </c>
      <c r="V142" s="156">
        <v>1.5135204180000001</v>
      </c>
      <c r="W142" s="156">
        <v>0.83731730999999998</v>
      </c>
      <c r="X142" s="156">
        <v>1.258409052</v>
      </c>
      <c r="Y142" s="156">
        <v>1.4014044780000003</v>
      </c>
      <c r="Z142" s="156">
        <v>1.7461958399999999</v>
      </c>
      <c r="AA142" s="156">
        <v>5.6946501779999998</v>
      </c>
      <c r="AB142" s="156">
        <v>2.172213996</v>
      </c>
      <c r="AC142" s="156">
        <f>1.10340444-AC143</f>
        <v>0.95340444000000002</v>
      </c>
      <c r="AD142" s="156">
        <v>0.53786004000000009</v>
      </c>
      <c r="AE142" s="156">
        <v>0.38397062999999998</v>
      </c>
      <c r="AF142" s="157">
        <f t="shared" ref="AF142:AF149" si="127">SUM(T142:AE142)</f>
        <v>19.187564574000003</v>
      </c>
    </row>
    <row r="143" spans="1:32">
      <c r="A143" s="244">
        <f t="shared" si="125"/>
        <v>8.6004117532779339E-2</v>
      </c>
      <c r="B143" s="103" t="s">
        <v>16</v>
      </c>
      <c r="C143" s="156">
        <v>5.6004117532779334E-2</v>
      </c>
      <c r="D143" s="167">
        <v>0.03</v>
      </c>
      <c r="E143" s="156">
        <v>4.2592332580490298E-2</v>
      </c>
      <c r="F143" s="156">
        <v>8.1338722776905487E-2</v>
      </c>
      <c r="G143" s="156">
        <v>4.3810588664547345E-2</v>
      </c>
      <c r="H143" s="156">
        <v>5.07853436716732E-2</v>
      </c>
      <c r="I143" s="156">
        <v>4.3271177517578099E-2</v>
      </c>
      <c r="J143" s="156">
        <v>2.9715454960726799E-2</v>
      </c>
      <c r="K143" s="156">
        <v>4.9873720000000003E-2</v>
      </c>
      <c r="L143" s="156">
        <v>5.2035355999999949E-2</v>
      </c>
      <c r="M143" s="156">
        <v>2.7564595000000042E-2</v>
      </c>
      <c r="N143" s="156">
        <v>2.3988312000000001E-2</v>
      </c>
      <c r="O143" s="157">
        <f t="shared" si="126"/>
        <v>0.53097972070470056</v>
      </c>
      <c r="S143" s="103" t="s">
        <v>16</v>
      </c>
      <c r="T143" s="156">
        <v>0</v>
      </c>
      <c r="U143" s="167">
        <v>0</v>
      </c>
      <c r="V143" s="156">
        <v>0.13856328000000001</v>
      </c>
      <c r="W143" s="156">
        <v>3.9916967999999997E-2</v>
      </c>
      <c r="X143" s="156">
        <v>4.6562399999999999E-3</v>
      </c>
      <c r="Y143" s="156">
        <v>0</v>
      </c>
      <c r="Z143" s="156">
        <v>0</v>
      </c>
      <c r="AA143" s="156">
        <v>0.12420215999999999</v>
      </c>
      <c r="AB143" s="156"/>
      <c r="AC143" s="156">
        <v>0.15</v>
      </c>
      <c r="AD143" s="156"/>
      <c r="AE143" s="156"/>
      <c r="AF143" s="157">
        <f t="shared" si="127"/>
        <v>0.45733864800000001</v>
      </c>
    </row>
    <row r="144" spans="1:32">
      <c r="A144" s="244"/>
      <c r="B144" s="103" t="s">
        <v>17</v>
      </c>
      <c r="C144" s="156">
        <v>0.84260000000000002</v>
      </c>
      <c r="D144" s="167">
        <v>0.78212887424172173</v>
      </c>
      <c r="E144" s="156">
        <v>0.59007453544319499</v>
      </c>
      <c r="F144" s="156">
        <v>0.67072193823013693</v>
      </c>
      <c r="G144" s="156">
        <v>0.36872839923931705</v>
      </c>
      <c r="H144" s="156">
        <v>0.484256247901165</v>
      </c>
      <c r="I144" s="156">
        <v>0.33757112735359218</v>
      </c>
      <c r="J144" s="156">
        <v>0.30251137595979299</v>
      </c>
      <c r="K144" s="156">
        <v>0.45930193600000202</v>
      </c>
      <c r="L144" s="156">
        <v>0.49608999500000106</v>
      </c>
      <c r="M144" s="156">
        <v>0.47553978699999966</v>
      </c>
      <c r="N144" s="156">
        <v>0.39855144600000197</v>
      </c>
      <c r="O144" s="157">
        <f t="shared" si="126"/>
        <v>6.2080756623689259</v>
      </c>
      <c r="S144" s="103" t="s">
        <v>17</v>
      </c>
      <c r="T144" s="156">
        <v>1.2568043580000001</v>
      </c>
      <c r="U144" s="167">
        <v>0.95929352999999984</v>
      </c>
      <c r="V144" s="156">
        <v>0.47303216999999997</v>
      </c>
      <c r="W144" s="156">
        <v>0.36381919800000001</v>
      </c>
      <c r="X144" s="156">
        <v>6.0681599999999995E-3</v>
      </c>
      <c r="Y144" s="156">
        <v>0.40491091200000007</v>
      </c>
      <c r="Z144" s="156">
        <v>0.39705784199999999</v>
      </c>
      <c r="AA144" s="156">
        <v>0.68617426200000009</v>
      </c>
      <c r="AB144" s="156">
        <v>0.44976055800000009</v>
      </c>
      <c r="AC144" s="156">
        <v>0.33281921400000003</v>
      </c>
      <c r="AD144" s="156">
        <v>0.69994231200000001</v>
      </c>
      <c r="AE144" s="156">
        <v>0.56743867800000003</v>
      </c>
      <c r="AF144" s="157">
        <f t="shared" si="127"/>
        <v>6.5971211940000005</v>
      </c>
    </row>
    <row r="145" spans="1:32">
      <c r="A145" s="244"/>
      <c r="B145" s="103" t="s">
        <v>145</v>
      </c>
      <c r="C145" s="156"/>
      <c r="D145" s="167"/>
      <c r="E145" s="156"/>
      <c r="F145" s="156"/>
      <c r="G145" s="156"/>
      <c r="H145" s="156"/>
      <c r="I145" s="156">
        <v>0.14313679150519243</v>
      </c>
      <c r="J145" s="156">
        <v>0.114719421381003</v>
      </c>
      <c r="K145" s="156">
        <v>0.66208572499999896</v>
      </c>
      <c r="L145" s="156">
        <v>0.32851493199999876</v>
      </c>
      <c r="M145" s="156">
        <v>0.43358067400000105</v>
      </c>
      <c r="N145" s="156">
        <v>0.13940019400000001</v>
      </c>
      <c r="O145" s="157">
        <f t="shared" si="126"/>
        <v>1.8214377378861941</v>
      </c>
      <c r="S145" s="103" t="s">
        <v>145</v>
      </c>
      <c r="T145" s="156">
        <v>0</v>
      </c>
      <c r="U145" s="167">
        <v>0</v>
      </c>
      <c r="V145" s="156">
        <v>0</v>
      </c>
      <c r="W145" s="156">
        <v>0</v>
      </c>
      <c r="X145" s="156">
        <v>0</v>
      </c>
      <c r="Y145" s="156">
        <v>1.4364216000000001E-2</v>
      </c>
      <c r="Z145" s="156">
        <v>0.59265270199999998</v>
      </c>
      <c r="AA145" s="156">
        <v>0.44668555199999999</v>
      </c>
      <c r="AB145" s="156">
        <v>0.48614608800000003</v>
      </c>
      <c r="AC145" s="156">
        <v>0.32220734399999995</v>
      </c>
      <c r="AD145" s="156">
        <v>0.48499538399999997</v>
      </c>
      <c r="AE145" s="156">
        <v>0.33610456800000005</v>
      </c>
      <c r="AF145" s="157">
        <f>SUM(T145:AE145)</f>
        <v>2.6831558540000002</v>
      </c>
    </row>
    <row r="146" spans="1:32">
      <c r="A146" s="244"/>
      <c r="B146" s="103" t="s">
        <v>152</v>
      </c>
      <c r="C146" s="156"/>
      <c r="D146" s="167"/>
      <c r="E146" s="156"/>
      <c r="F146" s="156"/>
      <c r="G146" s="156"/>
      <c r="H146" s="156"/>
      <c r="I146" s="156"/>
      <c r="J146" s="156">
        <v>4.8030503064099804E-3</v>
      </c>
      <c r="K146" s="156">
        <v>1.0838667999999999E-2</v>
      </c>
      <c r="L146" s="156">
        <v>7.3892999999999992E-5</v>
      </c>
      <c r="M146" s="156">
        <v>1.4778599999999998E-4</v>
      </c>
      <c r="N146" s="156">
        <v>7.3893000000000006E-5</v>
      </c>
      <c r="O146" s="157">
        <f t="shared" si="126"/>
        <v>1.5937290306409977E-2</v>
      </c>
      <c r="S146" s="103" t="str">
        <f>B146</f>
        <v>JO Mehendi</v>
      </c>
      <c r="T146" s="156"/>
      <c r="U146" s="167"/>
      <c r="V146" s="156"/>
      <c r="W146" s="156"/>
      <c r="X146" s="156"/>
      <c r="Y146" s="156"/>
      <c r="Z146" s="156"/>
      <c r="AA146" s="156">
        <v>1.4984639999999999E-2</v>
      </c>
      <c r="AB146" s="156"/>
      <c r="AC146" s="156"/>
      <c r="AD146" s="156"/>
      <c r="AE146" s="156"/>
      <c r="AF146" s="157"/>
    </row>
    <row r="147" spans="1:32">
      <c r="A147" s="244">
        <f t="shared" si="125"/>
        <v>1.2704733174652301E-2</v>
      </c>
      <c r="B147" s="103" t="s">
        <v>19</v>
      </c>
      <c r="C147" s="156">
        <v>8.8799010545548025E-3</v>
      </c>
      <c r="D147" s="167">
        <v>3.8248321200974986E-3</v>
      </c>
      <c r="E147" s="156">
        <v>9.3534041896126E-4</v>
      </c>
      <c r="F147" s="156">
        <v>1.7930267846729502E-3</v>
      </c>
      <c r="G147" s="156">
        <v>4.2328064433284289E-4</v>
      </c>
      <c r="H147" s="156">
        <f>-0.219823098162825/100</f>
        <v>-2.1982309816282498E-3</v>
      </c>
      <c r="I147" s="156">
        <v>1.3823231029481394E-3</v>
      </c>
      <c r="J147" s="156"/>
      <c r="K147" s="156"/>
      <c r="L147" s="156"/>
      <c r="M147" s="156"/>
      <c r="N147" s="156"/>
      <c r="O147" s="157">
        <f t="shared" si="126"/>
        <v>1.5040473143939243E-2</v>
      </c>
      <c r="S147" s="103" t="s">
        <v>19</v>
      </c>
      <c r="T147" s="156">
        <v>4.8424999999999998E-5</v>
      </c>
      <c r="U147" s="167">
        <v>0</v>
      </c>
      <c r="V147" s="156">
        <v>0</v>
      </c>
      <c r="W147" s="156">
        <v>2.8065870000000001E-3</v>
      </c>
      <c r="X147" s="156">
        <v>9.10154E-3</v>
      </c>
      <c r="Y147" s="156">
        <v>9.92796E-4</v>
      </c>
      <c r="Z147" s="156">
        <v>0</v>
      </c>
      <c r="AA147" s="156"/>
      <c r="AB147" s="156"/>
      <c r="AC147" s="156"/>
      <c r="AD147" s="156"/>
      <c r="AE147" s="156"/>
      <c r="AF147" s="157">
        <f t="shared" si="127"/>
        <v>1.2949348000000001E-2</v>
      </c>
    </row>
    <row r="148" spans="1:32">
      <c r="A148" s="244">
        <f t="shared" si="125"/>
        <v>0.51166720204465355</v>
      </c>
      <c r="B148" s="103" t="s">
        <v>20</v>
      </c>
      <c r="C148" s="156">
        <v>0.29931352097665859</v>
      </c>
      <c r="D148" s="167">
        <v>0.21235368106799501</v>
      </c>
      <c r="E148" s="156">
        <v>0.15893096587272701</v>
      </c>
      <c r="F148" s="156">
        <v>0.24549129066910375</v>
      </c>
      <c r="G148" s="156">
        <f>6.78/100+0.1</f>
        <v>0.1678</v>
      </c>
      <c r="H148" s="156">
        <f>39.0713970766909/100</f>
        <v>0.390713970766909</v>
      </c>
      <c r="I148" s="156">
        <v>0.10498755092177173</v>
      </c>
      <c r="J148" s="156">
        <v>8.2929632490615107E-2</v>
      </c>
      <c r="K148" s="156">
        <v>8.6232293999999904E-2</v>
      </c>
      <c r="L148" s="156">
        <v>0.10651807199999995</v>
      </c>
      <c r="M148" s="156">
        <v>5.7871977999999991E-2</v>
      </c>
      <c r="N148" s="156">
        <v>0.108868752</v>
      </c>
      <c r="O148" s="157">
        <f t="shared" si="126"/>
        <v>2.0220117087657794</v>
      </c>
      <c r="S148" s="103" t="s">
        <v>20</v>
      </c>
      <c r="T148" s="156">
        <v>0.26075430200000005</v>
      </c>
      <c r="U148" s="167">
        <v>0.22042577900000004</v>
      </c>
      <c r="V148" s="156">
        <v>0.190531386</v>
      </c>
      <c r="W148" s="156">
        <v>0.285437359</v>
      </c>
      <c r="X148" s="156">
        <v>8.4821243000000004E-2</v>
      </c>
      <c r="Y148" s="156">
        <v>0.11961361899999999</v>
      </c>
      <c r="Z148" s="156">
        <v>7.3923626000000006E-2</v>
      </c>
      <c r="AA148" s="156">
        <v>0.15224012199999995</v>
      </c>
      <c r="AB148" s="156">
        <v>3.5471460999999996E-2</v>
      </c>
      <c r="AC148" s="156">
        <v>4.0883521000000006E-2</v>
      </c>
      <c r="AD148" s="156">
        <v>2.6622333999999998E-2</v>
      </c>
      <c r="AE148" s="156">
        <v>0.21043082699999999</v>
      </c>
      <c r="AF148" s="157">
        <f t="shared" si="127"/>
        <v>1.7011555789999999</v>
      </c>
    </row>
    <row r="149" spans="1:32">
      <c r="A149" s="244">
        <f t="shared" si="125"/>
        <v>0.75238226698679123</v>
      </c>
      <c r="B149" s="103" t="s">
        <v>18</v>
      </c>
      <c r="C149" s="156">
        <v>0.45700000000000002</v>
      </c>
      <c r="D149" s="167">
        <v>0.29538226698679115</v>
      </c>
      <c r="E149" s="156">
        <v>0.35651880394086599</v>
      </c>
      <c r="F149" s="156">
        <v>0.49768915903911154</v>
      </c>
      <c r="G149" s="156">
        <v>0.43837717873068133</v>
      </c>
      <c r="H149" s="156">
        <v>0.21683469352132301</v>
      </c>
      <c r="I149" s="156">
        <v>0.27711118760295445</v>
      </c>
      <c r="J149" s="156">
        <v>0.181991382706676</v>
      </c>
      <c r="K149" s="156">
        <v>0.40103082899999998</v>
      </c>
      <c r="L149" s="156">
        <v>0.69791002400000024</v>
      </c>
      <c r="M149" s="156">
        <v>0.2033866460000007</v>
      </c>
      <c r="N149" s="156">
        <f>0.181398016+0.0978</f>
        <v>0.27919801599999999</v>
      </c>
      <c r="O149" s="157">
        <f t="shared" si="126"/>
        <v>4.3024301875284046</v>
      </c>
      <c r="S149" s="103" t="s">
        <v>18</v>
      </c>
      <c r="T149" s="156">
        <v>0.37517825999999999</v>
      </c>
      <c r="U149" s="167">
        <v>0.27185334399999994</v>
      </c>
      <c r="V149" s="156">
        <v>0.41268664800000004</v>
      </c>
      <c r="W149" s="156">
        <v>0.811227586</v>
      </c>
      <c r="X149" s="156">
        <v>0.19597256399999999</v>
      </c>
      <c r="Y149" s="156">
        <v>4.6544177999999999E-2</v>
      </c>
      <c r="Z149" s="156">
        <v>0.153931347</v>
      </c>
      <c r="AA149" s="156">
        <v>0.16769449299999997</v>
      </c>
      <c r="AB149" s="156">
        <v>0.45523832799999986</v>
      </c>
      <c r="AC149" s="156">
        <v>0.26698440400000001</v>
      </c>
      <c r="AD149" s="156">
        <v>7.7396045000000011E-2</v>
      </c>
      <c r="AE149" s="156">
        <v>7.7657655000000006E-2</v>
      </c>
      <c r="AF149" s="157">
        <f t="shared" si="127"/>
        <v>3.3123648519999995</v>
      </c>
    </row>
    <row r="150" spans="1:32" ht="15.75" thickBot="1">
      <c r="A150" s="244"/>
      <c r="B150" s="103" t="s">
        <v>159</v>
      </c>
      <c r="C150" s="156"/>
      <c r="D150" s="167"/>
      <c r="E150" s="156"/>
      <c r="F150" s="156"/>
      <c r="G150" s="156"/>
      <c r="H150" s="156"/>
      <c r="I150" s="156"/>
      <c r="J150" s="156"/>
      <c r="K150" s="156"/>
      <c r="L150" s="279">
        <f>43400/10^7</f>
        <v>4.3400000000000001E-3</v>
      </c>
      <c r="M150" s="279">
        <v>1.1552680000000001E-2</v>
      </c>
      <c r="N150" s="156">
        <v>5.9744000000000004E-3</v>
      </c>
      <c r="O150" s="157">
        <f t="shared" si="126"/>
        <v>2.1867080000000001E-2</v>
      </c>
      <c r="S150" s="103" t="s">
        <v>159</v>
      </c>
      <c r="T150" s="156"/>
      <c r="U150" s="167"/>
      <c r="V150" s="156"/>
      <c r="W150" s="156"/>
      <c r="X150" s="156"/>
      <c r="Y150" s="156"/>
      <c r="Z150" s="156"/>
      <c r="AA150" s="156"/>
      <c r="AB150" s="156"/>
      <c r="AC150" s="156">
        <f>43400/10^7</f>
        <v>4.3400000000000001E-3</v>
      </c>
      <c r="AD150" s="156">
        <v>1.1552680000000001E-2</v>
      </c>
      <c r="AE150" s="156">
        <v>5.9744000000000004E-3</v>
      </c>
      <c r="AF150" s="157"/>
    </row>
    <row r="151" spans="1:32" ht="15.75" thickBot="1">
      <c r="B151" s="109" t="s">
        <v>92</v>
      </c>
      <c r="C151" s="280">
        <f>SUM(C140:C150)</f>
        <v>15.623524066859609</v>
      </c>
      <c r="D151" s="292">
        <f t="shared" ref="D151:O151" si="128">SUM(D140:D150)</f>
        <v>15.481225436555489</v>
      </c>
      <c r="E151" s="292">
        <f t="shared" si="128"/>
        <v>16.667919085801437</v>
      </c>
      <c r="F151" s="158">
        <f t="shared" si="128"/>
        <v>15.816058936605559</v>
      </c>
      <c r="G151" s="158">
        <f t="shared" si="128"/>
        <v>15.824488028933155</v>
      </c>
      <c r="H151" s="158">
        <f t="shared" si="128"/>
        <v>15.761962500137951</v>
      </c>
      <c r="I151" s="158">
        <f t="shared" si="128"/>
        <v>16.665538973008463</v>
      </c>
      <c r="J151" s="158">
        <f t="shared" si="128"/>
        <v>15.742658887659323</v>
      </c>
      <c r="K151" s="158">
        <f t="shared" si="128"/>
        <v>14.623690468999813</v>
      </c>
      <c r="L151" s="158">
        <f t="shared" si="128"/>
        <v>16.004772845999778</v>
      </c>
      <c r="M151" s="158">
        <f t="shared" si="128"/>
        <v>14.893259393999786</v>
      </c>
      <c r="N151" s="158">
        <f t="shared" si="128"/>
        <v>16.506385540999801</v>
      </c>
      <c r="O151" s="159">
        <f t="shared" si="128"/>
        <v>189.61148416556014</v>
      </c>
      <c r="S151" s="109" t="s">
        <v>92</v>
      </c>
      <c r="T151" s="158">
        <f>SUM(T140:T150)</f>
        <v>14.446060859000001</v>
      </c>
      <c r="U151" s="158">
        <f t="shared" ref="U151" si="129">SUM(U140:U150)</f>
        <v>15.015941715000002</v>
      </c>
      <c r="V151" s="158">
        <f t="shared" ref="V151" si="130">SUM(V140:V150)</f>
        <v>16.343332180000001</v>
      </c>
      <c r="W151" s="158">
        <f t="shared" ref="W151" si="131">SUM(W140:W150)</f>
        <v>14.897365147999997</v>
      </c>
      <c r="X151" s="158">
        <f t="shared" ref="X151" si="132">SUM(X140:X150)</f>
        <v>11.371062306999999</v>
      </c>
      <c r="Y151" s="158">
        <f t="shared" ref="Y151" si="133">SUM(Y140:Y150)</f>
        <v>11.492292393000001</v>
      </c>
      <c r="Z151" s="158">
        <f t="shared" ref="Z151" si="134">SUM(Z140:Z150)</f>
        <v>15.646909609</v>
      </c>
      <c r="AA151" s="158">
        <f t="shared" ref="AA151" si="135">SUM(AA140:AA150)</f>
        <v>17.890952375000001</v>
      </c>
      <c r="AB151" s="158">
        <f t="shared" ref="AB151" si="136">SUM(AB140:AB150)</f>
        <v>14.259929628999995</v>
      </c>
      <c r="AC151" s="158">
        <f t="shared" ref="AC151" si="137">SUM(AC140:AC150)</f>
        <v>9.6921490310000014</v>
      </c>
      <c r="AD151" s="158">
        <f t="shared" ref="AD151" si="138">SUM(AD140:AD150)</f>
        <v>13.646362436999999</v>
      </c>
      <c r="AE151" s="158">
        <f t="shared" ref="AE151" si="139">SUM(AE140:AE150)</f>
        <v>15.715126937999997</v>
      </c>
      <c r="AF151" s="159">
        <f t="shared" ref="AF151" si="140">SUM(AF140:AF150)</f>
        <v>170.38063290099998</v>
      </c>
    </row>
    <row r="155" spans="1:32" ht="15.75" thickBot="1"/>
    <row r="156" spans="1:32" ht="15.75" thickBot="1">
      <c r="B156" s="97" t="s">
        <v>78</v>
      </c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9"/>
      <c r="S156" s="97" t="s">
        <v>78</v>
      </c>
      <c r="T156" s="98" t="s">
        <v>153</v>
      </c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9"/>
    </row>
    <row r="157" spans="1:32" ht="15.75" thickBot="1">
      <c r="B157" s="100" t="s">
        <v>93</v>
      </c>
      <c r="C157" s="101" t="s">
        <v>80</v>
      </c>
      <c r="D157" s="101" t="s">
        <v>81</v>
      </c>
      <c r="E157" s="101" t="s">
        <v>82</v>
      </c>
      <c r="F157" s="101" t="s">
        <v>83</v>
      </c>
      <c r="G157" s="101" t="s">
        <v>84</v>
      </c>
      <c r="H157" s="101" t="s">
        <v>85</v>
      </c>
      <c r="I157" s="101" t="s">
        <v>86</v>
      </c>
      <c r="J157" s="101" t="s">
        <v>87</v>
      </c>
      <c r="K157" s="101" t="s">
        <v>88</v>
      </c>
      <c r="L157" s="101" t="s">
        <v>89</v>
      </c>
      <c r="M157" s="101" t="s">
        <v>90</v>
      </c>
      <c r="N157" s="101" t="s">
        <v>91</v>
      </c>
      <c r="O157" s="102" t="s">
        <v>92</v>
      </c>
      <c r="S157" s="100" t="s">
        <v>93</v>
      </c>
      <c r="T157" s="101" t="s">
        <v>80</v>
      </c>
      <c r="U157" s="101" t="s">
        <v>81</v>
      </c>
      <c r="V157" s="101" t="s">
        <v>82</v>
      </c>
      <c r="W157" s="101" t="s">
        <v>83</v>
      </c>
      <c r="X157" s="101" t="s">
        <v>84</v>
      </c>
      <c r="Y157" s="101" t="s">
        <v>85</v>
      </c>
      <c r="Z157" s="101" t="s">
        <v>86</v>
      </c>
      <c r="AA157" s="101" t="s">
        <v>87</v>
      </c>
      <c r="AB157" s="101" t="s">
        <v>88</v>
      </c>
      <c r="AC157" s="101" t="s">
        <v>89</v>
      </c>
      <c r="AD157" s="101" t="s">
        <v>90</v>
      </c>
      <c r="AE157" s="101" t="s">
        <v>91</v>
      </c>
      <c r="AF157" s="102" t="s">
        <v>92</v>
      </c>
    </row>
    <row r="158" spans="1:32">
      <c r="B158" s="103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8"/>
      <c r="S158" s="103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8"/>
    </row>
    <row r="159" spans="1:32">
      <c r="B159" s="103" t="s">
        <v>15</v>
      </c>
      <c r="C159" s="156">
        <f>8.98786046871898+0.01</f>
        <v>8.9978604687189794</v>
      </c>
      <c r="D159" s="167">
        <f>9.2732366146012+0.01</f>
        <v>9.2832366146012006</v>
      </c>
      <c r="E159" s="156">
        <f>9.2732366146012+0.01</f>
        <v>9.2832366146012006</v>
      </c>
      <c r="F159" s="156">
        <f>8.97576297567388+0.005</f>
        <v>8.9807629756738816</v>
      </c>
      <c r="G159" s="156">
        <f>9.61123260391348+0.01</f>
        <v>9.6212326039134801</v>
      </c>
      <c r="H159" s="156">
        <v>8.1978245605580877</v>
      </c>
      <c r="I159" s="156">
        <v>9.2986204006444382</v>
      </c>
      <c r="J159" s="156">
        <v>7.758165063050189</v>
      </c>
      <c r="K159" s="156">
        <v>8.2263488372099864</v>
      </c>
      <c r="L159" s="156">
        <v>8.3583611533705291</v>
      </c>
      <c r="M159" s="156">
        <v>9.7694564080950421</v>
      </c>
      <c r="N159" s="156">
        <v>10.544935599030909</v>
      </c>
      <c r="O159" s="157">
        <f>SUM(C159:N159)</f>
        <v>108.3200412994679</v>
      </c>
      <c r="S159" s="103" t="s">
        <v>15</v>
      </c>
      <c r="T159" s="156">
        <v>5.1644142799999999</v>
      </c>
      <c r="U159" s="167">
        <v>5.9527198480000001</v>
      </c>
      <c r="V159" s="156">
        <v>10.126485949999999</v>
      </c>
      <c r="W159" s="156">
        <v>10.619398794</v>
      </c>
      <c r="X159" s="156">
        <v>10.973023273999999</v>
      </c>
      <c r="Y159" s="156">
        <v>7.8141221419999987</v>
      </c>
      <c r="Z159" s="156">
        <v>4.7010396760000006</v>
      </c>
      <c r="AA159" s="156">
        <v>5.1056291300000005</v>
      </c>
      <c r="AB159" s="156">
        <v>8.0321580780000019</v>
      </c>
      <c r="AC159" s="156">
        <v>10.139663733999999</v>
      </c>
      <c r="AD159" s="156">
        <v>8.1582268099999986</v>
      </c>
      <c r="AE159" s="156">
        <v>7.1921988620000006</v>
      </c>
      <c r="AF159" s="157">
        <f>SUM(T159:AE159)</f>
        <v>93.979080577999994</v>
      </c>
    </row>
    <row r="160" spans="1:32">
      <c r="B160" s="103" t="s">
        <v>77</v>
      </c>
      <c r="C160" s="156">
        <v>0.89351525734368398</v>
      </c>
      <c r="D160" s="167">
        <v>1.0634281666701157</v>
      </c>
      <c r="E160" s="156">
        <v>0.99720214800000007</v>
      </c>
      <c r="F160" s="156">
        <v>1.2511384312192571</v>
      </c>
      <c r="G160" s="156">
        <v>1.1769132195443255</v>
      </c>
      <c r="H160" s="156">
        <f>1.76536173210133+0.01</f>
        <v>1.77536173210133</v>
      </c>
      <c r="I160" s="156">
        <v>2.7510029724868046</v>
      </c>
      <c r="J160" s="156">
        <v>3.242735022377909</v>
      </c>
      <c r="K160" s="156">
        <v>3.5108518547831422</v>
      </c>
      <c r="L160" s="156">
        <v>2.1380062219772102</v>
      </c>
      <c r="M160" s="156">
        <v>1.0374815279730876</v>
      </c>
      <c r="N160" s="156">
        <v>1.2581012318260811</v>
      </c>
      <c r="O160" s="157">
        <f t="shared" ref="O160:O165" si="141">SUM(C160:N160)</f>
        <v>21.095737786302951</v>
      </c>
      <c r="S160" s="103" t="s">
        <v>77</v>
      </c>
      <c r="T160" s="156">
        <v>0.82055196800000008</v>
      </c>
      <c r="U160" s="167">
        <v>0.24541798500000001</v>
      </c>
      <c r="V160" s="156">
        <v>1.3823987040000001</v>
      </c>
      <c r="W160" s="156">
        <v>1.8053946839999999</v>
      </c>
      <c r="X160" s="156">
        <v>1.992282798</v>
      </c>
      <c r="Y160" s="156">
        <v>1.9986780719999999</v>
      </c>
      <c r="Z160" s="156">
        <v>1.7021382380000001</v>
      </c>
      <c r="AA160" s="156">
        <v>2.8157495940000001</v>
      </c>
      <c r="AB160" s="156">
        <v>3.0278966079999998</v>
      </c>
      <c r="AC160" s="156">
        <v>2.0090175540000001</v>
      </c>
      <c r="AD160" s="156">
        <v>0.68811704400000007</v>
      </c>
      <c r="AE160" s="156">
        <v>0.99514855800000002</v>
      </c>
      <c r="AF160" s="157">
        <f t="shared" ref="AF160:AF165" si="142">SUM(T160:AE160)</f>
        <v>19.482791806999998</v>
      </c>
    </row>
    <row r="161" spans="2:32">
      <c r="B161" s="103" t="s">
        <v>16</v>
      </c>
      <c r="C161" s="156">
        <v>5.6070226621370435E-2</v>
      </c>
      <c r="D161" s="167">
        <v>2.8713705094536518E-3</v>
      </c>
      <c r="E161" s="156">
        <v>2.9787853999999999E-2</v>
      </c>
      <c r="F161" s="156">
        <v>9.3918798053325897E-2</v>
      </c>
      <c r="G161" s="156">
        <v>8.8533838141295965E-2</v>
      </c>
      <c r="H161" s="156">
        <v>5.2728246030746176E-2</v>
      </c>
      <c r="I161" s="156">
        <v>5.8329778024403776E-2</v>
      </c>
      <c r="J161" s="156">
        <v>6.5200393465870421E-2</v>
      </c>
      <c r="K161" s="156">
        <v>8.0680332185715797E-2</v>
      </c>
      <c r="L161" s="156">
        <v>6.1610301099673484E-2</v>
      </c>
      <c r="M161" s="156">
        <v>2.4868081706953617E-2</v>
      </c>
      <c r="N161" s="156">
        <v>3.6990394198939701E-2</v>
      </c>
      <c r="O161" s="157">
        <f t="shared" si="141"/>
        <v>0.65158961403774895</v>
      </c>
      <c r="S161" s="103" t="s">
        <v>16</v>
      </c>
      <c r="T161" s="156">
        <v>0</v>
      </c>
      <c r="U161" s="167">
        <v>8.908632000000001E-2</v>
      </c>
      <c r="V161" s="156">
        <v>0.18576792000000003</v>
      </c>
      <c r="W161" s="156">
        <v>9.3445919999999988E-2</v>
      </c>
      <c r="X161" s="156">
        <v>0</v>
      </c>
      <c r="Y161" s="156">
        <v>2.9382480000000002E-2</v>
      </c>
      <c r="Z161" s="156">
        <v>3.9681648E-2</v>
      </c>
      <c r="AA161" s="156">
        <v>0.10788191999999999</v>
      </c>
      <c r="AB161" s="156">
        <v>7.2069887999999999E-2</v>
      </c>
      <c r="AC161" s="156">
        <v>0</v>
      </c>
      <c r="AD161" s="156">
        <v>2.6484480000000001E-2</v>
      </c>
      <c r="AE161" s="156">
        <v>0</v>
      </c>
      <c r="AF161" s="157">
        <f t="shared" si="142"/>
        <v>0.64380057600000007</v>
      </c>
    </row>
    <row r="162" spans="2:32">
      <c r="B162" s="103" t="s">
        <v>17</v>
      </c>
      <c r="C162" s="156">
        <v>0.41336919716183296</v>
      </c>
      <c r="D162" s="167">
        <f>0.30457056811632+0.01</f>
        <v>0.31457056811632</v>
      </c>
      <c r="E162" s="156">
        <f>0.292431421+0.01</f>
        <v>0.30243142100000003</v>
      </c>
      <c r="F162" s="156">
        <f>0.615267289699592+0.01</f>
        <v>0.625267289699592</v>
      </c>
      <c r="G162" s="156">
        <v>0.45908568565344832</v>
      </c>
      <c r="H162" s="156">
        <v>0.65125886326935001</v>
      </c>
      <c r="I162" s="156">
        <v>0.40062176046416692</v>
      </c>
      <c r="J162" s="156">
        <v>0.32509536421027851</v>
      </c>
      <c r="K162" s="156">
        <v>0.40605475776853306</v>
      </c>
      <c r="L162" s="156">
        <v>0.44612380157180243</v>
      </c>
      <c r="M162" s="156">
        <v>0.46840320571863586</v>
      </c>
      <c r="N162" s="156">
        <v>0.5774424578787023</v>
      </c>
      <c r="O162" s="157">
        <f t="shared" si="141"/>
        <v>5.3897243725126627</v>
      </c>
      <c r="S162" s="103" t="s">
        <v>17</v>
      </c>
      <c r="T162" s="156">
        <v>0.26183538000000001</v>
      </c>
      <c r="U162" s="167">
        <v>0.30920281800000005</v>
      </c>
      <c r="V162" s="156">
        <v>6.9903359999999998E-2</v>
      </c>
      <c r="W162" s="156">
        <v>0.49241040000000003</v>
      </c>
      <c r="X162" s="156">
        <v>0.365562</v>
      </c>
      <c r="Y162" s="156">
        <v>0.99231609599999993</v>
      </c>
      <c r="Z162" s="156">
        <v>0.32517927000000002</v>
      </c>
      <c r="AA162" s="156">
        <v>0.1842048</v>
      </c>
      <c r="AB162" s="156">
        <v>3.8276279999999996E-2</v>
      </c>
      <c r="AC162" s="156">
        <v>0.59923375199999995</v>
      </c>
      <c r="AD162" s="156">
        <v>0.24948360000000003</v>
      </c>
      <c r="AE162" s="156">
        <v>0.81540662399999997</v>
      </c>
      <c r="AF162" s="157">
        <f t="shared" si="142"/>
        <v>4.7030143799999991</v>
      </c>
    </row>
    <row r="163" spans="2:32">
      <c r="B163" s="103" t="s">
        <v>19</v>
      </c>
      <c r="C163" s="156">
        <v>2.1397629108596276E-2</v>
      </c>
      <c r="D163" s="167">
        <v>2.2245627513911299E-2</v>
      </c>
      <c r="E163" s="156">
        <v>2.7786033999999998E-2</v>
      </c>
      <c r="F163" s="156">
        <v>2.0475087763907246E-2</v>
      </c>
      <c r="G163" s="156">
        <v>1.8211899563846695E-2</v>
      </c>
      <c r="H163" s="156">
        <v>2.7916818618975662E-2</v>
      </c>
      <c r="I163" s="156">
        <v>1.0692420568764821E-2</v>
      </c>
      <c r="J163" s="156">
        <v>1.1919048176515385E-2</v>
      </c>
      <c r="K163" s="156">
        <v>1.7617880479737415E-2</v>
      </c>
      <c r="L163" s="156">
        <v>1.8663125771878845E-2</v>
      </c>
      <c r="M163" s="156">
        <v>1.7882338155834284E-2</v>
      </c>
      <c r="N163" s="156">
        <v>2.0919991265698195E-2</v>
      </c>
      <c r="O163" s="157">
        <f t="shared" si="141"/>
        <v>0.23572790098766611</v>
      </c>
      <c r="S163" s="103" t="s">
        <v>19</v>
      </c>
      <c r="T163" s="156">
        <v>3.1800000000000002E-2</v>
      </c>
      <c r="U163" s="167">
        <v>3.0210000000000001E-2</v>
      </c>
      <c r="V163" s="156">
        <v>0</v>
      </c>
      <c r="W163" s="156"/>
      <c r="X163" s="156">
        <v>1.5900000000000001E-2</v>
      </c>
      <c r="Y163" s="156">
        <v>2.8778999999999999E-2</v>
      </c>
      <c r="Z163" s="156">
        <v>1.5900000000000001E-2</v>
      </c>
      <c r="AA163" s="156">
        <v>5.1198000000000007E-2</v>
      </c>
      <c r="AB163" s="156">
        <v>0</v>
      </c>
      <c r="AC163" s="156">
        <v>0</v>
      </c>
      <c r="AD163" s="156">
        <v>0</v>
      </c>
      <c r="AE163" s="156">
        <v>0</v>
      </c>
      <c r="AF163" s="157">
        <f t="shared" si="142"/>
        <v>0.17378700000000002</v>
      </c>
    </row>
    <row r="164" spans="2:32">
      <c r="B164" s="103" t="s">
        <v>20</v>
      </c>
      <c r="C164" s="156"/>
      <c r="D164" s="167">
        <v>0</v>
      </c>
      <c r="E164" s="156"/>
      <c r="F164" s="156"/>
      <c r="G164" s="156"/>
      <c r="H164" s="156"/>
      <c r="I164" s="156">
        <v>0</v>
      </c>
      <c r="J164" s="156"/>
      <c r="K164" s="156">
        <v>0</v>
      </c>
      <c r="L164" s="156">
        <v>2.3498416566379816E-2</v>
      </c>
      <c r="M164" s="156">
        <v>0.23864536874177586</v>
      </c>
      <c r="N164" s="156">
        <v>5.8785312915930588E-2</v>
      </c>
      <c r="O164" s="157">
        <f t="shared" si="141"/>
        <v>0.32092909822408627</v>
      </c>
      <c r="S164" s="103" t="s">
        <v>20</v>
      </c>
      <c r="T164" s="156">
        <v>0</v>
      </c>
      <c r="U164" s="167">
        <v>0</v>
      </c>
      <c r="V164" s="156">
        <v>0</v>
      </c>
      <c r="W164" s="156">
        <v>0</v>
      </c>
      <c r="X164" s="156">
        <v>0</v>
      </c>
      <c r="Y164" s="156">
        <v>0</v>
      </c>
      <c r="Z164" s="156">
        <v>0</v>
      </c>
      <c r="AA164" s="156">
        <v>0</v>
      </c>
      <c r="AB164" s="156">
        <v>0</v>
      </c>
      <c r="AC164" s="156">
        <v>0.15259596</v>
      </c>
      <c r="AD164" s="156">
        <v>8.1304223999999994E-2</v>
      </c>
      <c r="AE164" s="156">
        <v>0.18024589599999996</v>
      </c>
      <c r="AF164" s="157">
        <f t="shared" si="142"/>
        <v>0.41414607999999997</v>
      </c>
    </row>
    <row r="165" spans="2:32" ht="15.75" thickBot="1">
      <c r="B165" s="103" t="s">
        <v>18</v>
      </c>
      <c r="C165" s="156">
        <v>6.6610276362929627E-2</v>
      </c>
      <c r="D165" s="167">
        <v>6.817062531917116E-2</v>
      </c>
      <c r="E165" s="156">
        <v>4.5791095999999989E-2</v>
      </c>
      <c r="F165" s="156">
        <v>0.11564788551158678</v>
      </c>
      <c r="G165" s="156">
        <v>0.10252491864598026</v>
      </c>
      <c r="H165" s="156">
        <v>0.13907356208499616</v>
      </c>
      <c r="I165" s="156">
        <v>0.13253286661136982</v>
      </c>
      <c r="J165" s="156">
        <v>0.27463420320579979</v>
      </c>
      <c r="K165" s="156">
        <v>0.28977474632209643</v>
      </c>
      <c r="L165" s="156">
        <v>0.34633128311321776</v>
      </c>
      <c r="M165" s="156">
        <v>0.17746187753935527</v>
      </c>
      <c r="N165" s="156">
        <v>0.29560258851595972</v>
      </c>
      <c r="O165" s="157">
        <f t="shared" si="141"/>
        <v>2.0541559292324627</v>
      </c>
      <c r="S165" s="103" t="s">
        <v>18</v>
      </c>
      <c r="T165" s="156">
        <v>9.875078399999998E-2</v>
      </c>
      <c r="U165" s="167">
        <v>2.2592399999999999E-2</v>
      </c>
      <c r="V165" s="156">
        <v>8.8355351999999998E-2</v>
      </c>
      <c r="W165" s="156">
        <v>0.14562230399999998</v>
      </c>
      <c r="X165" s="156">
        <v>7.1950415999999989E-2</v>
      </c>
      <c r="Y165" s="156">
        <v>0.10665556800000001</v>
      </c>
      <c r="Z165" s="156">
        <v>0.16855911600000001</v>
      </c>
      <c r="AA165" s="156">
        <v>0.23693456399999999</v>
      </c>
      <c r="AB165" s="156">
        <v>0.28634962800000008</v>
      </c>
      <c r="AC165" s="156">
        <v>0.4662015599999999</v>
      </c>
      <c r="AD165" s="156">
        <v>8.2419083999999976E-2</v>
      </c>
      <c r="AE165" s="156">
        <v>0.11093467200000001</v>
      </c>
      <c r="AF165" s="157">
        <f t="shared" si="142"/>
        <v>1.8853254480000001</v>
      </c>
    </row>
    <row r="166" spans="2:32" ht="15.75" thickBot="1">
      <c r="B166" s="109" t="s">
        <v>92</v>
      </c>
      <c r="C166" s="158">
        <f>SUM(C158:C165)</f>
        <v>10.448823055317392</v>
      </c>
      <c r="D166" s="158">
        <f t="shared" ref="D166:N166" si="143">SUM(D158:D165)</f>
        <v>10.754522972730172</v>
      </c>
      <c r="E166" s="158">
        <f t="shared" si="143"/>
        <v>10.6862351676012</v>
      </c>
      <c r="F166" s="158">
        <f t="shared" si="143"/>
        <v>11.087210467921549</v>
      </c>
      <c r="G166" s="158">
        <f t="shared" si="143"/>
        <v>11.466502165462376</v>
      </c>
      <c r="H166" s="158">
        <f t="shared" si="143"/>
        <v>10.844163782663486</v>
      </c>
      <c r="I166" s="158">
        <f t="shared" si="143"/>
        <v>12.65180019879995</v>
      </c>
      <c r="J166" s="158">
        <f t="shared" si="143"/>
        <v>11.677749094486563</v>
      </c>
      <c r="K166" s="158">
        <f t="shared" si="143"/>
        <v>12.531328408749212</v>
      </c>
      <c r="L166" s="158">
        <f t="shared" si="143"/>
        <v>11.392594303470691</v>
      </c>
      <c r="M166" s="158">
        <f t="shared" si="143"/>
        <v>11.734198807930685</v>
      </c>
      <c r="N166" s="158">
        <f t="shared" si="143"/>
        <v>12.79277757563222</v>
      </c>
      <c r="O166" s="159">
        <f t="shared" ref="O166" si="144">SUM(O158:O165)</f>
        <v>138.06790600076548</v>
      </c>
      <c r="S166" s="109" t="s">
        <v>92</v>
      </c>
      <c r="T166" s="158">
        <f>SUM(T158:T165)</f>
        <v>6.3773524119999996</v>
      </c>
      <c r="U166" s="158">
        <f t="shared" ref="U166:AF166" si="145">SUM(U158:U165)</f>
        <v>6.6492293710000006</v>
      </c>
      <c r="V166" s="158">
        <f t="shared" si="145"/>
        <v>11.852911285999999</v>
      </c>
      <c r="W166" s="158">
        <f t="shared" si="145"/>
        <v>13.156272102000001</v>
      </c>
      <c r="X166" s="158">
        <f t="shared" si="145"/>
        <v>13.418718488</v>
      </c>
      <c r="Y166" s="158">
        <f t="shared" si="145"/>
        <v>10.969933358</v>
      </c>
      <c r="Z166" s="158">
        <f t="shared" si="145"/>
        <v>6.9524979480000004</v>
      </c>
      <c r="AA166" s="158">
        <f t="shared" si="145"/>
        <v>8.5015980080000002</v>
      </c>
      <c r="AB166" s="158">
        <f t="shared" si="145"/>
        <v>11.456750482</v>
      </c>
      <c r="AC166" s="158">
        <f t="shared" si="145"/>
        <v>13.366712559999998</v>
      </c>
      <c r="AD166" s="158">
        <f t="shared" si="145"/>
        <v>9.2860352419999987</v>
      </c>
      <c r="AE166" s="158">
        <f t="shared" si="145"/>
        <v>9.293934612000001</v>
      </c>
      <c r="AF166" s="159">
        <f t="shared" si="145"/>
        <v>121.281945869</v>
      </c>
    </row>
    <row r="167" spans="2:32">
      <c r="B167" s="236"/>
      <c r="C167" s="237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</row>
    <row r="168" spans="2:32" ht="15.75" thickBot="1">
      <c r="B168" s="236"/>
      <c r="C168" s="237"/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37"/>
      <c r="O168" s="237"/>
    </row>
    <row r="169" spans="2:32" ht="15.75" thickBot="1">
      <c r="B169" s="97" t="s">
        <v>78</v>
      </c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9"/>
    </row>
    <row r="170" spans="2:32" ht="15.75" thickBot="1">
      <c r="B170" s="239" t="s">
        <v>108</v>
      </c>
      <c r="C170" s="101" t="s">
        <v>80</v>
      </c>
      <c r="D170" s="101" t="s">
        <v>81</v>
      </c>
      <c r="E170" s="101" t="s">
        <v>82</v>
      </c>
      <c r="F170" s="101" t="s">
        <v>83</v>
      </c>
      <c r="G170" s="101" t="s">
        <v>84</v>
      </c>
      <c r="H170" s="101" t="s">
        <v>85</v>
      </c>
      <c r="I170" s="101" t="s">
        <v>86</v>
      </c>
      <c r="J170" s="101" t="s">
        <v>87</v>
      </c>
      <c r="K170" s="101" t="s">
        <v>88</v>
      </c>
      <c r="L170" s="101" t="s">
        <v>89</v>
      </c>
      <c r="M170" s="101" t="s">
        <v>90</v>
      </c>
      <c r="N170" s="101" t="s">
        <v>91</v>
      </c>
      <c r="O170" s="102" t="s">
        <v>92</v>
      </c>
    </row>
    <row r="171" spans="2:32">
      <c r="B171" s="103"/>
      <c r="C171" s="240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8"/>
    </row>
    <row r="172" spans="2:32">
      <c r="B172" s="103" t="s">
        <v>15</v>
      </c>
      <c r="C172" s="240">
        <f t="shared" ref="C172:O172" si="146">IFERROR(C159*10^7/C79,0)</f>
        <v>94997.804411484889</v>
      </c>
      <c r="D172" s="93">
        <f t="shared" si="146"/>
        <v>96892.786656919779</v>
      </c>
      <c r="E172" s="240">
        <f t="shared" si="146"/>
        <v>100073.43845526653</v>
      </c>
      <c r="F172" s="240">
        <f t="shared" si="146"/>
        <v>101300.59678098209</v>
      </c>
      <c r="G172" s="240">
        <f t="shared" si="146"/>
        <v>101073.17242290454</v>
      </c>
      <c r="H172" s="240">
        <f t="shared" si="146"/>
        <v>100506.15138221243</v>
      </c>
      <c r="I172" s="240">
        <f t="shared" si="146"/>
        <v>101083.63789668595</v>
      </c>
      <c r="J172" s="240">
        <f t="shared" si="146"/>
        <v>102596.16400853399</v>
      </c>
      <c r="K172" s="240">
        <f t="shared" si="146"/>
        <v>100934.78824668955</v>
      </c>
      <c r="L172" s="240">
        <f t="shared" si="146"/>
        <v>100725.37743925648</v>
      </c>
      <c r="M172" s="240">
        <f t="shared" si="146"/>
        <v>100474.43777480048</v>
      </c>
      <c r="N172" s="240">
        <f t="shared" si="146"/>
        <v>99805.000103047394</v>
      </c>
      <c r="O172" s="242">
        <f t="shared" si="146"/>
        <v>99955.683889997395</v>
      </c>
    </row>
    <row r="173" spans="2:32">
      <c r="B173" s="103" t="s">
        <v>77</v>
      </c>
      <c r="C173" s="240">
        <f t="shared" ref="C173:O173" si="147">IFERROR(C160*10^7/C80,0)</f>
        <v>149076.98269730192</v>
      </c>
      <c r="D173" s="93">
        <f t="shared" si="147"/>
        <v>119752.25505520019</v>
      </c>
      <c r="E173" s="240">
        <f t="shared" si="147"/>
        <v>102922.62659587424</v>
      </c>
      <c r="F173" s="240">
        <f t="shared" si="147"/>
        <v>107768.03848721588</v>
      </c>
      <c r="G173" s="240">
        <f t="shared" si="147"/>
        <v>138232.38802669066</v>
      </c>
      <c r="H173" s="240">
        <f t="shared" si="147"/>
        <v>154197.86391326803</v>
      </c>
      <c r="I173" s="240">
        <f t="shared" si="147"/>
        <v>159350.83704638263</v>
      </c>
      <c r="J173" s="240">
        <f t="shared" si="147"/>
        <v>155522.44006389304</v>
      </c>
      <c r="K173" s="240">
        <f t="shared" si="147"/>
        <v>151006.12083109305</v>
      </c>
      <c r="L173" s="240">
        <f t="shared" si="147"/>
        <v>141304.04963982347</v>
      </c>
      <c r="M173" s="240">
        <f t="shared" si="147"/>
        <v>126045.20249423143</v>
      </c>
      <c r="N173" s="240">
        <f t="shared" si="147"/>
        <v>133520.31973786862</v>
      </c>
      <c r="O173" s="242">
        <f t="shared" si="147"/>
        <v>140312.64800893114</v>
      </c>
    </row>
    <row r="174" spans="2:32">
      <c r="B174" s="103" t="s">
        <v>16</v>
      </c>
      <c r="C174" s="240">
        <f t="shared" ref="C174:O174" si="148">IFERROR(C161*10^7/C81,0)</f>
        <v>326735.2919969724</v>
      </c>
      <c r="D174" s="93">
        <f t="shared" si="148"/>
        <v>103361.0694547751</v>
      </c>
      <c r="E174" s="240">
        <f t="shared" si="148"/>
        <v>335931.13986861758</v>
      </c>
      <c r="F174" s="240">
        <f t="shared" si="148"/>
        <v>369648.2984953167</v>
      </c>
      <c r="G174" s="240">
        <f t="shared" si="148"/>
        <v>326595.87400097545</v>
      </c>
      <c r="H174" s="240">
        <f t="shared" si="148"/>
        <v>332659.82795966172</v>
      </c>
      <c r="I174" s="240">
        <f t="shared" si="148"/>
        <v>341694.29008335178</v>
      </c>
      <c r="J174" s="240">
        <f t="shared" si="148"/>
        <v>343747.95553378371</v>
      </c>
      <c r="K174" s="240">
        <f t="shared" si="148"/>
        <v>345186.03596335871</v>
      </c>
      <c r="L174" s="240">
        <f t="shared" si="148"/>
        <v>339998.62643474195</v>
      </c>
      <c r="M174" s="240">
        <f t="shared" si="148"/>
        <v>326256.44274267595</v>
      </c>
      <c r="N174" s="240">
        <f t="shared" si="148"/>
        <v>362704.26238113153</v>
      </c>
      <c r="O174" s="242">
        <f t="shared" si="148"/>
        <v>338444.28045643191</v>
      </c>
    </row>
    <row r="175" spans="2:32">
      <c r="B175" s="103" t="s">
        <v>17</v>
      </c>
      <c r="C175" s="240">
        <f t="shared" ref="C175:O175" si="149">IFERROR(C162*10^7/C82,0)</f>
        <v>101949.08350509436</v>
      </c>
      <c r="D175" s="93">
        <f t="shared" si="149"/>
        <v>105545.8041645413</v>
      </c>
      <c r="E175" s="240">
        <f t="shared" si="149"/>
        <v>95683.187976859481</v>
      </c>
      <c r="F175" s="240">
        <f t="shared" si="149"/>
        <v>102780.21465483082</v>
      </c>
      <c r="G175" s="240">
        <f t="shared" si="149"/>
        <v>102503.27584280551</v>
      </c>
      <c r="H175" s="240">
        <f t="shared" si="149"/>
        <v>103652.52740803706</v>
      </c>
      <c r="I175" s="240">
        <f t="shared" si="149"/>
        <v>103853.23852703524</v>
      </c>
      <c r="J175" s="240">
        <f t="shared" si="149"/>
        <v>106640.00602594446</v>
      </c>
      <c r="K175" s="240">
        <f t="shared" si="149"/>
        <v>108573.53131280451</v>
      </c>
      <c r="L175" s="240">
        <f t="shared" si="149"/>
        <v>113065.77876668578</v>
      </c>
      <c r="M175" s="240">
        <f t="shared" si="149"/>
        <v>111441.82458202247</v>
      </c>
      <c r="N175" s="240">
        <f t="shared" si="149"/>
        <v>108359.62863616603</v>
      </c>
      <c r="O175" s="242">
        <f t="shared" si="149"/>
        <v>105340.08031533781</v>
      </c>
    </row>
    <row r="176" spans="2:32">
      <c r="B176" s="103" t="s">
        <v>19</v>
      </c>
      <c r="C176" s="240">
        <f t="shared" ref="C176:O176" si="150">IFERROR(C163*10^7/C83,0)</f>
        <v>1664926.0121845843</v>
      </c>
      <c r="D176" s="93">
        <f t="shared" si="150"/>
        <v>1670092.1556990466</v>
      </c>
      <c r="E176" s="240">
        <f t="shared" si="150"/>
        <v>1659858.6618876939</v>
      </c>
      <c r="F176" s="240">
        <f t="shared" si="150"/>
        <v>1671572.1907018733</v>
      </c>
      <c r="G176" s="240">
        <f t="shared" si="150"/>
        <v>1669591.0857945282</v>
      </c>
      <c r="H176" s="240">
        <f t="shared" si="150"/>
        <v>1673248.8593385157</v>
      </c>
      <c r="I176" s="240">
        <f t="shared" si="150"/>
        <v>1673305.2533278288</v>
      </c>
      <c r="J176" s="240">
        <f t="shared" si="150"/>
        <v>1672144.8059084436</v>
      </c>
      <c r="K176" s="240">
        <f t="shared" si="150"/>
        <v>1673685.2560930056</v>
      </c>
      <c r="L176" s="240">
        <f t="shared" si="150"/>
        <v>1671783.8127377233</v>
      </c>
      <c r="M176" s="240">
        <f t="shared" si="150"/>
        <v>1672215.5039213637</v>
      </c>
      <c r="N176" s="240">
        <f t="shared" si="150"/>
        <v>1837504.7225031352</v>
      </c>
      <c r="O176" s="242">
        <f t="shared" si="150"/>
        <v>1683289.781402929</v>
      </c>
    </row>
    <row r="177" spans="2:32">
      <c r="B177" s="103" t="s">
        <v>20</v>
      </c>
      <c r="C177" s="240">
        <f t="shared" ref="C177:O177" si="151">IFERROR(C164*10^7/C84,0)</f>
        <v>0</v>
      </c>
      <c r="D177" s="93">
        <f t="shared" si="151"/>
        <v>0</v>
      </c>
      <c r="E177" s="240">
        <f t="shared" si="151"/>
        <v>0</v>
      </c>
      <c r="F177" s="240">
        <f t="shared" si="151"/>
        <v>0</v>
      </c>
      <c r="G177" s="240">
        <f t="shared" si="151"/>
        <v>0</v>
      </c>
      <c r="H177" s="240">
        <f t="shared" si="151"/>
        <v>0</v>
      </c>
      <c r="I177" s="240">
        <f t="shared" si="151"/>
        <v>0</v>
      </c>
      <c r="J177" s="240">
        <f t="shared" si="151"/>
        <v>0</v>
      </c>
      <c r="K177" s="240">
        <f t="shared" si="151"/>
        <v>0</v>
      </c>
      <c r="L177" s="240">
        <f t="shared" si="151"/>
        <v>651084.37974852067</v>
      </c>
      <c r="M177" s="240">
        <f t="shared" si="151"/>
        <v>654171.70014965604</v>
      </c>
      <c r="N177" s="240">
        <f t="shared" si="151"/>
        <v>657865.4756020396</v>
      </c>
      <c r="O177" s="242">
        <f t="shared" si="151"/>
        <v>654617.67689741752</v>
      </c>
    </row>
    <row r="178" spans="2:32" ht="15.75" thickBot="1">
      <c r="B178" s="103" t="s">
        <v>18</v>
      </c>
      <c r="C178" s="240">
        <f t="shared" ref="C178:O178" si="152">IFERROR(C165*10^7/C85,0)</f>
        <v>95647.55923680999</v>
      </c>
      <c r="D178" s="93">
        <f t="shared" si="152"/>
        <v>89460.170654334768</v>
      </c>
      <c r="E178" s="240">
        <f t="shared" si="152"/>
        <v>91734.324203258671</v>
      </c>
      <c r="F178" s="240">
        <f t="shared" si="152"/>
        <v>92497.553438238727</v>
      </c>
      <c r="G178" s="240">
        <f t="shared" si="152"/>
        <v>93129.109727497969</v>
      </c>
      <c r="H178" s="240">
        <f t="shared" si="152"/>
        <v>92636.933314051159</v>
      </c>
      <c r="I178" s="240">
        <f t="shared" si="152"/>
        <v>97880.054285343285</v>
      </c>
      <c r="J178" s="240">
        <f t="shared" si="152"/>
        <v>98986.452772769786</v>
      </c>
      <c r="K178" s="240">
        <f t="shared" si="152"/>
        <v>98236.465270225977</v>
      </c>
      <c r="L178" s="240">
        <f t="shared" si="152"/>
        <v>95746.91767622417</v>
      </c>
      <c r="M178" s="240">
        <f t="shared" si="152"/>
        <v>94022.80851759603</v>
      </c>
      <c r="N178" s="240">
        <f t="shared" si="152"/>
        <v>97019.756503257508</v>
      </c>
      <c r="O178" s="242">
        <f t="shared" si="152"/>
        <v>95810.705313065861</v>
      </c>
    </row>
    <row r="179" spans="2:32" ht="15.75" thickBot="1">
      <c r="B179" s="109" t="s">
        <v>92</v>
      </c>
      <c r="C179" s="241">
        <f t="shared" ref="C179:O179" si="153">IFERROR(C166*10^7/C86,0)</f>
        <v>98904.389191192691</v>
      </c>
      <c r="D179" s="241">
        <f t="shared" si="153"/>
        <v>99144.569343584386</v>
      </c>
      <c r="E179" s="241">
        <f t="shared" si="153"/>
        <v>100606.21882901934</v>
      </c>
      <c r="F179" s="241">
        <f t="shared" si="153"/>
        <v>102788.52321598523</v>
      </c>
      <c r="G179" s="241">
        <f t="shared" si="153"/>
        <v>104653.44913590963</v>
      </c>
      <c r="H179" s="241">
        <f t="shared" si="153"/>
        <v>107327.05416111583</v>
      </c>
      <c r="I179" s="241">
        <f t="shared" si="153"/>
        <v>110359.31112074443</v>
      </c>
      <c r="J179" s="241">
        <f t="shared" si="153"/>
        <v>113941.64283624155</v>
      </c>
      <c r="K179" s="241">
        <f t="shared" si="153"/>
        <v>112202.14627886291</v>
      </c>
      <c r="L179" s="241">
        <f t="shared" si="153"/>
        <v>107575.20256776997</v>
      </c>
      <c r="M179" s="241">
        <f t="shared" si="153"/>
        <v>104763.50079882825</v>
      </c>
      <c r="N179" s="241">
        <f t="shared" si="153"/>
        <v>103454.20431715027</v>
      </c>
      <c r="O179" s="243">
        <f t="shared" si="153"/>
        <v>105460.63623006691</v>
      </c>
    </row>
    <row r="180" spans="2:32">
      <c r="B180" s="236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</row>
    <row r="181" spans="2:32">
      <c r="B181" s="236"/>
      <c r="C181" s="237"/>
      <c r="D181" s="237"/>
      <c r="E181" s="237"/>
      <c r="F181" s="237"/>
      <c r="G181" s="237"/>
      <c r="H181" s="237"/>
      <c r="I181" s="237"/>
      <c r="J181" s="237"/>
      <c r="K181" s="237"/>
      <c r="L181" s="237"/>
      <c r="M181" s="237"/>
      <c r="N181" s="237"/>
      <c r="O181" s="237"/>
    </row>
    <row r="182" spans="2:32" ht="15.75" thickBot="1"/>
    <row r="183" spans="2:32" ht="15.75" thickBot="1">
      <c r="B183" s="97" t="s">
        <v>94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9"/>
      <c r="S183" s="97" t="s">
        <v>94</v>
      </c>
      <c r="T183" s="98" t="s">
        <v>153</v>
      </c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9"/>
    </row>
    <row r="184" spans="2:32" ht="15.75" thickBot="1">
      <c r="B184" s="100" t="s">
        <v>93</v>
      </c>
      <c r="C184" s="101" t="s">
        <v>80</v>
      </c>
      <c r="D184" s="101" t="s">
        <v>81</v>
      </c>
      <c r="E184" s="101" t="s">
        <v>82</v>
      </c>
      <c r="F184" s="101" t="s">
        <v>83</v>
      </c>
      <c r="G184" s="101" t="s">
        <v>84</v>
      </c>
      <c r="H184" s="101" t="s">
        <v>85</v>
      </c>
      <c r="I184" s="101" t="s">
        <v>86</v>
      </c>
      <c r="J184" s="101" t="s">
        <v>87</v>
      </c>
      <c r="K184" s="101" t="s">
        <v>88</v>
      </c>
      <c r="L184" s="101" t="s">
        <v>89</v>
      </c>
      <c r="M184" s="101" t="s">
        <v>90</v>
      </c>
      <c r="N184" s="101" t="s">
        <v>91</v>
      </c>
      <c r="O184" s="102" t="s">
        <v>92</v>
      </c>
      <c r="S184" s="100" t="s">
        <v>93</v>
      </c>
      <c r="T184" s="101" t="s">
        <v>80</v>
      </c>
      <c r="U184" s="101" t="s">
        <v>81</v>
      </c>
      <c r="V184" s="101" t="s">
        <v>82</v>
      </c>
      <c r="W184" s="101" t="s">
        <v>83</v>
      </c>
      <c r="X184" s="101" t="s">
        <v>84</v>
      </c>
      <c r="Y184" s="101" t="s">
        <v>85</v>
      </c>
      <c r="Z184" s="101" t="s">
        <v>86</v>
      </c>
      <c r="AA184" s="101" t="s">
        <v>87</v>
      </c>
      <c r="AB184" s="101" t="s">
        <v>88</v>
      </c>
      <c r="AC184" s="101" t="s">
        <v>89</v>
      </c>
      <c r="AD184" s="101" t="s">
        <v>90</v>
      </c>
      <c r="AE184" s="101" t="s">
        <v>91</v>
      </c>
      <c r="AF184" s="102" t="s">
        <v>92</v>
      </c>
    </row>
    <row r="185" spans="2:32">
      <c r="B185" s="103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8"/>
      <c r="S185" s="103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8"/>
    </row>
    <row r="186" spans="2:32">
      <c r="B186" s="103" t="s">
        <v>15</v>
      </c>
      <c r="C186" s="167">
        <v>13.055939650850332</v>
      </c>
      <c r="D186" s="167">
        <v>12.414588640707318</v>
      </c>
      <c r="E186" s="167">
        <v>11.092736047625101</v>
      </c>
      <c r="F186" s="167">
        <v>9.4248011883856684</v>
      </c>
      <c r="G186" s="167">
        <v>10.500054491428177</v>
      </c>
      <c r="H186" s="167">
        <v>9.6791086510457323</v>
      </c>
      <c r="I186" s="167">
        <v>8.9203241335183474</v>
      </c>
      <c r="J186" s="167">
        <v>9.1455459890733337</v>
      </c>
      <c r="K186" s="167">
        <v>7.2640961668140394</v>
      </c>
      <c r="L186" s="167">
        <v>8.3122307099593673</v>
      </c>
      <c r="M186" s="167">
        <v>7.7364932619371158</v>
      </c>
      <c r="N186" s="167">
        <v>6.8528740217535145</v>
      </c>
      <c r="O186" s="157">
        <f>SUM(C186:N186)</f>
        <v>114.39879295309805</v>
      </c>
      <c r="S186" s="103" t="s">
        <v>15</v>
      </c>
      <c r="T186" s="167">
        <v>12.153774750000004</v>
      </c>
      <c r="U186" s="167">
        <v>11.480717243999999</v>
      </c>
      <c r="V186" s="167">
        <v>10.243177346999996</v>
      </c>
      <c r="W186" s="167">
        <v>8.7815164220000028</v>
      </c>
      <c r="X186" s="167">
        <v>9.5498206030000006</v>
      </c>
      <c r="Y186" s="167">
        <v>8.7015787140000036</v>
      </c>
      <c r="Z186" s="167">
        <v>8.0564222949999902</v>
      </c>
      <c r="AA186" s="167">
        <v>8.2715910689999941</v>
      </c>
      <c r="AB186" s="167">
        <v>6.4777445119999992</v>
      </c>
      <c r="AC186" s="167">
        <v>7.2296358829999967</v>
      </c>
      <c r="AD186" s="167">
        <v>6.7758917910000029</v>
      </c>
      <c r="AE186" s="167">
        <v>6.2494360489999981</v>
      </c>
      <c r="AF186" s="157">
        <f>SUM(T186:AE186)</f>
        <v>103.97130667899999</v>
      </c>
    </row>
    <row r="187" spans="2:32">
      <c r="B187" s="103" t="s">
        <v>77</v>
      </c>
      <c r="C187" s="167">
        <v>1.2883100394688056</v>
      </c>
      <c r="D187" s="167">
        <v>0.86436906998065066</v>
      </c>
      <c r="E187" s="167">
        <v>0.99671358672829113</v>
      </c>
      <c r="F187" s="167">
        <v>1.0595281384500703</v>
      </c>
      <c r="G187" s="167">
        <v>1.6094450466150045</v>
      </c>
      <c r="H187" s="167">
        <v>1.0998347393896435</v>
      </c>
      <c r="I187" s="167">
        <v>1.8536047399550397</v>
      </c>
      <c r="J187" s="167">
        <v>2.996513404515873</v>
      </c>
      <c r="K187" s="167">
        <v>2.5785886566524989</v>
      </c>
      <c r="L187" s="167">
        <v>1.9315139213149655</v>
      </c>
      <c r="M187" s="167">
        <v>1.143251789941744</v>
      </c>
      <c r="N187" s="167">
        <v>1.1821870238433119</v>
      </c>
      <c r="O187" s="157">
        <f t="shared" ref="O187:O190" si="154">SUM(C187:N187)</f>
        <v>18.603860156855898</v>
      </c>
      <c r="S187" s="103" t="s">
        <v>77</v>
      </c>
      <c r="T187" s="167">
        <v>0.96723219700000018</v>
      </c>
      <c r="U187" s="167">
        <v>0.8376535249999999</v>
      </c>
      <c r="V187" s="167">
        <v>0.95470454100000046</v>
      </c>
      <c r="W187" s="167">
        <v>1.0111525029999999</v>
      </c>
      <c r="X187" s="167">
        <v>0.91732292200000032</v>
      </c>
      <c r="Y187" s="167">
        <v>1.05489276</v>
      </c>
      <c r="Z187" s="167">
        <v>1.5721894900000002</v>
      </c>
      <c r="AA187" s="167">
        <v>2.8739949929999971</v>
      </c>
      <c r="AB187" s="167">
        <v>2.3183697300000006</v>
      </c>
      <c r="AC187" s="167">
        <v>1.8053352950000012</v>
      </c>
      <c r="AD187" s="167">
        <v>1.0962656989999999</v>
      </c>
      <c r="AE187" s="167">
        <v>1.0852753230000003</v>
      </c>
      <c r="AF187" s="157">
        <f t="shared" ref="AF187:AF190" si="155">SUM(T187:AE187)</f>
        <v>16.494388978</v>
      </c>
    </row>
    <row r="188" spans="2:32">
      <c r="B188" s="103" t="s">
        <v>16</v>
      </c>
      <c r="C188" s="167">
        <v>3.7655166135254249E-2</v>
      </c>
      <c r="D188" s="167">
        <v>4.4623272917879264E-2</v>
      </c>
      <c r="E188" s="167">
        <v>3.5842956533518898E-2</v>
      </c>
      <c r="F188" s="167">
        <v>3.5450096475329658E-2</v>
      </c>
      <c r="G188" s="167">
        <v>5.0812325476135511E-2</v>
      </c>
      <c r="H188" s="167">
        <v>8.5652045450466549E-2</v>
      </c>
      <c r="I188" s="167">
        <v>0.21210208644106998</v>
      </c>
      <c r="J188" s="167">
        <v>5.5806375183416641E-2</v>
      </c>
      <c r="K188" s="167">
        <v>6.2791050966211126E-2</v>
      </c>
      <c r="L188" s="167">
        <v>2.9852143307534381E-2</v>
      </c>
      <c r="M188" s="167">
        <v>5.093737668838582E-2</v>
      </c>
      <c r="N188" s="167">
        <v>5.681920545618821E-2</v>
      </c>
      <c r="O188" s="157">
        <f t="shared" si="154"/>
        <v>0.75834410103139038</v>
      </c>
      <c r="S188" s="103" t="s">
        <v>16</v>
      </c>
      <c r="T188" s="167">
        <v>3.5597542999999995E-2</v>
      </c>
      <c r="U188" s="167">
        <v>4.3666586999999986E-2</v>
      </c>
      <c r="V188" s="167">
        <v>3.4582771999999998E-2</v>
      </c>
      <c r="W188" s="167">
        <v>3.3970991999999992E-2</v>
      </c>
      <c r="X188" s="167">
        <v>4.9098863999999992E-2</v>
      </c>
      <c r="Y188" s="167">
        <v>8.184468900000004E-2</v>
      </c>
      <c r="Z188" s="167">
        <v>5.6171440999999996E-2</v>
      </c>
      <c r="AA188" s="167">
        <v>5.3594032999999999E-2</v>
      </c>
      <c r="AB188" s="167">
        <v>6.0320673000000026E-2</v>
      </c>
      <c r="AC188" s="167">
        <v>2.8567139999999987E-2</v>
      </c>
      <c r="AD188" s="167">
        <v>4.8939385000000002E-2</v>
      </c>
      <c r="AE188" s="167">
        <v>5.6132412999999978E-2</v>
      </c>
      <c r="AF188" s="157">
        <f t="shared" si="155"/>
        <v>0.582486532</v>
      </c>
    </row>
    <row r="189" spans="2:32">
      <c r="B189" s="103" t="s">
        <v>17</v>
      </c>
      <c r="C189" s="167">
        <v>0.28364448320381558</v>
      </c>
      <c r="D189" s="167">
        <v>0.56342926172458008</v>
      </c>
      <c r="E189" s="167">
        <v>0.44074753649641285</v>
      </c>
      <c r="F189" s="167">
        <v>0.91220140131577709</v>
      </c>
      <c r="G189" s="167">
        <v>0.40768858536811181</v>
      </c>
      <c r="H189" s="167">
        <v>0.42585490734781317</v>
      </c>
      <c r="I189" s="167">
        <v>0.43556421589349731</v>
      </c>
      <c r="J189" s="167">
        <v>0.34274481669569323</v>
      </c>
      <c r="K189" s="167">
        <v>0.50326952504694145</v>
      </c>
      <c r="L189" s="167">
        <v>0.92721038533208133</v>
      </c>
      <c r="M189" s="167">
        <v>0.60560156110148899</v>
      </c>
      <c r="N189" s="167">
        <v>0.40095015638377485</v>
      </c>
      <c r="O189" s="157">
        <f t="shared" si="154"/>
        <v>6.2489068359099873</v>
      </c>
      <c r="S189" s="103" t="s">
        <v>17</v>
      </c>
      <c r="T189" s="167">
        <v>0.26057058600000005</v>
      </c>
      <c r="U189" s="167">
        <v>0.50032759199999999</v>
      </c>
      <c r="V189" s="167">
        <v>0.40428861100000008</v>
      </c>
      <c r="W189" s="167">
        <v>0.75282489899999994</v>
      </c>
      <c r="X189" s="167">
        <v>0.34575690800000014</v>
      </c>
      <c r="Y189" s="167">
        <v>0.36170331999999994</v>
      </c>
      <c r="Z189" s="167">
        <v>0.36801969299999993</v>
      </c>
      <c r="AA189" s="167">
        <v>0.2897541010000001</v>
      </c>
      <c r="AB189" s="167">
        <v>0.4149854010000002</v>
      </c>
      <c r="AC189" s="167">
        <v>0.89742444300000002</v>
      </c>
      <c r="AD189" s="167">
        <v>0.58674127899999973</v>
      </c>
      <c r="AE189" s="167">
        <v>0.37479398799999997</v>
      </c>
      <c r="AF189" s="157">
        <f t="shared" si="155"/>
        <v>5.5571908210000007</v>
      </c>
    </row>
    <row r="190" spans="2:32">
      <c r="B190" s="103" t="s">
        <v>19</v>
      </c>
      <c r="C190" s="167">
        <v>-3.4359653389434144E-4</v>
      </c>
      <c r="D190" s="167">
        <v>-1.7182367731698317E-2</v>
      </c>
      <c r="E190" s="167">
        <v>3.1493531221710919E-2</v>
      </c>
      <c r="F190" s="167">
        <v>3.1436375770724057E-2</v>
      </c>
      <c r="G190" s="167">
        <v>7.8534891939582657E-2</v>
      </c>
      <c r="H190" s="167">
        <v>5.7191178024516315E-2</v>
      </c>
      <c r="I190" s="167">
        <v>3.194364832384726E-2</v>
      </c>
      <c r="J190" s="167">
        <v>2.3019131898794013E-2</v>
      </c>
      <c r="K190" s="167">
        <v>2.3675162262043518E-2</v>
      </c>
      <c r="L190" s="167">
        <v>4.1665565591942129E-2</v>
      </c>
      <c r="M190" s="167">
        <v>2.0702287913424079E-2</v>
      </c>
      <c r="N190" s="167">
        <v>2.7283014126576934E-2</v>
      </c>
      <c r="O190" s="157">
        <f t="shared" si="154"/>
        <v>0.3494188228075692</v>
      </c>
      <c r="S190" s="103" t="s">
        <v>19</v>
      </c>
      <c r="T190" s="167">
        <v>0</v>
      </c>
      <c r="U190" s="167">
        <v>-2.6630213E-2</v>
      </c>
      <c r="V190" s="167">
        <v>3.1235176E-2</v>
      </c>
      <c r="W190" s="167">
        <v>3.1105441999999997E-2</v>
      </c>
      <c r="X190" s="167">
        <v>7.7619310999999941E-2</v>
      </c>
      <c r="Y190" s="167">
        <v>5.6708923999999959E-2</v>
      </c>
      <c r="Z190" s="167">
        <v>3.1443369000000027E-2</v>
      </c>
      <c r="AA190" s="167">
        <v>2.2800360000000009E-2</v>
      </c>
      <c r="AB190" s="167">
        <v>2.3547281E-2</v>
      </c>
      <c r="AC190" s="167">
        <v>4.1461227000000003E-2</v>
      </c>
      <c r="AD190" s="167">
        <v>1.7828736999999588E-2</v>
      </c>
      <c r="AE190" s="167">
        <v>3.3867475000000077E-2</v>
      </c>
      <c r="AF190" s="157">
        <f t="shared" si="155"/>
        <v>0.34098708899999963</v>
      </c>
    </row>
    <row r="191" spans="2:32">
      <c r="B191" s="103" t="s">
        <v>20</v>
      </c>
      <c r="C191" s="156"/>
      <c r="D191" s="167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7">
        <f t="shared" ref="O191:O192" si="156">SUM(C191:K191)</f>
        <v>0</v>
      </c>
      <c r="R191" s="107"/>
      <c r="S191" s="103" t="s">
        <v>20</v>
      </c>
      <c r="T191" s="156"/>
      <c r="U191" s="167"/>
      <c r="V191" s="156"/>
      <c r="W191" s="156"/>
      <c r="X191" s="156"/>
      <c r="Y191" s="156"/>
      <c r="Z191" s="156"/>
      <c r="AA191" s="156"/>
      <c r="AB191" s="156"/>
      <c r="AC191" s="156"/>
      <c r="AD191" s="156"/>
      <c r="AE191" s="156"/>
      <c r="AF191" s="157">
        <f t="shared" ref="AF191:AF192" si="157">SUM(T191:AB191)</f>
        <v>0</v>
      </c>
    </row>
    <row r="192" spans="2:32" ht="15.75" thickBot="1">
      <c r="B192" s="103" t="s">
        <v>18</v>
      </c>
      <c r="C192" s="156"/>
      <c r="D192" s="167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7">
        <f t="shared" si="156"/>
        <v>0</v>
      </c>
      <c r="S192" s="103" t="s">
        <v>18</v>
      </c>
      <c r="T192" s="156"/>
      <c r="U192" s="167"/>
      <c r="V192" s="156"/>
      <c r="W192" s="156"/>
      <c r="X192" s="156"/>
      <c r="Y192" s="156"/>
      <c r="Z192" s="156"/>
      <c r="AA192" s="156"/>
      <c r="AB192" s="156"/>
      <c r="AC192" s="156"/>
      <c r="AD192" s="156"/>
      <c r="AE192" s="156"/>
      <c r="AF192" s="157">
        <f t="shared" si="157"/>
        <v>0</v>
      </c>
    </row>
    <row r="193" spans="2:32" ht="15.75" thickBot="1">
      <c r="B193" s="109" t="s">
        <v>92</v>
      </c>
      <c r="C193" s="158">
        <f>SUM(C185:C192)</f>
        <v>14.665205743124313</v>
      </c>
      <c r="D193" s="158">
        <f t="shared" ref="D193:N193" si="158">SUM(D185:D192)</f>
        <v>13.869827877598732</v>
      </c>
      <c r="E193" s="158">
        <f t="shared" si="158"/>
        <v>12.597533658605036</v>
      </c>
      <c r="F193" s="158">
        <f t="shared" si="158"/>
        <v>11.463417200397569</v>
      </c>
      <c r="G193" s="158">
        <f t="shared" si="158"/>
        <v>12.646535340827011</v>
      </c>
      <c r="H193" s="158">
        <f t="shared" si="158"/>
        <v>11.347641521258172</v>
      </c>
      <c r="I193" s="158">
        <f t="shared" si="158"/>
        <v>11.453538824131803</v>
      </c>
      <c r="J193" s="158">
        <f t="shared" si="158"/>
        <v>12.563629717367112</v>
      </c>
      <c r="K193" s="158">
        <f t="shared" si="158"/>
        <v>10.432420561741734</v>
      </c>
      <c r="L193" s="158">
        <f t="shared" si="158"/>
        <v>11.242472725505889</v>
      </c>
      <c r="M193" s="158">
        <f t="shared" si="158"/>
        <v>9.5569862775821601</v>
      </c>
      <c r="N193" s="158">
        <f t="shared" si="158"/>
        <v>8.5201134215633658</v>
      </c>
      <c r="O193" s="159">
        <f t="shared" ref="O193" si="159">SUM(O185:O192)</f>
        <v>140.35932286970288</v>
      </c>
      <c r="S193" s="109" t="s">
        <v>92</v>
      </c>
      <c r="T193" s="158">
        <f>SUM(T185:T192)</f>
        <v>13.417175076000003</v>
      </c>
      <c r="U193" s="158">
        <f t="shared" ref="U193:AF193" si="160">SUM(U185:U192)</f>
        <v>12.835734734999999</v>
      </c>
      <c r="V193" s="158">
        <f t="shared" si="160"/>
        <v>11.667988446999995</v>
      </c>
      <c r="W193" s="158">
        <f t="shared" si="160"/>
        <v>10.610570258000003</v>
      </c>
      <c r="X193" s="158">
        <f t="shared" si="160"/>
        <v>10.939618608</v>
      </c>
      <c r="Y193" s="158">
        <f t="shared" si="160"/>
        <v>10.256728407000004</v>
      </c>
      <c r="Z193" s="158">
        <f t="shared" si="160"/>
        <v>10.08424628799999</v>
      </c>
      <c r="AA193" s="158">
        <f t="shared" si="160"/>
        <v>11.51173455599999</v>
      </c>
      <c r="AB193" s="158">
        <f t="shared" si="160"/>
        <v>9.2949675970000012</v>
      </c>
      <c r="AC193" s="158">
        <f t="shared" si="160"/>
        <v>10.002423987999997</v>
      </c>
      <c r="AD193" s="158">
        <f t="shared" si="160"/>
        <v>8.525666891000002</v>
      </c>
      <c r="AE193" s="158">
        <f t="shared" si="160"/>
        <v>7.7995052479999982</v>
      </c>
      <c r="AF193" s="159">
        <f t="shared" si="160"/>
        <v>126.946360099</v>
      </c>
    </row>
    <row r="194" spans="2:32">
      <c r="B194" s="236"/>
      <c r="C194" s="237"/>
      <c r="D194" s="237"/>
      <c r="E194" s="237"/>
      <c r="F194" s="237"/>
      <c r="G194" s="237"/>
      <c r="H194" s="237"/>
      <c r="I194" s="237"/>
      <c r="J194" s="237"/>
      <c r="K194" s="237"/>
      <c r="L194" s="237"/>
      <c r="M194" s="237"/>
      <c r="N194" s="237"/>
      <c r="O194" s="237"/>
    </row>
    <row r="195" spans="2:32" ht="15.75" thickBot="1">
      <c r="B195" s="236"/>
      <c r="C195" s="237"/>
      <c r="D195" s="237"/>
      <c r="E195" s="237"/>
      <c r="F195" s="237"/>
      <c r="G195" s="237"/>
      <c r="H195" s="237"/>
      <c r="I195" s="237"/>
      <c r="J195" s="237"/>
      <c r="K195" s="237"/>
      <c r="L195" s="237"/>
      <c r="M195" s="237"/>
      <c r="N195" s="237"/>
      <c r="O195" s="237"/>
      <c r="S195" s="238"/>
      <c r="T195" s="238"/>
      <c r="U195" s="238"/>
      <c r="V195" s="238"/>
    </row>
    <row r="196" spans="2:32" ht="15.75" thickBot="1">
      <c r="B196" s="97" t="s">
        <v>94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9"/>
      <c r="S196" s="238"/>
      <c r="T196" s="238"/>
      <c r="U196" s="238"/>
      <c r="V196" s="238"/>
    </row>
    <row r="197" spans="2:32" ht="15.75" thickBot="1">
      <c r="B197" s="239" t="s">
        <v>108</v>
      </c>
      <c r="C197" s="101" t="s">
        <v>80</v>
      </c>
      <c r="D197" s="101" t="s">
        <v>81</v>
      </c>
      <c r="E197" s="101" t="s">
        <v>82</v>
      </c>
      <c r="F197" s="101" t="s">
        <v>83</v>
      </c>
      <c r="G197" s="101" t="s">
        <v>84</v>
      </c>
      <c r="H197" s="101" t="s">
        <v>85</v>
      </c>
      <c r="I197" s="101" t="s">
        <v>86</v>
      </c>
      <c r="J197" s="101" t="s">
        <v>87</v>
      </c>
      <c r="K197" s="101" t="s">
        <v>88</v>
      </c>
      <c r="L197" s="101" t="s">
        <v>89</v>
      </c>
      <c r="M197" s="101" t="s">
        <v>90</v>
      </c>
      <c r="N197" s="101" t="s">
        <v>91</v>
      </c>
      <c r="O197" s="102" t="s">
        <v>92</v>
      </c>
      <c r="S197" s="238"/>
      <c r="T197" s="238"/>
      <c r="U197" s="238"/>
      <c r="V197" s="238"/>
    </row>
    <row r="198" spans="2:32">
      <c r="B198" s="103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2"/>
      <c r="S198" s="238"/>
      <c r="T198" s="238"/>
      <c r="U198" s="238"/>
      <c r="V198" s="238"/>
    </row>
    <row r="199" spans="2:32">
      <c r="B199" s="103" t="s">
        <v>15</v>
      </c>
      <c r="C199" s="240">
        <f t="shared" ref="C199:O199" si="161">IFERROR(C186*10^7/C91,0)</f>
        <v>98605.555440334807</v>
      </c>
      <c r="D199" s="93">
        <f t="shared" si="161"/>
        <v>98458.012219306082</v>
      </c>
      <c r="E199" s="240">
        <f t="shared" si="161"/>
        <v>98741.702691169601</v>
      </c>
      <c r="F199" s="240">
        <f t="shared" si="161"/>
        <v>99098.501070313185</v>
      </c>
      <c r="G199" s="240">
        <f t="shared" si="161"/>
        <v>100347.07511688513</v>
      </c>
      <c r="H199" s="240">
        <f t="shared" si="161"/>
        <v>101180.66036037092</v>
      </c>
      <c r="I199" s="240">
        <f t="shared" si="161"/>
        <v>102613.56494538928</v>
      </c>
      <c r="J199" s="240">
        <f t="shared" si="161"/>
        <v>102870.68252632351</v>
      </c>
      <c r="K199" s="240">
        <f t="shared" si="161"/>
        <v>102202.92081174365</v>
      </c>
      <c r="L199" s="240">
        <f t="shared" si="161"/>
        <v>102143.6670715472</v>
      </c>
      <c r="M199" s="240">
        <f t="shared" si="161"/>
        <v>102141.97766347855</v>
      </c>
      <c r="N199" s="240">
        <f t="shared" si="161"/>
        <v>99143.099018260807</v>
      </c>
      <c r="O199" s="242">
        <f t="shared" si="161"/>
        <v>100403.32545496957</v>
      </c>
      <c r="S199" s="238"/>
      <c r="T199" s="238"/>
      <c r="U199" s="238"/>
      <c r="V199" s="238"/>
    </row>
    <row r="200" spans="2:32">
      <c r="B200" s="103" t="s">
        <v>77</v>
      </c>
      <c r="C200" s="240">
        <f t="shared" ref="C200:O200" si="162">IFERROR(C187*10^7/C92,0)</f>
        <v>147883.24620524031</v>
      </c>
      <c r="D200" s="93">
        <f t="shared" si="162"/>
        <v>149770.77355121405</v>
      </c>
      <c r="E200" s="240">
        <f t="shared" si="162"/>
        <v>149299.41850538464</v>
      </c>
      <c r="F200" s="240">
        <f t="shared" si="162"/>
        <v>149383.32738119728</v>
      </c>
      <c r="G200" s="240">
        <f t="shared" si="162"/>
        <v>146975.7124834999</v>
      </c>
      <c r="H200" s="240">
        <f t="shared" si="162"/>
        <v>150788.91444317534</v>
      </c>
      <c r="I200" s="240">
        <f t="shared" si="162"/>
        <v>119276.97493916674</v>
      </c>
      <c r="J200" s="240">
        <f t="shared" si="162"/>
        <v>127389.30797671262</v>
      </c>
      <c r="K200" s="240">
        <f t="shared" si="162"/>
        <v>144273.98446046191</v>
      </c>
      <c r="L200" s="240">
        <f t="shared" si="162"/>
        <v>149575.25821699412</v>
      </c>
      <c r="M200" s="240">
        <f t="shared" si="162"/>
        <v>150924.04777725021</v>
      </c>
      <c r="N200" s="240">
        <f t="shared" si="162"/>
        <v>152279.81746049505</v>
      </c>
      <c r="O200" s="242">
        <f t="shared" si="162"/>
        <v>141277.47175616235</v>
      </c>
      <c r="S200" s="238"/>
      <c r="T200" s="238"/>
      <c r="U200" s="238"/>
      <c r="V200" s="238"/>
    </row>
    <row r="201" spans="2:32">
      <c r="B201" s="103" t="s">
        <v>16</v>
      </c>
      <c r="C201" s="240">
        <f t="shared" ref="C201:O201" si="163">IFERROR(C188*10^7/C93,0)</f>
        <v>240097.97800362975</v>
      </c>
      <c r="D201" s="93">
        <f t="shared" si="163"/>
        <v>241978.59616007417</v>
      </c>
      <c r="E201" s="240">
        <f t="shared" si="163"/>
        <v>237716.91559569506</v>
      </c>
      <c r="F201" s="240">
        <f t="shared" si="163"/>
        <v>254973.74730789236</v>
      </c>
      <c r="G201" s="240">
        <f t="shared" si="163"/>
        <v>272667.79611830006</v>
      </c>
      <c r="H201" s="240">
        <f t="shared" si="163"/>
        <v>282777.7863081196</v>
      </c>
      <c r="I201" s="240">
        <f t="shared" si="163"/>
        <v>221385.95979782203</v>
      </c>
      <c r="J201" s="240">
        <f t="shared" si="163"/>
        <v>320450.04411953286</v>
      </c>
      <c r="K201" s="240">
        <f t="shared" si="163"/>
        <v>292926.74670900812</v>
      </c>
      <c r="L201" s="240">
        <f t="shared" si="163"/>
        <v>290871.5123018063</v>
      </c>
      <c r="M201" s="240">
        <f t="shared" si="163"/>
        <v>319793.51781685575</v>
      </c>
      <c r="N201" s="240">
        <f t="shared" si="163"/>
        <v>406102.38080091053</v>
      </c>
      <c r="O201" s="242">
        <f t="shared" si="163"/>
        <v>264350.91385965678</v>
      </c>
      <c r="S201" s="238"/>
      <c r="T201" s="238"/>
      <c r="U201" s="238"/>
      <c r="V201" s="238"/>
    </row>
    <row r="202" spans="2:32">
      <c r="B202" s="103" t="s">
        <v>17</v>
      </c>
      <c r="C202" s="240">
        <f t="shared" ref="C202:O202" si="164">IFERROR(C189*10^7/C94,0)</f>
        <v>106815.28805377235</v>
      </c>
      <c r="D202" s="93">
        <f t="shared" si="164"/>
        <v>106781.14544644328</v>
      </c>
      <c r="E202" s="240">
        <f t="shared" si="164"/>
        <v>105572.54063263987</v>
      </c>
      <c r="F202" s="240">
        <f t="shared" si="164"/>
        <v>110787.63368468623</v>
      </c>
      <c r="G202" s="240">
        <f t="shared" si="164"/>
        <v>109013.40278516099</v>
      </c>
      <c r="H202" s="240">
        <f t="shared" si="164"/>
        <v>108403.71980661243</v>
      </c>
      <c r="I202" s="240">
        <f t="shared" si="164"/>
        <v>108304.36920538869</v>
      </c>
      <c r="J202" s="240">
        <f t="shared" si="164"/>
        <v>108001.82129453562</v>
      </c>
      <c r="K202" s="240">
        <f t="shared" si="164"/>
        <v>106657.51126423686</v>
      </c>
      <c r="L202" s="240">
        <f t="shared" si="164"/>
        <v>103680.37796711102</v>
      </c>
      <c r="M202" s="240">
        <f t="shared" si="164"/>
        <v>103641.34455840514</v>
      </c>
      <c r="N202" s="240">
        <f t="shared" si="164"/>
        <v>102708.23709334261</v>
      </c>
      <c r="O202" s="242">
        <f t="shared" si="164"/>
        <v>106613.87372691427</v>
      </c>
      <c r="S202" s="238"/>
      <c r="T202" s="238"/>
      <c r="U202" s="238"/>
      <c r="V202" s="238"/>
    </row>
    <row r="203" spans="2:32">
      <c r="B203" s="103" t="s">
        <v>19</v>
      </c>
      <c r="C203" s="240">
        <f t="shared" ref="C203:O203" si="165">IFERROR(C190*10^7/C95,0)</f>
        <v>2579553.5577653265</v>
      </c>
      <c r="D203" s="93">
        <f t="shared" si="165"/>
        <v>2432040.7263550339</v>
      </c>
      <c r="E203" s="240">
        <f t="shared" si="165"/>
        <v>1525007.0804744915</v>
      </c>
      <c r="F203" s="240">
        <f t="shared" si="165"/>
        <v>1606765.9479030948</v>
      </c>
      <c r="G203" s="240">
        <f t="shared" si="165"/>
        <v>1665349.6515893876</v>
      </c>
      <c r="H203" s="240">
        <f t="shared" si="165"/>
        <v>1669357.2574101212</v>
      </c>
      <c r="I203" s="240">
        <f t="shared" si="165"/>
        <v>1666491.8105950095</v>
      </c>
      <c r="J203" s="240">
        <f t="shared" si="165"/>
        <v>1668415.7352173671</v>
      </c>
      <c r="K203" s="240">
        <f t="shared" si="165"/>
        <v>1671266.5722182353</v>
      </c>
      <c r="L203" s="240">
        <f t="shared" si="165"/>
        <v>1665290.391364594</v>
      </c>
      <c r="M203" s="240">
        <f t="shared" si="165"/>
        <v>1656050.5490300038</v>
      </c>
      <c r="N203" s="240">
        <f t="shared" si="165"/>
        <v>615172.29069039004</v>
      </c>
      <c r="O203" s="242">
        <f t="shared" si="165"/>
        <v>1435349.1884493446</v>
      </c>
      <c r="S203" s="238"/>
      <c r="T203" s="238"/>
      <c r="U203" s="238"/>
      <c r="V203" s="238"/>
    </row>
    <row r="204" spans="2:32">
      <c r="B204" s="103" t="s">
        <v>20</v>
      </c>
      <c r="C204" s="240">
        <f t="shared" ref="C204:O204" si="166">IFERROR(C191*10^7/C96,0)</f>
        <v>0</v>
      </c>
      <c r="D204" s="93">
        <f t="shared" si="166"/>
        <v>0</v>
      </c>
      <c r="E204" s="240">
        <f t="shared" si="166"/>
        <v>0</v>
      </c>
      <c r="F204" s="240">
        <f t="shared" si="166"/>
        <v>0</v>
      </c>
      <c r="G204" s="240">
        <f t="shared" si="166"/>
        <v>0</v>
      </c>
      <c r="H204" s="240">
        <f t="shared" si="166"/>
        <v>0</v>
      </c>
      <c r="I204" s="240">
        <f t="shared" si="166"/>
        <v>0</v>
      </c>
      <c r="J204" s="240">
        <f t="shared" si="166"/>
        <v>0</v>
      </c>
      <c r="K204" s="240">
        <f t="shared" si="166"/>
        <v>0</v>
      </c>
      <c r="L204" s="240">
        <f t="shared" si="166"/>
        <v>0</v>
      </c>
      <c r="M204" s="240">
        <f t="shared" si="166"/>
        <v>0</v>
      </c>
      <c r="N204" s="240">
        <f t="shared" si="166"/>
        <v>0</v>
      </c>
      <c r="O204" s="242">
        <f t="shared" si="166"/>
        <v>0</v>
      </c>
      <c r="S204" s="238"/>
      <c r="T204" s="238"/>
      <c r="U204" s="238"/>
      <c r="V204" s="238"/>
    </row>
    <row r="205" spans="2:32" ht="15.75" thickBot="1">
      <c r="B205" s="103" t="s">
        <v>18</v>
      </c>
      <c r="C205" s="240">
        <f t="shared" ref="C205:O205" si="167">IFERROR(C192*10^7/C97,0)</f>
        <v>0</v>
      </c>
      <c r="D205" s="93">
        <f t="shared" si="167"/>
        <v>0</v>
      </c>
      <c r="E205" s="240">
        <f t="shared" si="167"/>
        <v>0</v>
      </c>
      <c r="F205" s="240">
        <f t="shared" si="167"/>
        <v>0</v>
      </c>
      <c r="G205" s="240">
        <f t="shared" si="167"/>
        <v>0</v>
      </c>
      <c r="H205" s="240">
        <f t="shared" si="167"/>
        <v>0</v>
      </c>
      <c r="I205" s="240">
        <f t="shared" si="167"/>
        <v>0</v>
      </c>
      <c r="J205" s="240">
        <f t="shared" si="167"/>
        <v>0</v>
      </c>
      <c r="K205" s="240">
        <f t="shared" si="167"/>
        <v>0</v>
      </c>
      <c r="L205" s="240">
        <f t="shared" si="167"/>
        <v>0</v>
      </c>
      <c r="M205" s="240">
        <f t="shared" si="167"/>
        <v>0</v>
      </c>
      <c r="N205" s="240">
        <f t="shared" si="167"/>
        <v>0</v>
      </c>
      <c r="O205" s="242">
        <f t="shared" si="167"/>
        <v>0</v>
      </c>
      <c r="S205" s="238"/>
      <c r="T205" s="238"/>
      <c r="U205" s="238"/>
      <c r="V205" s="238"/>
    </row>
    <row r="206" spans="2:32" ht="15.75" thickBot="1">
      <c r="B206" s="109" t="s">
        <v>92</v>
      </c>
      <c r="C206" s="241">
        <f t="shared" ref="C206:O206" si="168">IFERROR(C193*10^7/C98,0)</f>
        <v>101891.55042417508</v>
      </c>
      <c r="D206" s="241">
        <f t="shared" si="168"/>
        <v>101007.16077996306</v>
      </c>
      <c r="E206" s="241">
        <f t="shared" si="168"/>
        <v>102117.48246944381</v>
      </c>
      <c r="F206" s="241">
        <f t="shared" si="168"/>
        <v>103656.48501034423</v>
      </c>
      <c r="G206" s="241">
        <f t="shared" si="168"/>
        <v>105774.66293549348</v>
      </c>
      <c r="H206" s="241">
        <f t="shared" si="168"/>
        <v>105834.04564275804</v>
      </c>
      <c r="I206" s="241">
        <f t="shared" si="168"/>
        <v>106573.81493016379</v>
      </c>
      <c r="J206" s="241">
        <f t="shared" si="168"/>
        <v>108506.13830783538</v>
      </c>
      <c r="K206" s="241">
        <f t="shared" si="168"/>
        <v>111107.10498254151</v>
      </c>
      <c r="L206" s="241">
        <f t="shared" si="168"/>
        <v>108768.17927030391</v>
      </c>
      <c r="M206" s="241">
        <f t="shared" si="168"/>
        <v>106982.0865435806</v>
      </c>
      <c r="N206" s="241">
        <f t="shared" si="168"/>
        <v>105222.52273612097</v>
      </c>
      <c r="O206" s="243">
        <f t="shared" si="168"/>
        <v>105311.59668574606</v>
      </c>
      <c r="S206" s="238"/>
      <c r="T206" s="238"/>
      <c r="U206" s="238"/>
      <c r="V206" s="238"/>
    </row>
    <row r="207" spans="2:32">
      <c r="B207" s="236"/>
      <c r="C207" s="237"/>
      <c r="D207" s="237"/>
      <c r="E207" s="237"/>
      <c r="F207" s="237"/>
      <c r="G207" s="237"/>
      <c r="H207" s="237"/>
      <c r="I207" s="237"/>
      <c r="J207" s="237"/>
      <c r="K207" s="237"/>
      <c r="L207" s="237"/>
      <c r="M207" s="237"/>
      <c r="N207" s="237"/>
      <c r="O207" s="237"/>
      <c r="S207" s="238"/>
      <c r="T207" s="238"/>
      <c r="U207" s="238"/>
      <c r="V207" s="238"/>
    </row>
    <row r="208" spans="2:32">
      <c r="B208" s="236"/>
      <c r="C208" s="237"/>
      <c r="D208" s="237"/>
      <c r="E208" s="237"/>
      <c r="F208" s="237"/>
      <c r="G208" s="237"/>
      <c r="H208" s="237"/>
      <c r="I208" s="237"/>
      <c r="J208" s="237"/>
      <c r="K208" s="237"/>
      <c r="L208" s="237"/>
      <c r="M208" s="237"/>
      <c r="N208" s="237"/>
      <c r="O208" s="237"/>
      <c r="S208" s="238"/>
      <c r="T208" s="238"/>
      <c r="U208" s="238"/>
      <c r="V208" s="238"/>
    </row>
    <row r="209" spans="2:22">
      <c r="B209" s="236"/>
      <c r="C209" s="237"/>
      <c r="D209" s="237"/>
      <c r="E209" s="237"/>
      <c r="F209" s="237"/>
      <c r="G209" s="237"/>
      <c r="H209" s="237"/>
      <c r="I209" s="237"/>
      <c r="J209" s="237"/>
      <c r="K209" s="237"/>
      <c r="L209" s="237"/>
      <c r="M209" s="237"/>
      <c r="N209" s="237"/>
      <c r="O209" s="237"/>
      <c r="S209" s="238"/>
      <c r="T209" s="238"/>
      <c r="U209" s="238"/>
      <c r="V209" s="238"/>
    </row>
    <row r="210" spans="2:22" ht="15.75" thickBot="1"/>
    <row r="211" spans="2:22" ht="15.75" thickBot="1">
      <c r="B211" s="97" t="s">
        <v>95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9"/>
    </row>
    <row r="212" spans="2:22" ht="15.75" thickBot="1">
      <c r="B212" s="100" t="str">
        <f>B184</f>
        <v>Value ( Rs Crs)</v>
      </c>
      <c r="C212" s="101" t="s">
        <v>80</v>
      </c>
      <c r="D212" s="101" t="s">
        <v>81</v>
      </c>
      <c r="E212" s="101" t="s">
        <v>82</v>
      </c>
      <c r="F212" s="101" t="s">
        <v>83</v>
      </c>
      <c r="G212" s="101" t="s">
        <v>84</v>
      </c>
      <c r="H212" s="101" t="s">
        <v>85</v>
      </c>
      <c r="I212" s="101" t="s">
        <v>86</v>
      </c>
      <c r="J212" s="101" t="s">
        <v>87</v>
      </c>
      <c r="K212" s="101" t="s">
        <v>88</v>
      </c>
      <c r="L212" s="101" t="s">
        <v>89</v>
      </c>
      <c r="M212" s="101" t="s">
        <v>90</v>
      </c>
      <c r="N212" s="101" t="s">
        <v>91</v>
      </c>
      <c r="O212" s="102" t="s">
        <v>92</v>
      </c>
    </row>
    <row r="213" spans="2:22">
      <c r="B213" s="103"/>
      <c r="C213" s="104"/>
      <c r="D213" s="104"/>
      <c r="E213" s="104"/>
      <c r="F213" s="104"/>
      <c r="G213" s="104"/>
      <c r="H213" s="104"/>
      <c r="I213" s="104"/>
      <c r="J213" s="104"/>
      <c r="K213" s="105"/>
      <c r="L213" s="105"/>
      <c r="M213" s="105"/>
      <c r="N213" s="105"/>
      <c r="O213" s="106"/>
    </row>
    <row r="214" spans="2:22">
      <c r="B214" s="103" t="s">
        <v>15</v>
      </c>
      <c r="C214" s="160">
        <f t="shared" ref="C214:O214" si="169">C159/C186-1</f>
        <v>-0.31082245251241269</v>
      </c>
      <c r="D214" s="160">
        <f t="shared" si="169"/>
        <v>-0.25223163785213509</v>
      </c>
      <c r="E214" s="160">
        <f t="shared" si="169"/>
        <v>-0.16312471740561296</v>
      </c>
      <c r="F214" s="160">
        <f t="shared" si="169"/>
        <v>-4.7113801536628919E-2</v>
      </c>
      <c r="G214" s="160">
        <f t="shared" si="169"/>
        <v>-8.3696888262068669E-2</v>
      </c>
      <c r="H214" s="160">
        <f t="shared" si="169"/>
        <v>-0.1530393080490533</v>
      </c>
      <c r="I214" s="160">
        <f t="shared" si="169"/>
        <v>4.2408354389795511E-2</v>
      </c>
      <c r="J214" s="160">
        <f t="shared" si="169"/>
        <v>-0.15170017489176935</v>
      </c>
      <c r="K214" s="160">
        <f t="shared" si="169"/>
        <v>0.13246695091840754</v>
      </c>
      <c r="L214" s="160">
        <f t="shared" si="169"/>
        <v>5.5497068140673012E-3</v>
      </c>
      <c r="M214" s="160">
        <f t="shared" si="169"/>
        <v>0.26277579225201819</v>
      </c>
      <c r="N214" s="160">
        <f t="shared" si="169"/>
        <v>0.5387610461767498</v>
      </c>
      <c r="O214" s="162">
        <f t="shared" si="169"/>
        <v>-5.3136501677271686E-2</v>
      </c>
    </row>
    <row r="215" spans="2:22">
      <c r="B215" s="103" t="s">
        <v>77</v>
      </c>
      <c r="C215" s="160">
        <f t="shared" ref="C215:O215" si="170">C160/C187-1</f>
        <v>-0.30644392268176601</v>
      </c>
      <c r="D215" s="160">
        <f t="shared" si="170"/>
        <v>0.23029409959558267</v>
      </c>
      <c r="E215" s="160">
        <f t="shared" si="170"/>
        <v>4.9017218006697227E-4</v>
      </c>
      <c r="F215" s="160">
        <f t="shared" si="170"/>
        <v>0.18084493069668128</v>
      </c>
      <c r="G215" s="160">
        <f t="shared" si="170"/>
        <v>-0.2687459431935143</v>
      </c>
      <c r="H215" s="160">
        <f t="shared" si="170"/>
        <v>0.61420772459558082</v>
      </c>
      <c r="I215" s="160">
        <f t="shared" si="170"/>
        <v>0.48413678126089166</v>
      </c>
      <c r="J215" s="160">
        <f t="shared" si="170"/>
        <v>8.2169369738499975E-2</v>
      </c>
      <c r="K215" s="160">
        <f t="shared" si="170"/>
        <v>0.36154009897061257</v>
      </c>
      <c r="L215" s="160">
        <f t="shared" si="170"/>
        <v>0.10690696990765969</v>
      </c>
      <c r="M215" s="160">
        <f t="shared" si="170"/>
        <v>-9.2517031592879606E-2</v>
      </c>
      <c r="N215" s="160">
        <f t="shared" si="170"/>
        <v>6.4215057729166025E-2</v>
      </c>
      <c r="O215" s="162">
        <f t="shared" si="170"/>
        <v>0.13394411742708923</v>
      </c>
    </row>
    <row r="216" spans="2:22">
      <c r="B216" s="103" t="s">
        <v>16</v>
      </c>
      <c r="C216" s="160">
        <f t="shared" ref="C216:O216" si="171">C161/C188-1</f>
        <v>0.48904472815153199</v>
      </c>
      <c r="D216" s="160">
        <f t="shared" si="171"/>
        <v>-0.93565307245082918</v>
      </c>
      <c r="E216" s="160">
        <f t="shared" si="171"/>
        <v>-0.16893423754975145</v>
      </c>
      <c r="F216" s="160">
        <f t="shared" si="171"/>
        <v>1.6493241878392526</v>
      </c>
      <c r="G216" s="160">
        <f t="shared" si="171"/>
        <v>0.74236934270754285</v>
      </c>
      <c r="H216" s="160">
        <f t="shared" si="171"/>
        <v>-0.38439011288715275</v>
      </c>
      <c r="I216" s="160">
        <f t="shared" si="171"/>
        <v>-0.72499196493943963</v>
      </c>
      <c r="J216" s="160">
        <f t="shared" si="171"/>
        <v>0.16833235005102609</v>
      </c>
      <c r="K216" s="160">
        <f t="shared" si="171"/>
        <v>0.28490176457041905</v>
      </c>
      <c r="L216" s="160">
        <f t="shared" si="171"/>
        <v>1.063848497073363</v>
      </c>
      <c r="M216" s="160">
        <f t="shared" si="171"/>
        <v>-0.51179107909136268</v>
      </c>
      <c r="N216" s="160">
        <f t="shared" si="171"/>
        <v>-0.34898079087955536</v>
      </c>
      <c r="O216" s="162">
        <f t="shared" si="171"/>
        <v>-0.14077314882313896</v>
      </c>
    </row>
    <row r="217" spans="2:22">
      <c r="B217" s="103" t="s">
        <v>17</v>
      </c>
      <c r="C217" s="160">
        <f t="shared" ref="C217:O217" si="172">C162/C189-1</f>
        <v>0.45734968116690777</v>
      </c>
      <c r="D217" s="160">
        <f t="shared" si="172"/>
        <v>-0.44168578118668811</v>
      </c>
      <c r="E217" s="160">
        <f t="shared" si="172"/>
        <v>-0.3138216417405626</v>
      </c>
      <c r="F217" s="160">
        <f t="shared" si="172"/>
        <v>-0.31455127256141657</v>
      </c>
      <c r="G217" s="160">
        <f t="shared" si="172"/>
        <v>0.12606951023396662</v>
      </c>
      <c r="H217" s="160">
        <f t="shared" si="172"/>
        <v>0.52929754250181782</v>
      </c>
      <c r="I217" s="160">
        <f t="shared" si="172"/>
        <v>-8.0223430103528948E-2</v>
      </c>
      <c r="J217" s="160">
        <f t="shared" si="172"/>
        <v>-5.1494440253154306E-2</v>
      </c>
      <c r="K217" s="160">
        <f t="shared" si="172"/>
        <v>-0.19316640972715537</v>
      </c>
      <c r="L217" s="160">
        <f t="shared" si="172"/>
        <v>-0.51885374815768182</v>
      </c>
      <c r="M217" s="160">
        <f t="shared" si="172"/>
        <v>-0.22654887998193407</v>
      </c>
      <c r="N217" s="160">
        <f t="shared" si="172"/>
        <v>0.44018514193069791</v>
      </c>
      <c r="O217" s="162">
        <f t="shared" si="172"/>
        <v>-0.13749324257163575</v>
      </c>
    </row>
    <row r="218" spans="2:22">
      <c r="B218" s="103" t="s">
        <v>19</v>
      </c>
      <c r="C218" s="160">
        <f t="shared" ref="C218:O218" si="173">C163/C190-1</f>
        <v>-63.275450995021416</v>
      </c>
      <c r="D218" s="160">
        <f t="shared" si="173"/>
        <v>-2.294677652188307</v>
      </c>
      <c r="E218" s="160">
        <f t="shared" si="173"/>
        <v>-0.11772249976068283</v>
      </c>
      <c r="F218" s="160">
        <f t="shared" si="173"/>
        <v>-0.34868167013784057</v>
      </c>
      <c r="G218" s="160">
        <f t="shared" si="173"/>
        <v>-0.76810435318536863</v>
      </c>
      <c r="H218" s="160">
        <f t="shared" si="173"/>
        <v>-0.51186844574160584</v>
      </c>
      <c r="I218" s="160">
        <f t="shared" si="173"/>
        <v>-0.66527240531938592</v>
      </c>
      <c r="J218" s="160">
        <f t="shared" si="173"/>
        <v>-0.4822112219992174</v>
      </c>
      <c r="K218" s="160">
        <f t="shared" si="173"/>
        <v>-0.25584964171575098</v>
      </c>
      <c r="L218" s="160">
        <f t="shared" si="173"/>
        <v>-0.552073144652375</v>
      </c>
      <c r="M218" s="160">
        <f t="shared" si="173"/>
        <v>-0.13621440148947217</v>
      </c>
      <c r="N218" s="160">
        <f t="shared" si="173"/>
        <v>-0.23322287014763488</v>
      </c>
      <c r="O218" s="162">
        <f t="shared" si="173"/>
        <v>-0.32537148659136372</v>
      </c>
    </row>
    <row r="219" spans="2:22">
      <c r="B219" s="103" t="s">
        <v>20</v>
      </c>
      <c r="C219" s="160"/>
      <c r="D219" s="160"/>
      <c r="E219" s="160"/>
      <c r="F219" s="160"/>
      <c r="G219" s="160"/>
      <c r="H219" s="160"/>
      <c r="I219" s="160"/>
      <c r="J219" s="160"/>
      <c r="K219" s="160"/>
      <c r="L219" s="160"/>
      <c r="M219" s="160"/>
      <c r="N219" s="161"/>
      <c r="O219" s="163"/>
    </row>
    <row r="220" spans="2:22" ht="15.75" thickBot="1">
      <c r="B220" s="103" t="s">
        <v>18</v>
      </c>
      <c r="C220" s="160"/>
      <c r="D220" s="160"/>
      <c r="E220" s="160"/>
      <c r="F220" s="160"/>
      <c r="G220" s="160"/>
      <c r="H220" s="160"/>
      <c r="I220" s="160"/>
      <c r="J220" s="160"/>
      <c r="K220" s="160"/>
      <c r="L220" s="161"/>
      <c r="M220" s="161"/>
      <c r="N220" s="161"/>
      <c r="O220" s="163"/>
    </row>
    <row r="221" spans="2:22" ht="15.75" thickBot="1">
      <c r="B221" s="109" t="s">
        <v>92</v>
      </c>
      <c r="C221" s="168">
        <f t="shared" ref="C221:J221" si="174">C166/C193-1</f>
        <v>-0.28750927615071098</v>
      </c>
      <c r="D221" s="164">
        <f t="shared" si="174"/>
        <v>-0.22461020658375397</v>
      </c>
      <c r="E221" s="164">
        <f t="shared" si="174"/>
        <v>-0.15172005432176627</v>
      </c>
      <c r="F221" s="164">
        <f t="shared" si="174"/>
        <v>-3.2818026762820085E-2</v>
      </c>
      <c r="G221" s="164">
        <f t="shared" si="174"/>
        <v>-9.3308810955923582E-2</v>
      </c>
      <c r="H221" s="164">
        <f t="shared" si="174"/>
        <v>-4.4368491695079837E-2</v>
      </c>
      <c r="I221" s="164">
        <f t="shared" si="174"/>
        <v>0.10461931400131941</v>
      </c>
      <c r="J221" s="164">
        <f t="shared" si="174"/>
        <v>-7.0511519585456095E-2</v>
      </c>
      <c r="K221" s="165">
        <f t="shared" ref="K221" si="175">SUM(K213:K220)</f>
        <v>0.32989276301653281</v>
      </c>
      <c r="L221" s="165">
        <f t="shared" ref="L221" si="176">SUM(L213:L220)</f>
        <v>0.10537828098503321</v>
      </c>
      <c r="M221" s="165">
        <f t="shared" ref="M221:N221" si="177">SUM(M213:M220)</f>
        <v>-0.70429559990363033</v>
      </c>
      <c r="N221" s="165">
        <f t="shared" si="177"/>
        <v>0.4609575848094235</v>
      </c>
      <c r="O221" s="166">
        <f>O166/O193-1</f>
        <v>-1.632536280518071E-2</v>
      </c>
    </row>
    <row r="224" spans="2:22" ht="15.75" thickBot="1"/>
    <row r="225" spans="2:18" ht="15.75" thickBot="1">
      <c r="B225" s="97" t="s">
        <v>162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9"/>
    </row>
    <row r="226" spans="2:18" ht="15.75" thickBot="1">
      <c r="B226" s="129" t="s">
        <v>103</v>
      </c>
      <c r="C226" s="111" t="s">
        <v>80</v>
      </c>
      <c r="D226" s="101" t="s">
        <v>81</v>
      </c>
      <c r="E226" s="101" t="s">
        <v>82</v>
      </c>
      <c r="F226" s="101" t="s">
        <v>83</v>
      </c>
      <c r="G226" s="101" t="s">
        <v>84</v>
      </c>
      <c r="H226" s="101" t="s">
        <v>85</v>
      </c>
      <c r="I226" s="101" t="s">
        <v>86</v>
      </c>
      <c r="J226" s="101" t="s">
        <v>87</v>
      </c>
      <c r="K226" s="101" t="s">
        <v>88</v>
      </c>
      <c r="L226" s="101" t="s">
        <v>89</v>
      </c>
      <c r="M226" s="101" t="s">
        <v>90</v>
      </c>
      <c r="N226" s="101" t="s">
        <v>91</v>
      </c>
      <c r="O226" s="102" t="s">
        <v>92</v>
      </c>
    </row>
    <row r="227" spans="2:18" s="114" customFormat="1">
      <c r="B227" s="113" t="s">
        <v>101</v>
      </c>
      <c r="C227" s="170">
        <f>C133</f>
        <v>20.284570314999996</v>
      </c>
      <c r="D227" s="170">
        <f t="shared" ref="D227:N227" si="178">D133</f>
        <v>20.202506590999935</v>
      </c>
      <c r="E227" s="170">
        <f t="shared" si="178"/>
        <v>22.088434752000175</v>
      </c>
      <c r="F227" s="170">
        <f t="shared" si="178"/>
        <v>16.273562964</v>
      </c>
      <c r="G227" s="170">
        <f t="shared" si="178"/>
        <v>17.318713301999676</v>
      </c>
      <c r="H227" s="170">
        <f t="shared" si="178"/>
        <v>16.276955010999981</v>
      </c>
      <c r="I227" s="170">
        <f t="shared" si="178"/>
        <v>12.747842917000098</v>
      </c>
      <c r="J227" s="170">
        <f t="shared" si="178"/>
        <v>14.325115019000071</v>
      </c>
      <c r="K227" s="170">
        <f t="shared" si="178"/>
        <v>17.53341847499987</v>
      </c>
      <c r="L227" s="170">
        <f t="shared" si="178"/>
        <v>16.115609518000444</v>
      </c>
      <c r="M227" s="170">
        <f t="shared" si="178"/>
        <v>16.285716499000195</v>
      </c>
      <c r="N227" s="170">
        <f t="shared" si="178"/>
        <v>16.386720483000037</v>
      </c>
      <c r="O227" s="178">
        <f>SUM(C227:N227)</f>
        <v>205.83916584600047</v>
      </c>
    </row>
    <row r="228" spans="2:18" s="114" customFormat="1">
      <c r="B228" s="115" t="s">
        <v>105</v>
      </c>
      <c r="C228" s="172">
        <f>C21</f>
        <v>2175.2056633029993</v>
      </c>
      <c r="D228" s="172">
        <f t="shared" ref="D228:N228" si="179">D21</f>
        <v>2219.2162818000429</v>
      </c>
      <c r="E228" s="172">
        <f t="shared" si="179"/>
        <v>2364.9322429000581</v>
      </c>
      <c r="F228" s="172">
        <f t="shared" si="179"/>
        <v>1741.928564846</v>
      </c>
      <c r="G228" s="172">
        <f t="shared" si="179"/>
        <v>1897.6217682000413</v>
      </c>
      <c r="H228" s="172">
        <f t="shared" si="179"/>
        <v>1758.0234341400119</v>
      </c>
      <c r="I228" s="172">
        <f t="shared" si="179"/>
        <v>1248.5786361200371</v>
      </c>
      <c r="J228" s="172">
        <f t="shared" si="179"/>
        <v>1371.6259161200339</v>
      </c>
      <c r="K228" s="172">
        <f t="shared" si="179"/>
        <v>1685.7938133652683</v>
      </c>
      <c r="L228" s="172">
        <f t="shared" si="179"/>
        <v>1534.3266117040391</v>
      </c>
      <c r="M228" s="172">
        <f t="shared" si="179"/>
        <v>1568.2802946048494</v>
      </c>
      <c r="N228" s="172">
        <f t="shared" si="179"/>
        <v>1628.0141576000558</v>
      </c>
      <c r="O228" s="178">
        <f>SUM(C228:N228)</f>
        <v>21193.547384703441</v>
      </c>
      <c r="R228" s="235"/>
    </row>
    <row r="229" spans="2:18" s="128" customFormat="1">
      <c r="B229" s="131" t="s">
        <v>104</v>
      </c>
      <c r="C229" s="133">
        <f>C227*10^7/C228</f>
        <v>93253.574396263517</v>
      </c>
      <c r="D229" s="134">
        <f t="shared" ref="D229:O229" si="180">D227*10^7/D228</f>
        <v>91034.419478093172</v>
      </c>
      <c r="E229" s="134">
        <f t="shared" si="180"/>
        <v>93399.8630122006</v>
      </c>
      <c r="F229" s="134">
        <f t="shared" si="180"/>
        <v>93422.676982386518</v>
      </c>
      <c r="G229" s="134">
        <f t="shared" si="180"/>
        <v>91265.359579148717</v>
      </c>
      <c r="H229" s="134">
        <f t="shared" si="180"/>
        <v>92586.678282603927</v>
      </c>
      <c r="I229" s="134">
        <f t="shared" si="180"/>
        <v>102098.83901757335</v>
      </c>
      <c r="J229" s="134">
        <f t="shared" si="180"/>
        <v>104438.93521290428</v>
      </c>
      <c r="K229" s="134">
        <f t="shared" si="180"/>
        <v>104006.89773560598</v>
      </c>
      <c r="L229" s="134">
        <f t="shared" si="180"/>
        <v>105033.76135868674</v>
      </c>
      <c r="M229" s="134">
        <f t="shared" si="180"/>
        <v>103844.42471811848</v>
      </c>
      <c r="N229" s="134">
        <f t="shared" si="180"/>
        <v>100654.65589781229</v>
      </c>
      <c r="O229" s="135">
        <f t="shared" si="180"/>
        <v>97123.507504253881</v>
      </c>
    </row>
    <row r="230" spans="2:18" s="128" customFormat="1">
      <c r="B230" s="127" t="s">
        <v>106</v>
      </c>
      <c r="C230" s="176">
        <v>8.709909912697249</v>
      </c>
      <c r="D230" s="177">
        <v>9.7258397576517339</v>
      </c>
      <c r="E230" s="228">
        <v>11.06880889341792</v>
      </c>
      <c r="F230" s="177">
        <v>8.2242508499864204</v>
      </c>
      <c r="G230" s="177">
        <v>8.9362383169286055</v>
      </c>
      <c r="H230" s="177">
        <v>9.0675895952943151</v>
      </c>
      <c r="I230" s="177">
        <v>6.5554752491008665</v>
      </c>
      <c r="J230" s="177">
        <v>7.0758897464356263</v>
      </c>
      <c r="K230" s="177">
        <v>8.5209006238761393</v>
      </c>
      <c r="L230" s="177">
        <v>7.7515586449860381</v>
      </c>
      <c r="M230" s="177">
        <v>8.6775716186795666</v>
      </c>
      <c r="N230" s="177">
        <v>8.703912793708465</v>
      </c>
      <c r="O230" s="178">
        <f>SUM(C230:N230)</f>
        <v>103.01794600276295</v>
      </c>
      <c r="Q230" s="230"/>
    </row>
    <row r="231" spans="2:18" s="128" customFormat="1">
      <c r="B231" s="127"/>
      <c r="C231" s="176"/>
      <c r="D231" s="177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8"/>
    </row>
    <row r="232" spans="2:18" s="128" customFormat="1">
      <c r="B232" s="112" t="s">
        <v>46</v>
      </c>
      <c r="C232" s="120">
        <f>(C230+C231)/C227</f>
        <v>0.42938597058950079</v>
      </c>
      <c r="D232" s="121">
        <f t="shared" ref="D232:O232" si="181">(D230+D231)/D227</f>
        <v>0.48141747727405876</v>
      </c>
      <c r="E232" s="121">
        <f t="shared" si="181"/>
        <v>0.50111332096157724</v>
      </c>
      <c r="F232" s="121">
        <f t="shared" si="181"/>
        <v>0.50537493652618781</v>
      </c>
      <c r="G232" s="121">
        <f t="shared" si="181"/>
        <v>0.51598742707385759</v>
      </c>
      <c r="H232" s="121">
        <f t="shared" si="181"/>
        <v>0.55708144362176037</v>
      </c>
      <c r="I232" s="121">
        <f t="shared" si="181"/>
        <v>0.51424192247919087</v>
      </c>
      <c r="J232" s="121">
        <f t="shared" si="181"/>
        <v>0.49394994295337541</v>
      </c>
      <c r="K232" s="121">
        <f t="shared" si="181"/>
        <v>0.48598056540005113</v>
      </c>
      <c r="L232" s="121">
        <f t="shared" si="181"/>
        <v>0.48099692638543273</v>
      </c>
      <c r="M232" s="121">
        <f t="shared" si="181"/>
        <v>0.5328332725927224</v>
      </c>
      <c r="N232" s="121">
        <f t="shared" si="181"/>
        <v>0.53115648141665106</v>
      </c>
      <c r="O232" s="121">
        <f t="shared" si="181"/>
        <v>0.50047786376979542</v>
      </c>
    </row>
    <row r="233" spans="2:18" s="128" customFormat="1">
      <c r="B233" s="127" t="s">
        <v>100</v>
      </c>
      <c r="C233" s="176">
        <v>5.0449325518943606</v>
      </c>
      <c r="D233" s="177">
        <f>4.73067974893123+0.1</f>
        <v>4.8306797489312299</v>
      </c>
      <c r="E233" s="177">
        <f>3.53221505735477+0.04</f>
        <v>3.5722150573547702</v>
      </c>
      <c r="F233" s="177">
        <f>2.96067001001317+0.18</f>
        <v>3.1406700100131704</v>
      </c>
      <c r="G233" s="177">
        <f>3.07313445520688+0.17</f>
        <v>3.2431344552068797</v>
      </c>
      <c r="H233" s="177">
        <f>2.27414360966069+0.28</f>
        <v>2.5541436096606898</v>
      </c>
      <c r="I233" s="366">
        <v>1.9624922906928681</v>
      </c>
      <c r="J233" s="366">
        <v>3.0991665935685297</v>
      </c>
      <c r="K233" s="366">
        <v>3.3850281954596095</v>
      </c>
      <c r="L233" s="177">
        <v>3.5094033727464069</v>
      </c>
      <c r="M233" s="177">
        <v>3.0997299646201828</v>
      </c>
      <c r="N233" s="177">
        <v>3.0525065355391909</v>
      </c>
      <c r="O233" s="178">
        <f>SUM(C233:N233)</f>
        <v>40.494102385687881</v>
      </c>
      <c r="R233" s="230"/>
    </row>
    <row r="234" spans="2:18" s="114" customFormat="1">
      <c r="B234" s="112" t="s">
        <v>46</v>
      </c>
      <c r="C234" s="116">
        <f>C233/C227</f>
        <v>0.24870788355638687</v>
      </c>
      <c r="D234" s="117">
        <f t="shared" ref="D234:O234" si="182">D233/D227</f>
        <v>0.23911289062928762</v>
      </c>
      <c r="E234" s="117">
        <f t="shared" si="182"/>
        <v>0.16172332251977678</v>
      </c>
      <c r="F234" s="117">
        <f t="shared" si="182"/>
        <v>0.19299215647863274</v>
      </c>
      <c r="G234" s="117">
        <f t="shared" si="182"/>
        <v>0.18726185939185314</v>
      </c>
      <c r="H234" s="117">
        <f t="shared" si="182"/>
        <v>0.15691777779901692</v>
      </c>
      <c r="I234" s="117">
        <f t="shared" si="182"/>
        <v>0.15394700918974724</v>
      </c>
      <c r="J234" s="117">
        <f t="shared" si="182"/>
        <v>0.21634497101474998</v>
      </c>
      <c r="K234" s="117">
        <f t="shared" si="182"/>
        <v>0.19306150710348768</v>
      </c>
      <c r="L234" s="117">
        <f t="shared" si="182"/>
        <v>0.21776423465873593</v>
      </c>
      <c r="M234" s="117">
        <f t="shared" si="182"/>
        <v>0.19033427020607169</v>
      </c>
      <c r="N234" s="117">
        <f t="shared" si="182"/>
        <v>0.18627928258774731</v>
      </c>
      <c r="O234" s="118">
        <f t="shared" si="182"/>
        <v>0.19672690675390578</v>
      </c>
      <c r="P234" s="119"/>
      <c r="R234" s="286"/>
    </row>
    <row r="235" spans="2:18" s="128" customFormat="1">
      <c r="B235" s="131" t="s">
        <v>102</v>
      </c>
      <c r="C235" s="173">
        <v>3.1991380410000003</v>
      </c>
      <c r="D235" s="174">
        <v>3.6392938030000002</v>
      </c>
      <c r="E235" s="174">
        <v>3.7560000000000002</v>
      </c>
      <c r="F235" s="174">
        <v>2.4554441689999997</v>
      </c>
      <c r="G235" s="174">
        <v>2.7077999999999998</v>
      </c>
      <c r="H235" s="174">
        <v>1.4895</v>
      </c>
      <c r="I235" s="174">
        <v>1.1341383889999999</v>
      </c>
      <c r="J235" s="174">
        <v>1.5113996640000003</v>
      </c>
      <c r="K235" s="174">
        <v>1.8701224690000013</v>
      </c>
      <c r="L235" s="174">
        <v>2.64314545</v>
      </c>
      <c r="M235" s="174">
        <v>1.5332259509999999</v>
      </c>
      <c r="N235" s="174">
        <v>1.5739000000000001</v>
      </c>
      <c r="O235" s="175">
        <f>SUM(C235:N235)</f>
        <v>27.513107935999997</v>
      </c>
      <c r="Q235" s="114"/>
    </row>
    <row r="236" spans="2:18" s="114" customFormat="1">
      <c r="B236" s="112" t="s">
        <v>96</v>
      </c>
      <c r="C236" s="116">
        <f>C235/C227</f>
        <v>0.15771288182694743</v>
      </c>
      <c r="D236" s="117">
        <f t="shared" ref="D236:O236" si="183">D235/D227</f>
        <v>0.18014070613501387</v>
      </c>
      <c r="E236" s="117">
        <f t="shared" si="183"/>
        <v>0.17004373746581944</v>
      </c>
      <c r="F236" s="117">
        <f t="shared" si="183"/>
        <v>0.15088546831642688</v>
      </c>
      <c r="G236" s="117">
        <f t="shared" si="183"/>
        <v>0.15635110719728515</v>
      </c>
      <c r="H236" s="117">
        <f t="shared" si="183"/>
        <v>9.1509744850519936E-2</v>
      </c>
      <c r="I236" s="117">
        <f t="shared" si="183"/>
        <v>8.8967082225931013E-2</v>
      </c>
      <c r="J236" s="117">
        <f t="shared" si="183"/>
        <v>0.10550698280574781</v>
      </c>
      <c r="K236" s="117">
        <f t="shared" si="183"/>
        <v>0.10666045937741843</v>
      </c>
      <c r="L236" s="117">
        <f t="shared" si="183"/>
        <v>0.16401150989962371</v>
      </c>
      <c r="M236" s="117">
        <f t="shared" si="183"/>
        <v>9.4145440336882144E-2</v>
      </c>
      <c r="N236" s="117">
        <f t="shared" si="183"/>
        <v>9.6047284240479994E-2</v>
      </c>
      <c r="O236" s="118">
        <f t="shared" si="183"/>
        <v>0.13366313365544852</v>
      </c>
      <c r="P236" s="119"/>
    </row>
    <row r="237" spans="2:18" s="114" customFormat="1" ht="15.75">
      <c r="B237" s="140" t="s">
        <v>36</v>
      </c>
      <c r="C237" s="179">
        <f>C233-C235</f>
        <v>1.8457945108943603</v>
      </c>
      <c r="D237" s="180">
        <f t="shared" ref="D237:N237" si="184">D233-D235</f>
        <v>1.1913859459312297</v>
      </c>
      <c r="E237" s="181">
        <f t="shared" si="184"/>
        <v>-0.18378494264523004</v>
      </c>
      <c r="F237" s="181">
        <f t="shared" si="184"/>
        <v>0.68522584101317063</v>
      </c>
      <c r="G237" s="181">
        <f t="shared" si="184"/>
        <v>0.53533445520687994</v>
      </c>
      <c r="H237" s="181">
        <f t="shared" si="184"/>
        <v>1.0646436096606897</v>
      </c>
      <c r="I237" s="181">
        <f t="shared" si="184"/>
        <v>0.82835390169286827</v>
      </c>
      <c r="J237" s="181">
        <f t="shared" si="184"/>
        <v>1.5877669295685295</v>
      </c>
      <c r="K237" s="181">
        <f t="shared" si="184"/>
        <v>1.5149057264596082</v>
      </c>
      <c r="L237" s="181">
        <f t="shared" si="184"/>
        <v>0.86625792274640689</v>
      </c>
      <c r="M237" s="181">
        <f t="shared" si="184"/>
        <v>1.5665040136201829</v>
      </c>
      <c r="N237" s="181">
        <f t="shared" si="184"/>
        <v>1.4786065355391909</v>
      </c>
      <c r="O237" s="182">
        <f>SUM(C237:N237)</f>
        <v>12.980994449687884</v>
      </c>
      <c r="P237" s="119"/>
    </row>
    <row r="238" spans="2:18" s="114" customFormat="1">
      <c r="B238" s="112" t="s">
        <v>96</v>
      </c>
      <c r="C238" s="116">
        <f>C237/C227</f>
        <v>9.0995001729439431E-2</v>
      </c>
      <c r="D238" s="117">
        <f t="shared" ref="D238:O238" si="185">D237/D227</f>
        <v>5.8972184494273758E-2</v>
      </c>
      <c r="E238" s="117">
        <f t="shared" si="185"/>
        <v>-8.3204149460426452E-3</v>
      </c>
      <c r="F238" s="117">
        <f t="shared" si="185"/>
        <v>4.210668816220587E-2</v>
      </c>
      <c r="G238" s="117">
        <f t="shared" si="185"/>
        <v>3.0910752194567969E-2</v>
      </c>
      <c r="H238" s="117">
        <f t="shared" si="185"/>
        <v>6.540803294849698E-2</v>
      </c>
      <c r="I238" s="117">
        <f t="shared" si="185"/>
        <v>6.4979926963816215E-2</v>
      </c>
      <c r="J238" s="117">
        <f t="shared" si="185"/>
        <v>0.11083798820900215</v>
      </c>
      <c r="K238" s="117">
        <f t="shared" si="185"/>
        <v>8.6401047726069255E-2</v>
      </c>
      <c r="L238" s="117">
        <f t="shared" si="185"/>
        <v>5.3752724759112212E-2</v>
      </c>
      <c r="M238" s="117">
        <f t="shared" si="185"/>
        <v>9.6188829869189543E-2</v>
      </c>
      <c r="N238" s="117">
        <f t="shared" si="185"/>
        <v>9.023199834726732E-2</v>
      </c>
      <c r="O238" s="118">
        <f t="shared" si="185"/>
        <v>6.3063773098457246E-2</v>
      </c>
      <c r="P238" s="119"/>
    </row>
    <row r="239" spans="2:18" s="114" customFormat="1">
      <c r="B239" s="130" t="s">
        <v>99</v>
      </c>
      <c r="C239" s="183">
        <v>2.5121948278047359</v>
      </c>
      <c r="D239" s="184">
        <v>2.4814327194900718</v>
      </c>
      <c r="E239" s="185">
        <v>2.8680222328894867</v>
      </c>
      <c r="F239" s="185">
        <v>2.3585866132342668</v>
      </c>
      <c r="G239" s="185">
        <v>2.4119371508963154</v>
      </c>
      <c r="H239" s="185">
        <v>2.5288701479715199</v>
      </c>
      <c r="I239" s="185">
        <v>2.2506556796358459</v>
      </c>
      <c r="J239" s="185">
        <v>2.4872946013927617</v>
      </c>
      <c r="K239" s="185">
        <v>2.4050508790648131</v>
      </c>
      <c r="L239" s="185">
        <v>2.4154835792045382</v>
      </c>
      <c r="M239" s="185">
        <v>2.4653403495248232</v>
      </c>
      <c r="N239" s="185">
        <v>2.5464910712697697</v>
      </c>
      <c r="O239" s="186">
        <f>SUM(C239:N239)</f>
        <v>29.731359852378944</v>
      </c>
    </row>
    <row r="240" spans="2:18" s="114" customFormat="1">
      <c r="B240" s="112" t="s">
        <v>96</v>
      </c>
      <c r="C240" s="116">
        <f>C239/C227</f>
        <v>0.1238475742297101</v>
      </c>
      <c r="D240" s="117">
        <f t="shared" ref="D240:O240" si="186">D239/D227</f>
        <v>0.12282796237747703</v>
      </c>
      <c r="E240" s="117">
        <f t="shared" si="186"/>
        <v>0.12984271022779367</v>
      </c>
      <c r="F240" s="117">
        <f t="shared" si="186"/>
        <v>0.14493363367640372</v>
      </c>
      <c r="G240" s="117">
        <f t="shared" si="186"/>
        <v>0.13926768743367471</v>
      </c>
      <c r="H240" s="117">
        <f t="shared" si="186"/>
        <v>0.15536506344476023</v>
      </c>
      <c r="I240" s="117">
        <f t="shared" si="186"/>
        <v>0.17655188366295654</v>
      </c>
      <c r="J240" s="117">
        <f t="shared" si="186"/>
        <v>0.17363173685473005</v>
      </c>
      <c r="K240" s="117">
        <f t="shared" si="186"/>
        <v>0.13716953613432939</v>
      </c>
      <c r="L240" s="117">
        <f t="shared" si="186"/>
        <v>0.149884717454003</v>
      </c>
      <c r="M240" s="117">
        <f t="shared" si="186"/>
        <v>0.15138052720469339</v>
      </c>
      <c r="N240" s="117">
        <f t="shared" si="186"/>
        <v>0.15539967706848717</v>
      </c>
      <c r="O240" s="118">
        <f t="shared" si="186"/>
        <v>0.1444397606751992</v>
      </c>
      <c r="P240" s="119"/>
    </row>
    <row r="241" spans="2:16" s="114" customFormat="1">
      <c r="B241" s="136" t="s">
        <v>52</v>
      </c>
      <c r="C241" s="364">
        <f>C237-C239</f>
        <v>-0.6664003169103756</v>
      </c>
      <c r="D241" s="138">
        <f>D237-D239</f>
        <v>-1.2900467735588421</v>
      </c>
      <c r="E241" s="138">
        <f t="shared" ref="E241:O241" si="187">E237-E239</f>
        <v>-3.0518071755347167</v>
      </c>
      <c r="F241" s="138">
        <f t="shared" si="187"/>
        <v>-1.6733607722210961</v>
      </c>
      <c r="G241" s="138">
        <f t="shared" si="187"/>
        <v>-1.8766026956894355</v>
      </c>
      <c r="H241" s="138">
        <f t="shared" si="187"/>
        <v>-1.4642265383108302</v>
      </c>
      <c r="I241" s="138">
        <f t="shared" si="187"/>
        <v>-1.4223017779429776</v>
      </c>
      <c r="J241" s="138">
        <f t="shared" si="187"/>
        <v>-0.89952767182423221</v>
      </c>
      <c r="K241" s="138">
        <f t="shared" si="187"/>
        <v>-0.89014515260520488</v>
      </c>
      <c r="L241" s="138">
        <f t="shared" si="187"/>
        <v>-1.5492256564581313</v>
      </c>
      <c r="M241" s="138">
        <f t="shared" si="187"/>
        <v>-0.89883633590464029</v>
      </c>
      <c r="N241" s="138">
        <f t="shared" si="187"/>
        <v>-1.0678845357305788</v>
      </c>
      <c r="O241" s="189">
        <f t="shared" si="187"/>
        <v>-16.75036540269106</v>
      </c>
    </row>
    <row r="242" spans="2:16" s="114" customFormat="1">
      <c r="B242" s="112" t="s">
        <v>46</v>
      </c>
      <c r="C242" s="116">
        <f>C241/C227</f>
        <v>-3.2852572500270669E-2</v>
      </c>
      <c r="D242" s="117">
        <f t="shared" ref="D242:O242" si="188">D241/D227</f>
        <v>-6.3855777883203277E-2</v>
      </c>
      <c r="E242" s="117">
        <f t="shared" si="188"/>
        <v>-0.13816312517383633</v>
      </c>
      <c r="F242" s="117">
        <f t="shared" si="188"/>
        <v>-0.10282694551419785</v>
      </c>
      <c r="G242" s="117">
        <f t="shared" si="188"/>
        <v>-0.10835693523910675</v>
      </c>
      <c r="H242" s="117">
        <f t="shared" si="188"/>
        <v>-8.9957030496263246E-2</v>
      </c>
      <c r="I242" s="117">
        <f t="shared" si="188"/>
        <v>-0.11157195669914033</v>
      </c>
      <c r="J242" s="117">
        <f t="shared" si="188"/>
        <v>-6.2793748645727912E-2</v>
      </c>
      <c r="K242" s="117">
        <f t="shared" si="188"/>
        <v>-5.0768488408260128E-2</v>
      </c>
      <c r="L242" s="117">
        <f t="shared" si="188"/>
        <v>-9.6131992694890797E-2</v>
      </c>
      <c r="M242" s="117">
        <f t="shared" si="188"/>
        <v>-5.5191697335503859E-2</v>
      </c>
      <c r="N242" s="117">
        <f t="shared" si="188"/>
        <v>-6.5167678721219841E-2</v>
      </c>
      <c r="O242" s="118">
        <f t="shared" si="188"/>
        <v>-8.1375987576741943E-2</v>
      </c>
    </row>
    <row r="243" spans="2:16" s="114" customFormat="1">
      <c r="B243" s="130" t="s">
        <v>118</v>
      </c>
      <c r="C243" s="183">
        <v>1.1157568544471019</v>
      </c>
      <c r="D243" s="184">
        <v>1.0792648169437846</v>
      </c>
      <c r="E243" s="185">
        <v>0.77321248016412047</v>
      </c>
      <c r="F243" s="185">
        <v>0.93884414516426207</v>
      </c>
      <c r="G243" s="185">
        <v>1.19</v>
      </c>
      <c r="H243" s="185">
        <v>0.86</v>
      </c>
      <c r="I243" s="185">
        <v>0.90678541214993913</v>
      </c>
      <c r="J243" s="185">
        <v>1.1399999999999999</v>
      </c>
      <c r="K243" s="185">
        <v>1.2972670575930583</v>
      </c>
      <c r="L243" s="185">
        <v>1.1256791825379637</v>
      </c>
      <c r="M243" s="185">
        <v>0.76892660601312657</v>
      </c>
      <c r="N243" s="185">
        <v>0.81054321912574157</v>
      </c>
      <c r="O243" s="186">
        <f>SUM(C243:N243)</f>
        <v>12.006279774139099</v>
      </c>
    </row>
    <row r="244" spans="2:16" s="114" customFormat="1">
      <c r="B244" s="112" t="s">
        <v>46</v>
      </c>
      <c r="C244" s="120">
        <f>C243/C227</f>
        <v>5.500520036266305E-2</v>
      </c>
      <c r="D244" s="121">
        <f t="shared" ref="D244:O244" si="189">D243/D227</f>
        <v>5.3422322229291538E-2</v>
      </c>
      <c r="E244" s="121">
        <f t="shared" si="189"/>
        <v>3.5005308834484244E-2</v>
      </c>
      <c r="F244" s="121">
        <f t="shared" si="189"/>
        <v>5.7691370183723834E-2</v>
      </c>
      <c r="G244" s="121">
        <f t="shared" si="189"/>
        <v>6.8711802040316627E-2</v>
      </c>
      <c r="H244" s="121">
        <f t="shared" si="189"/>
        <v>5.2835435093284415E-2</v>
      </c>
      <c r="I244" s="121">
        <f t="shared" si="189"/>
        <v>7.1132458883744198E-2</v>
      </c>
      <c r="J244" s="121">
        <f t="shared" si="189"/>
        <v>7.9580512860662159E-2</v>
      </c>
      <c r="K244" s="121">
        <f t="shared" si="189"/>
        <v>7.3988256165948146E-2</v>
      </c>
      <c r="L244" s="121">
        <f t="shared" si="189"/>
        <v>6.985023937696111E-2</v>
      </c>
      <c r="M244" s="121">
        <f t="shared" si="189"/>
        <v>4.7214785180641712E-2</v>
      </c>
      <c r="N244" s="121">
        <f t="shared" si="189"/>
        <v>4.9463418868138861E-2</v>
      </c>
      <c r="O244" s="122">
        <f t="shared" si="189"/>
        <v>5.8328451365381326E-2</v>
      </c>
    </row>
    <row r="245" spans="2:16" s="132" customFormat="1" ht="15.75">
      <c r="B245" s="141" t="s">
        <v>98</v>
      </c>
      <c r="C245" s="190">
        <f>C241-C243</f>
        <v>-1.7821571713574775</v>
      </c>
      <c r="D245" s="191">
        <f t="shared" ref="D245:N245" si="190">D241-D243</f>
        <v>-2.369311590502627</v>
      </c>
      <c r="E245" s="191">
        <f t="shared" si="190"/>
        <v>-3.8250196556988372</v>
      </c>
      <c r="F245" s="365">
        <f t="shared" si="190"/>
        <v>-2.6122049173853581</v>
      </c>
      <c r="G245" s="365">
        <f t="shared" si="190"/>
        <v>-3.0666026956894354</v>
      </c>
      <c r="H245" s="365">
        <f t="shared" si="190"/>
        <v>-2.32422653831083</v>
      </c>
      <c r="I245" s="191">
        <f t="shared" si="190"/>
        <v>-2.3290871900929169</v>
      </c>
      <c r="J245" s="191">
        <f t="shared" si="190"/>
        <v>-2.0395276718242323</v>
      </c>
      <c r="K245" s="191">
        <f t="shared" si="190"/>
        <v>-2.1874122101982634</v>
      </c>
      <c r="L245" s="191">
        <f t="shared" si="190"/>
        <v>-2.674904838996095</v>
      </c>
      <c r="M245" s="191">
        <f t="shared" si="190"/>
        <v>-1.6677629419177669</v>
      </c>
      <c r="N245" s="191">
        <f t="shared" si="190"/>
        <v>-1.8784277548563204</v>
      </c>
      <c r="O245" s="192">
        <f>SUM(C245:N245)</f>
        <v>-28.756645176830162</v>
      </c>
    </row>
    <row r="246" spans="2:16" s="114" customFormat="1" ht="15.75" thickBot="1">
      <c r="B246" s="123" t="s">
        <v>46</v>
      </c>
      <c r="C246" s="124">
        <f>C245/C227</f>
        <v>-8.7857772862933711E-2</v>
      </c>
      <c r="D246" s="125">
        <f t="shared" ref="D246:O246" si="191">D245/D227</f>
        <v>-0.11727810011249483</v>
      </c>
      <c r="E246" s="125">
        <f t="shared" si="191"/>
        <v>-0.17316843400832058</v>
      </c>
      <c r="F246" s="125">
        <f t="shared" si="191"/>
        <v>-0.16051831569792169</v>
      </c>
      <c r="G246" s="125">
        <f t="shared" si="191"/>
        <v>-0.17706873727942338</v>
      </c>
      <c r="H246" s="125">
        <f t="shared" si="191"/>
        <v>-0.14279246558954767</v>
      </c>
      <c r="I246" s="125">
        <f t="shared" si="191"/>
        <v>-0.18270441558288453</v>
      </c>
      <c r="J246" s="125">
        <f t="shared" si="191"/>
        <v>-0.1423742615063901</v>
      </c>
      <c r="K246" s="125">
        <f t="shared" si="191"/>
        <v>-0.12475674457420829</v>
      </c>
      <c r="L246" s="125">
        <f t="shared" si="191"/>
        <v>-0.16598223207185189</v>
      </c>
      <c r="M246" s="125">
        <f t="shared" si="191"/>
        <v>-0.10240648251614556</v>
      </c>
      <c r="N246" s="125">
        <f t="shared" si="191"/>
        <v>-0.1146310975893587</v>
      </c>
      <c r="O246" s="126">
        <f t="shared" si="191"/>
        <v>-0.13970443894212328</v>
      </c>
      <c r="P246" s="119"/>
    </row>
    <row r="248" spans="2:16">
      <c r="C248" s="368">
        <f>SUM(C237:E237)</f>
        <v>2.85339551418036</v>
      </c>
      <c r="F248" s="368">
        <f>SUM(F237:H237)</f>
        <v>2.2852039058807403</v>
      </c>
      <c r="I248" s="368">
        <f>SUM(I237:K237)</f>
        <v>3.931026557721006</v>
      </c>
    </row>
    <row r="249" spans="2:16">
      <c r="C249" s="234">
        <f>SUM(C227:E227)</f>
        <v>62.575511658000103</v>
      </c>
      <c r="F249" s="234">
        <f>SUM(F227:H227)</f>
        <v>49.869231276999656</v>
      </c>
      <c r="I249" s="234">
        <f>SUM(I227:K227)</f>
        <v>44.606376411000042</v>
      </c>
    </row>
    <row r="250" spans="2:16">
      <c r="C250" s="333">
        <f>C248/C249</f>
        <v>4.5599235844451323E-2</v>
      </c>
      <c r="F250" s="333">
        <f>F248/F249</f>
        <v>4.5823924840299401E-2</v>
      </c>
      <c r="I250" s="333">
        <f>I248/I249</f>
        <v>8.812700949973612E-2</v>
      </c>
    </row>
    <row r="254" spans="2:16" ht="15.75" thickBot="1"/>
    <row r="255" spans="2:16" ht="15.75" thickBot="1">
      <c r="B255" s="97" t="s">
        <v>115</v>
      </c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9"/>
    </row>
    <row r="256" spans="2:16" ht="15.75" thickBot="1">
      <c r="B256" s="129" t="s">
        <v>103</v>
      </c>
      <c r="C256" s="111" t="s">
        <v>80</v>
      </c>
      <c r="D256" s="101" t="s">
        <v>81</v>
      </c>
      <c r="E256" s="101" t="s">
        <v>82</v>
      </c>
      <c r="F256" s="101" t="s">
        <v>83</v>
      </c>
      <c r="G256" s="101" t="s">
        <v>84</v>
      </c>
      <c r="H256" s="101" t="s">
        <v>85</v>
      </c>
      <c r="I256" s="101" t="s">
        <v>86</v>
      </c>
      <c r="J256" s="101" t="s">
        <v>87</v>
      </c>
      <c r="K256" s="101" t="s">
        <v>88</v>
      </c>
      <c r="L256" s="101" t="s">
        <v>89</v>
      </c>
      <c r="M256" s="101" t="s">
        <v>90</v>
      </c>
      <c r="N256" s="101" t="s">
        <v>91</v>
      </c>
      <c r="O256" s="102" t="s">
        <v>92</v>
      </c>
    </row>
    <row r="257" spans="2:18" s="114" customFormat="1">
      <c r="B257" s="113" t="s">
        <v>101</v>
      </c>
      <c r="C257" s="170">
        <v>15.623524066859609</v>
      </c>
      <c r="D257" s="170">
        <v>15.481225436555489</v>
      </c>
      <c r="E257" s="170">
        <v>16.667919085801437</v>
      </c>
      <c r="F257" s="170">
        <v>15.816058936605559</v>
      </c>
      <c r="G257" s="170">
        <v>15.824488028933155</v>
      </c>
      <c r="H257" s="170">
        <v>15.761962500137951</v>
      </c>
      <c r="I257" s="170">
        <v>16.665538973008463</v>
      </c>
      <c r="J257" s="170">
        <v>15.742658887659323</v>
      </c>
      <c r="K257" s="170">
        <v>14.623690468999813</v>
      </c>
      <c r="L257" s="170">
        <v>16.004772845999778</v>
      </c>
      <c r="M257" s="170">
        <v>14.893259393999786</v>
      </c>
      <c r="N257" s="170">
        <v>16.506385540999801</v>
      </c>
      <c r="O257" s="178">
        <f>SUM(C257:N257)</f>
        <v>189.61148416556017</v>
      </c>
    </row>
    <row r="258" spans="2:18" s="114" customFormat="1">
      <c r="B258" s="115" t="s">
        <v>105</v>
      </c>
      <c r="C258" s="172">
        <v>1490.6099498999993</v>
      </c>
      <c r="D258" s="172">
        <v>1538.4068430000009</v>
      </c>
      <c r="E258" s="172">
        <v>1685.2729776300901</v>
      </c>
      <c r="F258" s="172">
        <v>1629.1348363000798</v>
      </c>
      <c r="G258" s="172">
        <v>1643.5195188000803</v>
      </c>
      <c r="H258" s="172">
        <v>1634.17028300009</v>
      </c>
      <c r="I258" s="172">
        <v>1729.5467528631023</v>
      </c>
      <c r="J258" s="172">
        <v>1610.9551312000381</v>
      </c>
      <c r="K258" s="172">
        <v>1463.682381600049</v>
      </c>
      <c r="L258" s="172">
        <v>1652.6503841700708</v>
      </c>
      <c r="M258" s="172">
        <v>1579.1302829000899</v>
      </c>
      <c r="N258" s="172">
        <v>1745.4893178344696</v>
      </c>
      <c r="O258" s="178">
        <f>SUM(C258:N258)</f>
        <v>19402.568659198158</v>
      </c>
      <c r="R258" s="235"/>
    </row>
    <row r="259" spans="2:18" s="128" customFormat="1">
      <c r="B259" s="131" t="s">
        <v>104</v>
      </c>
      <c r="C259" s="133">
        <f>C257*10^7/C258</f>
        <v>104812.95974112977</v>
      </c>
      <c r="D259" s="134">
        <f t="shared" ref="D259:N259" si="192">D257*10^7/D258</f>
        <v>100631.54299525877</v>
      </c>
      <c r="E259" s="134">
        <f t="shared" si="192"/>
        <v>98903.378307534775</v>
      </c>
      <c r="F259" s="134">
        <f t="shared" si="192"/>
        <v>97082.56544636497</v>
      </c>
      <c r="G259" s="134">
        <f t="shared" si="192"/>
        <v>96284.150251446248</v>
      </c>
      <c r="H259" s="134">
        <f t="shared" si="192"/>
        <v>96452.387270201536</v>
      </c>
      <c r="I259" s="134">
        <f t="shared" si="192"/>
        <v>96357.840257398231</v>
      </c>
      <c r="J259" s="134">
        <f t="shared" si="192"/>
        <v>97722.516181640938</v>
      </c>
      <c r="K259" s="134">
        <f t="shared" si="192"/>
        <v>99910.271878887273</v>
      </c>
      <c r="L259" s="134">
        <f t="shared" si="192"/>
        <v>96843.064929531756</v>
      </c>
      <c r="M259" s="134">
        <f t="shared" si="192"/>
        <v>94313.050387762516</v>
      </c>
      <c r="N259" s="134">
        <f t="shared" si="192"/>
        <v>94565.949916429992</v>
      </c>
      <c r="O259" s="135">
        <f t="shared" ref="O259" si="193">O257*10^7/O258</f>
        <v>97724.939154214124</v>
      </c>
    </row>
    <row r="260" spans="2:18" s="128" customFormat="1">
      <c r="B260" s="127" t="s">
        <v>106</v>
      </c>
      <c r="C260" s="176">
        <f>6.58301107725236-0.15</f>
        <v>6.4330110772523597</v>
      </c>
      <c r="D260" s="177">
        <f>(6.66759881658765-0.13)-0.053</f>
        <v>6.48459881658765</v>
      </c>
      <c r="E260" s="228">
        <v>7.1485864771014542</v>
      </c>
      <c r="F260" s="177">
        <v>6.8101747248821711</v>
      </c>
      <c r="G260" s="177">
        <v>6.936112176932995</v>
      </c>
      <c r="H260" s="177">
        <v>6.7611161123395638</v>
      </c>
      <c r="I260" s="177">
        <v>7.035853171508025</v>
      </c>
      <c r="J260" s="177">
        <v>6.1216786783230441</v>
      </c>
      <c r="K260" s="177">
        <v>5.8677327334151412</v>
      </c>
      <c r="L260" s="177">
        <v>6.0860521867469322</v>
      </c>
      <c r="M260" s="177">
        <v>5.9831393414963943</v>
      </c>
      <c r="N260" s="177">
        <v>7.0127981524330574</v>
      </c>
      <c r="O260" s="178">
        <f>SUM(C260:N260)</f>
        <v>78.680853649018786</v>
      </c>
      <c r="Q260" s="230"/>
    </row>
    <row r="261" spans="2:18" s="128" customFormat="1">
      <c r="B261" s="127"/>
      <c r="C261" s="176"/>
      <c r="D261" s="177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8"/>
    </row>
    <row r="262" spans="2:18" s="128" customFormat="1">
      <c r="B262" s="112" t="s">
        <v>46</v>
      </c>
      <c r="C262" s="120">
        <f>(C260+C261)/C257</f>
        <v>0.41175160288567475</v>
      </c>
      <c r="D262" s="121">
        <f t="shared" ref="D262:O262" si="194">(D260+D261)/D257</f>
        <v>0.41886857362568369</v>
      </c>
      <c r="E262" s="121">
        <f t="shared" si="194"/>
        <v>0.42888296015253496</v>
      </c>
      <c r="F262" s="121">
        <f t="shared" si="194"/>
        <v>0.43058607407691984</v>
      </c>
      <c r="G262" s="121">
        <f t="shared" si="194"/>
        <v>0.43831510784116084</v>
      </c>
      <c r="H262" s="121">
        <f t="shared" si="194"/>
        <v>0.42895141466555253</v>
      </c>
      <c r="I262" s="121">
        <f t="shared" si="194"/>
        <v>0.42217975565646604</v>
      </c>
      <c r="J262" s="121">
        <f t="shared" si="194"/>
        <v>0.3888592595448937</v>
      </c>
      <c r="K262" s="121">
        <f t="shared" si="194"/>
        <v>0.40124842260945809</v>
      </c>
      <c r="L262" s="121">
        <f t="shared" si="194"/>
        <v>0.38026482758035995</v>
      </c>
      <c r="M262" s="121">
        <f t="shared" si="194"/>
        <v>0.40173471657298121</v>
      </c>
      <c r="N262" s="121">
        <f t="shared" si="194"/>
        <v>0.42485365042602102</v>
      </c>
      <c r="O262" s="121">
        <f t="shared" si="194"/>
        <v>0.41495827109458322</v>
      </c>
    </row>
    <row r="263" spans="2:18" s="128" customFormat="1">
      <c r="B263" s="127" t="s">
        <v>100</v>
      </c>
      <c r="C263" s="176">
        <f>4.45805750227132+0.15</f>
        <v>4.6080575022713202</v>
      </c>
      <c r="D263" s="177">
        <f>(4.38034435711487+0.02)+0.0588449417605744</f>
        <v>4.4591892988754438</v>
      </c>
      <c r="E263" s="177">
        <f>(4.71999635699573)+0.0588449417605744</f>
        <v>4.778841298756304</v>
      </c>
      <c r="F263" s="177">
        <v>4.0942527873090544</v>
      </c>
      <c r="G263" s="177">
        <v>3.2457668951194152</v>
      </c>
      <c r="H263" s="177">
        <v>3.4091885783501987</v>
      </c>
      <c r="I263" s="177">
        <v>4.5598557373664601</v>
      </c>
      <c r="J263" s="177">
        <v>6.0876069204867438</v>
      </c>
      <c r="K263" s="177">
        <v>4.5534412636863681</v>
      </c>
      <c r="L263" s="177">
        <v>3.5705669089535168</v>
      </c>
      <c r="M263" s="177">
        <v>4.4016259556491466</v>
      </c>
      <c r="N263" s="177">
        <v>4.7416068531760303</v>
      </c>
      <c r="O263" s="178">
        <f>SUM(C263:N263)</f>
        <v>52.51</v>
      </c>
      <c r="R263" s="230"/>
    </row>
    <row r="264" spans="2:18" s="114" customFormat="1">
      <c r="B264" s="112" t="s">
        <v>46</v>
      </c>
      <c r="C264" s="116">
        <f>C263/C257</f>
        <v>0.29494354042989984</v>
      </c>
      <c r="D264" s="117">
        <f t="shared" ref="D264:O264" si="195">D263/D257</f>
        <v>0.28803852234759497</v>
      </c>
      <c r="E264" s="117">
        <f t="shared" si="195"/>
        <v>0.28670893314013979</v>
      </c>
      <c r="F264" s="117">
        <f t="shared" si="195"/>
        <v>0.25886681402236622</v>
      </c>
      <c r="G264" s="117">
        <f t="shared" si="195"/>
        <v>0.20511038898604014</v>
      </c>
      <c r="H264" s="117">
        <f t="shared" si="195"/>
        <v>0.2162921386420226</v>
      </c>
      <c r="I264" s="117">
        <f t="shared" si="195"/>
        <v>0.27360985712802993</v>
      </c>
      <c r="J264" s="117">
        <f t="shared" si="195"/>
        <v>0.38669496455003682</v>
      </c>
      <c r="K264" s="117">
        <f t="shared" si="195"/>
        <v>0.31137429182729415</v>
      </c>
      <c r="L264" s="117">
        <f t="shared" si="195"/>
        <v>0.2230938822631239</v>
      </c>
      <c r="M264" s="117">
        <f t="shared" si="195"/>
        <v>0.29554483939375142</v>
      </c>
      <c r="N264" s="117">
        <f t="shared" si="195"/>
        <v>0.28725894238920269</v>
      </c>
      <c r="O264" s="118">
        <f t="shared" si="195"/>
        <v>0.27693470272164866</v>
      </c>
      <c r="P264" s="119"/>
      <c r="R264" s="286"/>
    </row>
    <row r="265" spans="2:18" s="128" customFormat="1">
      <c r="B265" s="131" t="s">
        <v>102</v>
      </c>
      <c r="C265" s="173">
        <v>2.8114128859999994</v>
      </c>
      <c r="D265" s="174">
        <v>3.0343823179999996</v>
      </c>
      <c r="E265" s="174">
        <v>3.885319572113084</v>
      </c>
      <c r="F265" s="174">
        <v>2.9811783799999985</v>
      </c>
      <c r="G265" s="174">
        <v>3.9475521609999995</v>
      </c>
      <c r="H265" s="174">
        <v>4.3638652699999998</v>
      </c>
      <c r="I265" s="174">
        <v>3.7411000000000008</v>
      </c>
      <c r="J265" s="174">
        <v>3.3204793919999993</v>
      </c>
      <c r="K265" s="174">
        <v>2.1448499999999999</v>
      </c>
      <c r="L265" s="174">
        <v>3.0233391470000011</v>
      </c>
      <c r="M265" s="174">
        <v>2.8006061040000008</v>
      </c>
      <c r="N265" s="174">
        <v>4.2212994930000001</v>
      </c>
      <c r="O265" s="175">
        <f>SUM(C265:N265)</f>
        <v>40.275384723113078</v>
      </c>
    </row>
    <row r="266" spans="2:18" s="114" customFormat="1">
      <c r="B266" s="112" t="s">
        <v>96</v>
      </c>
      <c r="C266" s="116">
        <f>C265/C257</f>
        <v>0.1799474224873201</v>
      </c>
      <c r="D266" s="117">
        <f t="shared" ref="D266:O266" si="196">D265/D257</f>
        <v>0.19600401340548773</v>
      </c>
      <c r="E266" s="117">
        <f t="shared" si="196"/>
        <v>0.2331016578681854</v>
      </c>
      <c r="F266" s="117">
        <f t="shared" si="196"/>
        <v>0.18849059629514878</v>
      </c>
      <c r="G266" s="117">
        <f t="shared" si="196"/>
        <v>0.24945844401299933</v>
      </c>
      <c r="H266" s="117">
        <f t="shared" si="196"/>
        <v>0.27686052862781563</v>
      </c>
      <c r="I266" s="117">
        <f t="shared" si="196"/>
        <v>0.22448118876077713</v>
      </c>
      <c r="J266" s="117">
        <f t="shared" si="196"/>
        <v>0.21092239981156707</v>
      </c>
      <c r="K266" s="117">
        <f t="shared" si="196"/>
        <v>0.14666954313254804</v>
      </c>
      <c r="L266" s="117">
        <f t="shared" si="196"/>
        <v>0.18890234657442528</v>
      </c>
      <c r="M266" s="117">
        <f t="shared" si="196"/>
        <v>0.18804521091792117</v>
      </c>
      <c r="N266" s="117">
        <f t="shared" si="196"/>
        <v>0.25573736191456448</v>
      </c>
      <c r="O266" s="118">
        <f t="shared" si="196"/>
        <v>0.21241004942478292</v>
      </c>
      <c r="P266" s="119"/>
    </row>
    <row r="267" spans="2:18" s="114" customFormat="1" ht="15.75">
      <c r="B267" s="140" t="s">
        <v>36</v>
      </c>
      <c r="C267" s="179">
        <f>C263-C265</f>
        <v>1.7966446162713208</v>
      </c>
      <c r="D267" s="180">
        <f t="shared" ref="D267:N267" si="197">D263-D265</f>
        <v>1.4248069808754442</v>
      </c>
      <c r="E267" s="181">
        <f t="shared" si="197"/>
        <v>0.89352172664322005</v>
      </c>
      <c r="F267" s="181">
        <f t="shared" si="197"/>
        <v>1.1130744073090559</v>
      </c>
      <c r="G267" s="181">
        <f t="shared" si="197"/>
        <v>-0.70178526588058432</v>
      </c>
      <c r="H267" s="181">
        <f t="shared" si="197"/>
        <v>-0.95467669164980107</v>
      </c>
      <c r="I267" s="181">
        <f t="shared" si="197"/>
        <v>0.81875573736645935</v>
      </c>
      <c r="J267" s="181">
        <f t="shared" si="197"/>
        <v>2.7671275284867445</v>
      </c>
      <c r="K267" s="181">
        <f t="shared" si="197"/>
        <v>2.4085912636863682</v>
      </c>
      <c r="L267" s="181">
        <f t="shared" si="197"/>
        <v>0.54722776195351575</v>
      </c>
      <c r="M267" s="181">
        <f t="shared" si="197"/>
        <v>1.6010198516491458</v>
      </c>
      <c r="N267" s="181">
        <f t="shared" si="197"/>
        <v>0.52030736017603019</v>
      </c>
      <c r="O267" s="182">
        <f>SUM(C267:N267)</f>
        <v>12.234615276886917</v>
      </c>
      <c r="P267" s="119"/>
    </row>
    <row r="268" spans="2:18" s="114" customFormat="1">
      <c r="B268" s="112" t="s">
        <v>96</v>
      </c>
      <c r="C268" s="116">
        <f>C267/C257</f>
        <v>0.11499611794257975</v>
      </c>
      <c r="D268" s="117">
        <f t="shared" ref="D268:O268" si="198">D267/D257</f>
        <v>9.203450894210724E-2</v>
      </c>
      <c r="E268" s="117">
        <f t="shared" si="198"/>
        <v>5.3607275271954392E-2</v>
      </c>
      <c r="F268" s="117">
        <f t="shared" si="198"/>
        <v>7.0376217727217444E-2</v>
      </c>
      <c r="G268" s="117">
        <f t="shared" si="198"/>
        <v>-4.4348055026959175E-2</v>
      </c>
      <c r="H268" s="117">
        <f t="shared" si="198"/>
        <v>-6.0568389985793052E-2</v>
      </c>
      <c r="I268" s="117">
        <f t="shared" si="198"/>
        <v>4.9128668367252784E-2</v>
      </c>
      <c r="J268" s="117">
        <f t="shared" si="198"/>
        <v>0.17577256473846975</v>
      </c>
      <c r="K268" s="117">
        <f t="shared" si="198"/>
        <v>0.16470474869474611</v>
      </c>
      <c r="L268" s="117">
        <f t="shared" si="198"/>
        <v>3.4191535688698607E-2</v>
      </c>
      <c r="M268" s="117">
        <f t="shared" si="198"/>
        <v>0.10749962847583025</v>
      </c>
      <c r="N268" s="117">
        <f t="shared" si="198"/>
        <v>3.1521580474638232E-2</v>
      </c>
      <c r="O268" s="118">
        <f t="shared" si="198"/>
        <v>6.4524653296865728E-2</v>
      </c>
      <c r="P268" s="119"/>
    </row>
    <row r="269" spans="2:18" s="114" customFormat="1">
      <c r="B269" s="130" t="s">
        <v>99</v>
      </c>
      <c r="C269" s="183">
        <v>2.2401524146254741</v>
      </c>
      <c r="D269" s="184">
        <v>2.3342824865388812</v>
      </c>
      <c r="E269" s="185">
        <v>2.5675119797574757</v>
      </c>
      <c r="F269" s="185">
        <v>2.6795115127087166</v>
      </c>
      <c r="G269" s="185">
        <v>2.5371401421041635</v>
      </c>
      <c r="H269" s="185">
        <v>2.6946056446335942</v>
      </c>
      <c r="I269" s="185">
        <f>(2.24190277221728-0.05)+0.0588449417605744</f>
        <v>2.2507477139778547</v>
      </c>
      <c r="J269" s="185">
        <f>(2.23843781360611-0.05)+0.0588449417605744</f>
        <v>2.2472827553666845</v>
      </c>
      <c r="K269" s="185">
        <v>2.2900351154936147</v>
      </c>
      <c r="L269" s="185">
        <v>2.3198646477639042</v>
      </c>
      <c r="M269" s="185">
        <v>2.2310392213397994</v>
      </c>
      <c r="N269" s="185">
        <v>2.5605455127009034</v>
      </c>
      <c r="O269" s="186">
        <f>SUM(C269:N269)</f>
        <v>28.952719147011067</v>
      </c>
    </row>
    <row r="270" spans="2:18" s="114" customFormat="1">
      <c r="B270" s="112" t="s">
        <v>96</v>
      </c>
      <c r="C270" s="116">
        <f>C269/C257</f>
        <v>0.14338329848239889</v>
      </c>
      <c r="D270" s="117">
        <f t="shared" ref="D270:O270" si="199">D269/D257</f>
        <v>0.15078150603162133</v>
      </c>
      <c r="E270" s="117">
        <f t="shared" si="199"/>
        <v>0.15403914349119982</v>
      </c>
      <c r="F270" s="117">
        <f t="shared" si="199"/>
        <v>0.16941714263008387</v>
      </c>
      <c r="G270" s="117">
        <f t="shared" si="199"/>
        <v>0.16032999851023999</v>
      </c>
      <c r="H270" s="117">
        <f t="shared" si="199"/>
        <v>0.17095622734859384</v>
      </c>
      <c r="I270" s="117">
        <f t="shared" si="199"/>
        <v>0.13505400081108507</v>
      </c>
      <c r="J270" s="117">
        <f t="shared" si="199"/>
        <v>0.14275115604063113</v>
      </c>
      <c r="K270" s="117">
        <f t="shared" si="199"/>
        <v>0.15659761948245352</v>
      </c>
      <c r="L270" s="117">
        <f t="shared" si="199"/>
        <v>0.14494830199003603</v>
      </c>
      <c r="M270" s="117">
        <f t="shared" si="199"/>
        <v>0.14980194478037784</v>
      </c>
      <c r="N270" s="117">
        <f t="shared" si="199"/>
        <v>0.15512454294374914</v>
      </c>
      <c r="O270" s="118">
        <f t="shared" si="199"/>
        <v>0.15269496610095021</v>
      </c>
      <c r="P270" s="119"/>
    </row>
    <row r="271" spans="2:18" s="114" customFormat="1">
      <c r="B271" s="136" t="s">
        <v>52</v>
      </c>
      <c r="C271" s="187">
        <f>C267-C269</f>
        <v>-0.44350779835415333</v>
      </c>
      <c r="D271" s="188">
        <f>D267-D269</f>
        <v>-0.90947550566343693</v>
      </c>
      <c r="E271" s="188">
        <f t="shared" ref="E271:O271" si="200">E267-E269</f>
        <v>-1.6739902531142556</v>
      </c>
      <c r="F271" s="188">
        <f t="shared" si="200"/>
        <v>-1.5664371053996606</v>
      </c>
      <c r="G271" s="188">
        <f t="shared" si="200"/>
        <v>-3.2389254079847478</v>
      </c>
      <c r="H271" s="188">
        <f t="shared" si="200"/>
        <v>-3.6492823362833953</v>
      </c>
      <c r="I271" s="188">
        <f t="shared" si="200"/>
        <v>-1.4319919766113953</v>
      </c>
      <c r="J271" s="188">
        <f t="shared" si="200"/>
        <v>0.51984477312005994</v>
      </c>
      <c r="K271" s="188">
        <f t="shared" si="200"/>
        <v>0.11855614819275351</v>
      </c>
      <c r="L271" s="188">
        <f t="shared" si="200"/>
        <v>-1.7726368858103885</v>
      </c>
      <c r="M271" s="188">
        <f t="shared" si="200"/>
        <v>-0.63001936969065353</v>
      </c>
      <c r="N271" s="188">
        <f t="shared" si="200"/>
        <v>-2.0402381525248732</v>
      </c>
      <c r="O271" s="189">
        <f t="shared" si="200"/>
        <v>-16.71810387012415</v>
      </c>
    </row>
    <row r="272" spans="2:18" s="114" customFormat="1">
      <c r="B272" s="112" t="s">
        <v>46</v>
      </c>
      <c r="C272" s="116">
        <f>C271/C257</f>
        <v>-2.8387180539819156E-2</v>
      </c>
      <c r="D272" s="117">
        <f t="shared" ref="D272:O272" si="201">D271/D257</f>
        <v>-5.87469970895141E-2</v>
      </c>
      <c r="E272" s="117">
        <f t="shared" si="201"/>
        <v>-0.10043186821924543</v>
      </c>
      <c r="F272" s="117">
        <f t="shared" si="201"/>
        <v>-9.9040924902866423E-2</v>
      </c>
      <c r="G272" s="117">
        <f t="shared" si="201"/>
        <v>-0.20467805353719917</v>
      </c>
      <c r="H272" s="117">
        <f t="shared" si="201"/>
        <v>-0.2315246173343869</v>
      </c>
      <c r="I272" s="117">
        <f t="shared" si="201"/>
        <v>-8.5925332443832284E-2</v>
      </c>
      <c r="J272" s="117">
        <f t="shared" si="201"/>
        <v>3.3021408697838615E-2</v>
      </c>
      <c r="K272" s="117">
        <f t="shared" si="201"/>
        <v>8.1071292122926169E-3</v>
      </c>
      <c r="L272" s="117">
        <f t="shared" si="201"/>
        <v>-0.11075676630133742</v>
      </c>
      <c r="M272" s="117">
        <f t="shared" si="201"/>
        <v>-4.2302316304547581E-2</v>
      </c>
      <c r="N272" s="117">
        <f t="shared" si="201"/>
        <v>-0.1236029624691109</v>
      </c>
      <c r="O272" s="118">
        <f t="shared" si="201"/>
        <v>-8.8170312804084466E-2</v>
      </c>
    </row>
    <row r="273" spans="2:18" s="114" customFormat="1">
      <c r="B273" s="130" t="s">
        <v>118</v>
      </c>
      <c r="C273" s="183">
        <v>1.03</v>
      </c>
      <c r="D273" s="184">
        <f>1.01+0.13</f>
        <v>1.1400000000000001</v>
      </c>
      <c r="E273" s="185">
        <v>1.1000000000000001</v>
      </c>
      <c r="F273" s="185">
        <v>0.99</v>
      </c>
      <c r="G273" s="185">
        <v>1.0408469768593978</v>
      </c>
      <c r="H273" s="185">
        <v>1.1100000000000001</v>
      </c>
      <c r="I273" s="185">
        <v>1.1943956450852797</v>
      </c>
      <c r="J273" s="185">
        <v>1.25</v>
      </c>
      <c r="K273" s="185">
        <v>1.26</v>
      </c>
      <c r="L273" s="185">
        <v>1.1021239588787877</v>
      </c>
      <c r="M273" s="185">
        <v>1.2942038706679226</v>
      </c>
      <c r="N273" s="185">
        <v>1.2175611481816344</v>
      </c>
      <c r="O273" s="186">
        <f>SUM(C273:N273)</f>
        <v>13.729131599673023</v>
      </c>
    </row>
    <row r="274" spans="2:18" s="114" customFormat="1">
      <c r="B274" s="112" t="s">
        <v>46</v>
      </c>
      <c r="C274" s="120">
        <f>C273/C257</f>
        <v>6.5926227373043253E-2</v>
      </c>
      <c r="D274" s="121">
        <f t="shared" ref="D274:O274" si="202">D273/D257</f>
        <v>7.3637581512645781E-2</v>
      </c>
      <c r="E274" s="121">
        <f t="shared" si="202"/>
        <v>6.5995040792886664E-2</v>
      </c>
      <c r="F274" s="121">
        <f t="shared" si="202"/>
        <v>6.2594607415674797E-2</v>
      </c>
      <c r="G274" s="121">
        <f t="shared" si="202"/>
        <v>6.5774448750337791E-2</v>
      </c>
      <c r="H274" s="121">
        <f t="shared" si="202"/>
        <v>7.0422702756099395E-2</v>
      </c>
      <c r="I274" s="121">
        <f t="shared" si="202"/>
        <v>7.166858791784203E-2</v>
      </c>
      <c r="J274" s="121">
        <f t="shared" si="202"/>
        <v>7.9402088866949633E-2</v>
      </c>
      <c r="K274" s="121">
        <f t="shared" si="202"/>
        <v>8.6161561110105853E-2</v>
      </c>
      <c r="L274" s="121">
        <f t="shared" si="202"/>
        <v>6.8862205636005119E-2</v>
      </c>
      <c r="M274" s="121">
        <f t="shared" si="202"/>
        <v>8.6898632222126806E-2</v>
      </c>
      <c r="N274" s="121">
        <f t="shared" si="202"/>
        <v>7.3763038259185482E-2</v>
      </c>
      <c r="O274" s="122">
        <f t="shared" si="202"/>
        <v>7.2406645937570777E-2</v>
      </c>
    </row>
    <row r="275" spans="2:18" s="132" customFormat="1" ht="15.75">
      <c r="B275" s="141" t="s">
        <v>98</v>
      </c>
      <c r="C275" s="190">
        <f>C271-C273</f>
        <v>-1.4735077983541534</v>
      </c>
      <c r="D275" s="191">
        <f t="shared" ref="D275:N275" si="203">D271-D273</f>
        <v>-2.0494755056634371</v>
      </c>
      <c r="E275" s="191">
        <f t="shared" si="203"/>
        <v>-2.7739902531142557</v>
      </c>
      <c r="F275" s="191">
        <f t="shared" si="203"/>
        <v>-2.5564371053996604</v>
      </c>
      <c r="G275" s="191">
        <f t="shared" si="203"/>
        <v>-4.2797723848441453</v>
      </c>
      <c r="H275" s="191">
        <f t="shared" si="203"/>
        <v>-4.7592823362833956</v>
      </c>
      <c r="I275" s="191">
        <f t="shared" si="203"/>
        <v>-2.6263876216966748</v>
      </c>
      <c r="J275" s="191">
        <f t="shared" si="203"/>
        <v>-0.73015522687994006</v>
      </c>
      <c r="K275" s="191">
        <f t="shared" si="203"/>
        <v>-1.1414438518072465</v>
      </c>
      <c r="L275" s="191">
        <f t="shared" si="203"/>
        <v>-2.8747608446891761</v>
      </c>
      <c r="M275" s="191">
        <f t="shared" si="203"/>
        <v>-1.9242232403585762</v>
      </c>
      <c r="N275" s="191">
        <f t="shared" si="203"/>
        <v>-3.2577993007065076</v>
      </c>
      <c r="O275" s="192">
        <f>SUM(C275:N275)</f>
        <v>-30.447235469797171</v>
      </c>
    </row>
    <row r="276" spans="2:18" s="114" customFormat="1" ht="15.75" thickBot="1">
      <c r="B276" s="123" t="s">
        <v>46</v>
      </c>
      <c r="C276" s="124">
        <f>C275/C257</f>
        <v>-9.4313407912862413E-2</v>
      </c>
      <c r="D276" s="125">
        <f t="shared" ref="D276:O276" si="204">D275/D257</f>
        <v>-0.13238457860215988</v>
      </c>
      <c r="E276" s="125">
        <f t="shared" si="204"/>
        <v>-0.16642690901213211</v>
      </c>
      <c r="F276" s="125">
        <f t="shared" si="204"/>
        <v>-0.16163553231854122</v>
      </c>
      <c r="G276" s="125">
        <f t="shared" si="204"/>
        <v>-0.27045250228753698</v>
      </c>
      <c r="H276" s="125">
        <f t="shared" si="204"/>
        <v>-0.3019473200904863</v>
      </c>
      <c r="I276" s="125">
        <f t="shared" si="204"/>
        <v>-0.1575939203616743</v>
      </c>
      <c r="J276" s="125">
        <f t="shared" si="204"/>
        <v>-4.6380680169111017E-2</v>
      </c>
      <c r="K276" s="125">
        <f t="shared" si="204"/>
        <v>-7.8054431897813248E-2</v>
      </c>
      <c r="L276" s="125">
        <f t="shared" si="204"/>
        <v>-0.17961897193734255</v>
      </c>
      <c r="M276" s="125">
        <f t="shared" si="204"/>
        <v>-0.12920094852667438</v>
      </c>
      <c r="N276" s="125">
        <f t="shared" si="204"/>
        <v>-0.19736600072829638</v>
      </c>
      <c r="O276" s="126">
        <f t="shared" si="204"/>
        <v>-0.16057695874165523</v>
      </c>
      <c r="P276" s="119"/>
    </row>
    <row r="279" spans="2:18" ht="15.75" thickBot="1"/>
    <row r="280" spans="2:18" ht="15.75" thickBot="1">
      <c r="B280" s="97" t="s">
        <v>78</v>
      </c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9"/>
    </row>
    <row r="281" spans="2:18" ht="15.75" thickBot="1">
      <c r="B281" s="129" t="s">
        <v>103</v>
      </c>
      <c r="C281" s="111" t="s">
        <v>80</v>
      </c>
      <c r="D281" s="101" t="s">
        <v>81</v>
      </c>
      <c r="E281" s="101" t="s">
        <v>82</v>
      </c>
      <c r="F281" s="101" t="s">
        <v>83</v>
      </c>
      <c r="G281" s="101" t="s">
        <v>84</v>
      </c>
      <c r="H281" s="101" t="s">
        <v>85</v>
      </c>
      <c r="I281" s="101" t="s">
        <v>86</v>
      </c>
      <c r="J281" s="101" t="s">
        <v>87</v>
      </c>
      <c r="K281" s="101" t="s">
        <v>88</v>
      </c>
      <c r="L281" s="101" t="s">
        <v>89</v>
      </c>
      <c r="M281" s="101" t="s">
        <v>90</v>
      </c>
      <c r="N281" s="101" t="s">
        <v>91</v>
      </c>
      <c r="O281" s="102" t="s">
        <v>92</v>
      </c>
    </row>
    <row r="282" spans="2:18" s="114" customFormat="1">
      <c r="B282" s="113" t="s">
        <v>101</v>
      </c>
      <c r="C282" s="169">
        <f t="shared" ref="C282:N282" si="205">C166</f>
        <v>10.448823055317392</v>
      </c>
      <c r="D282" s="170">
        <f t="shared" si="205"/>
        <v>10.754522972730172</v>
      </c>
      <c r="E282" s="170">
        <f t="shared" si="205"/>
        <v>10.6862351676012</v>
      </c>
      <c r="F282" s="170">
        <f t="shared" si="205"/>
        <v>11.087210467921549</v>
      </c>
      <c r="G282" s="170">
        <f t="shared" si="205"/>
        <v>11.466502165462376</v>
      </c>
      <c r="H282" s="170">
        <f t="shared" si="205"/>
        <v>10.844163782663486</v>
      </c>
      <c r="I282" s="170">
        <f t="shared" si="205"/>
        <v>12.65180019879995</v>
      </c>
      <c r="J282" s="170">
        <f t="shared" si="205"/>
        <v>11.677749094486563</v>
      </c>
      <c r="K282" s="170">
        <f t="shared" si="205"/>
        <v>12.531328408749212</v>
      </c>
      <c r="L282" s="170">
        <f t="shared" si="205"/>
        <v>11.392594303470691</v>
      </c>
      <c r="M282" s="170">
        <f t="shared" si="205"/>
        <v>11.734198807930685</v>
      </c>
      <c r="N282" s="170">
        <f t="shared" si="205"/>
        <v>12.79277757563222</v>
      </c>
      <c r="O282" s="178">
        <f>SUM(C282:N282)</f>
        <v>138.06790600076548</v>
      </c>
    </row>
    <row r="283" spans="2:18" s="114" customFormat="1">
      <c r="B283" s="115" t="s">
        <v>105</v>
      </c>
      <c r="C283" s="171">
        <f t="shared" ref="C283:N283" si="206">C86</f>
        <v>1056.4569621999999</v>
      </c>
      <c r="D283" s="172">
        <f t="shared" si="206"/>
        <v>1084.7314223999999</v>
      </c>
      <c r="E283" s="172">
        <f t="shared" si="206"/>
        <v>1062.1843552</v>
      </c>
      <c r="F283" s="172">
        <f t="shared" si="206"/>
        <v>1078.6428407599997</v>
      </c>
      <c r="G283" s="172">
        <f t="shared" si="206"/>
        <v>1095.6640474000285</v>
      </c>
      <c r="H283" s="172">
        <f t="shared" si="206"/>
        <v>1010.3849273999997</v>
      </c>
      <c r="I283" s="172">
        <f t="shared" si="206"/>
        <v>1146.4189174720002</v>
      </c>
      <c r="J283" s="172">
        <f t="shared" si="206"/>
        <v>1024.8886012000003</v>
      </c>
      <c r="K283" s="172">
        <f t="shared" si="206"/>
        <v>1116.8528253999998</v>
      </c>
      <c r="L283" s="172">
        <f t="shared" si="206"/>
        <v>1059.0353568047999</v>
      </c>
      <c r="M283" s="172">
        <f t="shared" si="206"/>
        <v>1120.0655493999996</v>
      </c>
      <c r="N283" s="172">
        <f t="shared" si="206"/>
        <v>1236.5643001239998</v>
      </c>
      <c r="O283" s="178">
        <f>SUM(C283:N283)</f>
        <v>13091.890105760827</v>
      </c>
      <c r="R283" s="235">
        <f>O282/O283*10^7</f>
        <v>105460.63623006691</v>
      </c>
    </row>
    <row r="284" spans="2:18" s="128" customFormat="1">
      <c r="B284" s="131" t="s">
        <v>104</v>
      </c>
      <c r="C284" s="133">
        <f t="shared" ref="C284:O284" si="207">C282*10^7/C86</f>
        <v>98904.389191192691</v>
      </c>
      <c r="D284" s="134">
        <f t="shared" si="207"/>
        <v>99144.569343584386</v>
      </c>
      <c r="E284" s="134">
        <f t="shared" si="207"/>
        <v>100606.21882901934</v>
      </c>
      <c r="F284" s="134">
        <f t="shared" si="207"/>
        <v>102788.52321598523</v>
      </c>
      <c r="G284" s="134">
        <f t="shared" si="207"/>
        <v>104653.44913590963</v>
      </c>
      <c r="H284" s="134">
        <f t="shared" si="207"/>
        <v>107327.05416111583</v>
      </c>
      <c r="I284" s="134">
        <f t="shared" si="207"/>
        <v>110359.31112074443</v>
      </c>
      <c r="J284" s="134">
        <f t="shared" si="207"/>
        <v>113941.64283624155</v>
      </c>
      <c r="K284" s="134">
        <f t="shared" si="207"/>
        <v>112202.14627886291</v>
      </c>
      <c r="L284" s="134">
        <f t="shared" si="207"/>
        <v>107575.20256776997</v>
      </c>
      <c r="M284" s="134">
        <f t="shared" si="207"/>
        <v>104763.50079882825</v>
      </c>
      <c r="N284" s="134">
        <f t="shared" si="207"/>
        <v>103454.20431715027</v>
      </c>
      <c r="O284" s="135">
        <f t="shared" si="207"/>
        <v>105460.63623006691</v>
      </c>
    </row>
    <row r="285" spans="2:18" s="128" customFormat="1">
      <c r="B285" s="127" t="s">
        <v>106</v>
      </c>
      <c r="C285" s="176">
        <f>6.11891982535249-0.13</f>
        <v>5.9889198253524905</v>
      </c>
      <c r="D285" s="177">
        <f>5.96165615565567-0.04</f>
        <v>5.9216561556556702</v>
      </c>
      <c r="E285" s="228">
        <v>6.0006574342739523</v>
      </c>
      <c r="F285" s="177">
        <v>5.5706506894866292</v>
      </c>
      <c r="G285" s="177">
        <v>5.7708188911763658</v>
      </c>
      <c r="H285" s="177">
        <v>5.278671737310952</v>
      </c>
      <c r="I285" s="177">
        <v>6.1367042012982163</v>
      </c>
      <c r="J285" s="177">
        <v>5.2102020521291301</v>
      </c>
      <c r="K285" s="177">
        <v>5.0738754886611614</v>
      </c>
      <c r="L285" s="177">
        <v>4.709585827237766</v>
      </c>
      <c r="M285" s="177">
        <v>4.8894392849943769</v>
      </c>
      <c r="N285" s="177">
        <v>6.26</v>
      </c>
      <c r="O285" s="178">
        <f>SUM(C285:N285)</f>
        <v>66.811181587576712</v>
      </c>
      <c r="Q285" s="230"/>
    </row>
    <row r="286" spans="2:18" s="128" customFormat="1">
      <c r="B286" s="127"/>
      <c r="C286" s="176"/>
      <c r="D286" s="177"/>
      <c r="E286" s="177"/>
      <c r="F286" s="177"/>
      <c r="G286" s="177"/>
      <c r="H286" s="177"/>
      <c r="I286" s="177"/>
      <c r="J286" s="177"/>
      <c r="K286" s="177"/>
      <c r="L286" s="177"/>
      <c r="M286" s="177"/>
      <c r="N286" s="177"/>
      <c r="O286" s="178"/>
    </row>
    <row r="287" spans="2:18" s="128" customFormat="1">
      <c r="B287" s="112" t="s">
        <v>46</v>
      </c>
      <c r="C287" s="120">
        <f>(C285+C286)/C282</f>
        <v>0.57316692929398749</v>
      </c>
      <c r="D287" s="121">
        <f t="shared" ref="D287:N287" si="208">(D285+D286)/D282</f>
        <v>0.55062006661485452</v>
      </c>
      <c r="E287" s="121">
        <f t="shared" si="208"/>
        <v>0.56153147859471575</v>
      </c>
      <c r="F287" s="121">
        <f t="shared" si="208"/>
        <v>0.50243933815490427</v>
      </c>
      <c r="G287" s="121">
        <f t="shared" si="208"/>
        <v>0.50327630936645473</v>
      </c>
      <c r="H287" s="121">
        <f t="shared" si="208"/>
        <v>0.48677536074749628</v>
      </c>
      <c r="I287" s="121">
        <f t="shared" si="208"/>
        <v>0.48504593060838058</v>
      </c>
      <c r="J287" s="121">
        <f t="shared" si="208"/>
        <v>0.44616492527562801</v>
      </c>
      <c r="K287" s="121">
        <f t="shared" si="208"/>
        <v>0.40489526115352997</v>
      </c>
      <c r="L287" s="121">
        <f t="shared" si="208"/>
        <v>0.41339011131143472</v>
      </c>
      <c r="M287" s="121">
        <f t="shared" si="208"/>
        <v>0.41668284004953082</v>
      </c>
      <c r="N287" s="121">
        <f t="shared" si="208"/>
        <v>0.48933861024239922</v>
      </c>
      <c r="O287" s="121">
        <f t="shared" ref="O287" si="209">(O285+O286)/O282</f>
        <v>0.48390088270916704</v>
      </c>
    </row>
    <row r="288" spans="2:18" s="128" customFormat="1">
      <c r="B288" s="127" t="s">
        <v>100</v>
      </c>
      <c r="C288" s="176">
        <f>1.49857520462077+0.13</f>
        <v>1.6285752046207702</v>
      </c>
      <c r="D288" s="177">
        <f>1.39357954077818</f>
        <v>1.3935795407781799</v>
      </c>
      <c r="E288" s="177">
        <v>2.5099999999999998</v>
      </c>
      <c r="F288" s="177">
        <v>3.0881093733799503</v>
      </c>
      <c r="G288" s="177">
        <v>3.0623167883864273</v>
      </c>
      <c r="H288" s="177">
        <v>2.8058527373667443</v>
      </c>
      <c r="I288" s="177">
        <v>2.5863301527556803</v>
      </c>
      <c r="J288" s="177">
        <v>2.9</v>
      </c>
      <c r="K288" s="177">
        <v>3.7584571286099457</v>
      </c>
      <c r="L288" s="177">
        <v>4.0638866196459364</v>
      </c>
      <c r="M288" s="177">
        <v>2.5874390770216742</v>
      </c>
      <c r="N288" s="177">
        <v>3.0215575213334596</v>
      </c>
      <c r="O288" s="178">
        <f>SUM(C288:N288)</f>
        <v>33.406104143898766</v>
      </c>
    </row>
    <row r="289" spans="2:16" s="114" customFormat="1">
      <c r="B289" s="112" t="s">
        <v>46</v>
      </c>
      <c r="C289" s="116">
        <f>IFERROR(C288/C$282,0)</f>
        <v>0.15586207135472452</v>
      </c>
      <c r="D289" s="117">
        <f t="shared" ref="D289:O289" si="210">IFERROR(D288/D$282,0)</f>
        <v>0.12958078608524298</v>
      </c>
      <c r="E289" s="117">
        <f t="shared" si="210"/>
        <v>0.23488159867657429</v>
      </c>
      <c r="F289" s="117">
        <f t="shared" si="210"/>
        <v>0.27852897555383549</v>
      </c>
      <c r="G289" s="117">
        <f t="shared" si="210"/>
        <v>0.26706634195825335</v>
      </c>
      <c r="H289" s="117">
        <f t="shared" si="210"/>
        <v>0.25874311690611385</v>
      </c>
      <c r="I289" s="117">
        <f t="shared" si="210"/>
        <v>0.20442388530614</v>
      </c>
      <c r="J289" s="117">
        <f t="shared" si="210"/>
        <v>0.24833552909346052</v>
      </c>
      <c r="K289" s="117">
        <f t="shared" si="210"/>
        <v>0.29992487675814478</v>
      </c>
      <c r="L289" s="117">
        <f t="shared" si="210"/>
        <v>0.35671301122413318</v>
      </c>
      <c r="M289" s="117">
        <f t="shared" si="210"/>
        <v>0.22050411104956952</v>
      </c>
      <c r="N289" s="117">
        <f t="shared" si="210"/>
        <v>0.23619245339565234</v>
      </c>
      <c r="O289" s="118">
        <f t="shared" si="210"/>
        <v>0.24195415945334578</v>
      </c>
      <c r="P289" s="119"/>
    </row>
    <row r="290" spans="2:16" s="128" customFormat="1">
      <c r="B290" s="131" t="s">
        <v>102</v>
      </c>
      <c r="C290" s="173">
        <v>1.5388624</v>
      </c>
      <c r="D290" s="174">
        <v>1.6195760510000001</v>
      </c>
      <c r="E290" s="174">
        <v>1.5022999999999997</v>
      </c>
      <c r="F290" s="174">
        <v>2.466791814</v>
      </c>
      <c r="G290" s="174">
        <v>2.2444504419999998</v>
      </c>
      <c r="H290" s="174">
        <v>1.5357240000000001</v>
      </c>
      <c r="I290" s="174">
        <v>2.9405615940000001</v>
      </c>
      <c r="J290" s="174">
        <v>2.746565748000001</v>
      </c>
      <c r="K290" s="174">
        <v>2.1637443800000002</v>
      </c>
      <c r="L290" s="174">
        <v>2.1826885389999999</v>
      </c>
      <c r="M290" s="174">
        <v>4.06694756</v>
      </c>
      <c r="N290" s="174">
        <v>3.6451214899999993</v>
      </c>
      <c r="O290" s="175">
        <f>SUM(C290:N290)</f>
        <v>28.653334018000002</v>
      </c>
    </row>
    <row r="291" spans="2:16" s="114" customFormat="1">
      <c r="B291" s="112" t="s">
        <v>96</v>
      </c>
      <c r="C291" s="116">
        <f>IFERROR(C290/C$282,0)</f>
        <v>0.14727614697397665</v>
      </c>
      <c r="D291" s="117">
        <f t="shared" ref="D291" si="211">IFERROR(D290/D$282,0)</f>
        <v>0.15059487576591696</v>
      </c>
      <c r="E291" s="117">
        <f t="shared" ref="E291" si="212">IFERROR(E290/E$282,0)</f>
        <v>0.1405827193991305</v>
      </c>
      <c r="F291" s="117">
        <f t="shared" ref="F291" si="213">IFERROR(F290/F$282,0)</f>
        <v>0.22248985181052797</v>
      </c>
      <c r="G291" s="117">
        <f t="shared" ref="G291" si="214">IFERROR(G290/G$282,0)</f>
        <v>0.19573976524073627</v>
      </c>
      <c r="H291" s="117">
        <f t="shared" ref="H291" si="215">IFERROR(H290/H$282,0)</f>
        <v>0.14161755860374914</v>
      </c>
      <c r="I291" s="117">
        <f t="shared" ref="I291" si="216">IFERROR(I290/I$282,0)</f>
        <v>0.23242238636355628</v>
      </c>
      <c r="J291" s="117">
        <f t="shared" ref="J291:N291" si="217">IFERROR(J290/J$282,0)</f>
        <v>0.23519650283432977</v>
      </c>
      <c r="K291" s="117">
        <f t="shared" si="217"/>
        <v>0.17266680031219209</v>
      </c>
      <c r="L291" s="117">
        <f t="shared" si="217"/>
        <v>0.19158836704428736</v>
      </c>
      <c r="M291" s="117">
        <f t="shared" si="217"/>
        <v>0.3465892837311832</v>
      </c>
      <c r="N291" s="117">
        <f t="shared" si="217"/>
        <v>0.2849358920257673</v>
      </c>
      <c r="O291" s="118">
        <f t="shared" ref="O291" si="218">IFERROR(O290/O$282,0)</f>
        <v>0.20753073504164785</v>
      </c>
      <c r="P291" s="119"/>
    </row>
    <row r="292" spans="2:16" s="114" customFormat="1" ht="15.75">
      <c r="B292" s="140" t="s">
        <v>36</v>
      </c>
      <c r="C292" s="179">
        <f>C288-C290</f>
        <v>8.9712804620770248E-2</v>
      </c>
      <c r="D292" s="180">
        <f t="shared" ref="D292:N292" si="219">D288-D290</f>
        <v>-0.22599651022182021</v>
      </c>
      <c r="E292" s="181">
        <f t="shared" si="219"/>
        <v>1.0077</v>
      </c>
      <c r="F292" s="181">
        <f t="shared" si="219"/>
        <v>0.62131755937995026</v>
      </c>
      <c r="G292" s="181">
        <f t="shared" si="219"/>
        <v>0.81786634638642752</v>
      </c>
      <c r="H292" s="181">
        <f t="shared" si="219"/>
        <v>1.2701287373667443</v>
      </c>
      <c r="I292" s="181">
        <f t="shared" si="219"/>
        <v>-0.35423144124431971</v>
      </c>
      <c r="J292" s="181">
        <f t="shared" si="219"/>
        <v>0.15343425199999894</v>
      </c>
      <c r="K292" s="181">
        <f t="shared" si="219"/>
        <v>1.5947127486099455</v>
      </c>
      <c r="L292" s="181">
        <f t="shared" si="219"/>
        <v>1.8811980806459365</v>
      </c>
      <c r="M292" s="181">
        <f t="shared" si="219"/>
        <v>-1.4795084829783258</v>
      </c>
      <c r="N292" s="181">
        <f t="shared" si="219"/>
        <v>-0.62356396866653974</v>
      </c>
      <c r="O292" s="182">
        <f>SUM(C292:N292)</f>
        <v>4.7527701258987678</v>
      </c>
      <c r="P292" s="119"/>
    </row>
    <row r="293" spans="2:16" s="114" customFormat="1">
      <c r="B293" s="112" t="s">
        <v>96</v>
      </c>
      <c r="C293" s="116">
        <f>IFERROR(C292/C$282,0)</f>
        <v>8.5859243807478898E-3</v>
      </c>
      <c r="D293" s="117">
        <f t="shared" ref="D293:D295" si="220">IFERROR(D292/D$282,0)</f>
        <v>-2.1014089680673968E-2</v>
      </c>
      <c r="E293" s="117">
        <f t="shared" ref="E293:E295" si="221">IFERROR(E292/E$282,0)</f>
        <v>9.4298879277443806E-2</v>
      </c>
      <c r="F293" s="117">
        <f t="shared" ref="F293:F295" si="222">IFERROR(F292/F$282,0)</f>
        <v>5.603912374330753E-2</v>
      </c>
      <c r="G293" s="117">
        <f t="shared" ref="G293:G295" si="223">IFERROR(G292/G$282,0)</f>
        <v>7.1326576717517048E-2</v>
      </c>
      <c r="H293" s="117">
        <f t="shared" ref="H293:H295" si="224">IFERROR(H292/H$282,0)</f>
        <v>0.11712555830236474</v>
      </c>
      <c r="I293" s="117">
        <f t="shared" ref="I293:I295" si="225">IFERROR(I292/I$282,0)</f>
        <v>-2.7998501057416265E-2</v>
      </c>
      <c r="J293" s="117">
        <f t="shared" ref="J293:N295" si="226">IFERROR(J292/J$282,0)</f>
        <v>1.313902625913072E-2</v>
      </c>
      <c r="K293" s="117">
        <f t="shared" si="226"/>
        <v>0.12725807644595266</v>
      </c>
      <c r="L293" s="117">
        <f t="shared" si="226"/>
        <v>0.16512464417984585</v>
      </c>
      <c r="M293" s="117">
        <f t="shared" si="226"/>
        <v>-0.12608517268161368</v>
      </c>
      <c r="N293" s="117">
        <f t="shared" si="226"/>
        <v>-4.8743438630114939E-2</v>
      </c>
      <c r="O293" s="118">
        <f t="shared" ref="O293:O295" si="227">IFERROR(O292/O$282,0)</f>
        <v>3.4423424411697948E-2</v>
      </c>
      <c r="P293" s="119"/>
    </row>
    <row r="294" spans="2:16" s="114" customFormat="1">
      <c r="B294" s="130" t="s">
        <v>99</v>
      </c>
      <c r="C294" s="183">
        <v>1.7589315028811841</v>
      </c>
      <c r="D294" s="184">
        <v>1.9546386695163387</v>
      </c>
      <c r="E294" s="185">
        <v>2.0482482698963427</v>
      </c>
      <c r="F294" s="185">
        <v>1.7363231992052826</v>
      </c>
      <c r="G294" s="185">
        <v>1.8753000000000004</v>
      </c>
      <c r="H294" s="185">
        <v>1.9187343733910089</v>
      </c>
      <c r="I294" s="185">
        <v>2.0191438769552921</v>
      </c>
      <c r="J294" s="185">
        <v>1.9436424690704523</v>
      </c>
      <c r="K294" s="185">
        <v>1.6583001797975583</v>
      </c>
      <c r="L294" s="185">
        <v>1.9459838870956372</v>
      </c>
      <c r="M294" s="185">
        <v>1.9525891448745443</v>
      </c>
      <c r="N294" s="185">
        <v>1.9983651205042974</v>
      </c>
      <c r="O294" s="186">
        <f>SUM(C294:N294)</f>
        <v>22.810200693187937</v>
      </c>
    </row>
    <row r="295" spans="2:16" s="114" customFormat="1">
      <c r="B295" s="112" t="s">
        <v>96</v>
      </c>
      <c r="C295" s="116">
        <f>IFERROR(C294/C$282,0)</f>
        <v>0.16833776336044529</v>
      </c>
      <c r="D295" s="117">
        <f t="shared" si="220"/>
        <v>0.181750383022347</v>
      </c>
      <c r="E295" s="117">
        <f t="shared" si="221"/>
        <v>0.19167164466923522</v>
      </c>
      <c r="F295" s="117">
        <f t="shared" si="222"/>
        <v>0.15660595640616357</v>
      </c>
      <c r="G295" s="117">
        <f t="shared" si="223"/>
        <v>0.16354595088714052</v>
      </c>
      <c r="H295" s="117">
        <f t="shared" si="224"/>
        <v>0.17693705221037703</v>
      </c>
      <c r="I295" s="117">
        <f t="shared" si="225"/>
        <v>0.15959340530423585</v>
      </c>
      <c r="J295" s="117">
        <f t="shared" si="226"/>
        <v>0.16643982100866578</v>
      </c>
      <c r="K295" s="117">
        <f t="shared" si="226"/>
        <v>0.13233235341911193</v>
      </c>
      <c r="L295" s="117">
        <f t="shared" si="226"/>
        <v>0.17081130383996943</v>
      </c>
      <c r="M295" s="117">
        <f t="shared" si="226"/>
        <v>0.16640157345509313</v>
      </c>
      <c r="N295" s="117">
        <f t="shared" si="226"/>
        <v>0.15621041706460984</v>
      </c>
      <c r="O295" s="118">
        <f t="shared" si="227"/>
        <v>0.16521001407134742</v>
      </c>
      <c r="P295" s="119"/>
    </row>
    <row r="296" spans="2:16" s="114" customFormat="1">
      <c r="B296" s="136" t="s">
        <v>52</v>
      </c>
      <c r="C296" s="187">
        <f>C292-C294</f>
        <v>-1.6692186982604138</v>
      </c>
      <c r="D296" s="188">
        <f>D292-D294</f>
        <v>-2.1806351797381591</v>
      </c>
      <c r="E296" s="188">
        <f t="shared" ref="E296:O296" si="228">E292-E294</f>
        <v>-1.0405482698963426</v>
      </c>
      <c r="F296" s="188">
        <f t="shared" si="228"/>
        <v>-1.1150056398253323</v>
      </c>
      <c r="G296" s="188">
        <f t="shared" si="228"/>
        <v>-1.0574336536135729</v>
      </c>
      <c r="H296" s="188">
        <f t="shared" si="228"/>
        <v>-0.64860563602426469</v>
      </c>
      <c r="I296" s="188">
        <f t="shared" si="228"/>
        <v>-2.3733753181996118</v>
      </c>
      <c r="J296" s="188">
        <f t="shared" si="228"/>
        <v>-1.7902082170704534</v>
      </c>
      <c r="K296" s="188">
        <f t="shared" si="228"/>
        <v>-6.3587431187612786E-2</v>
      </c>
      <c r="L296" s="188">
        <f t="shared" si="228"/>
        <v>-6.4785806449700667E-2</v>
      </c>
      <c r="M296" s="188">
        <f t="shared" si="228"/>
        <v>-3.4320976278528699</v>
      </c>
      <c r="N296" s="188">
        <f t="shared" si="228"/>
        <v>-2.6219290891708371</v>
      </c>
      <c r="O296" s="189">
        <f t="shared" si="228"/>
        <v>-18.05743056728917</v>
      </c>
    </row>
    <row r="297" spans="2:16" s="114" customFormat="1">
      <c r="B297" s="112" t="s">
        <v>46</v>
      </c>
      <c r="C297" s="116">
        <f>IFERROR(C296/C$282,0)</f>
        <v>-0.15975183897969739</v>
      </c>
      <c r="D297" s="117">
        <f t="shared" ref="D297" si="229">IFERROR(D296/D$282,0)</f>
        <v>-0.202764472703021</v>
      </c>
      <c r="E297" s="117">
        <f t="shared" ref="E297" si="230">IFERROR(E296/E$282,0)</f>
        <v>-9.7372765391791433E-2</v>
      </c>
      <c r="F297" s="117">
        <f t="shared" ref="F297" si="231">IFERROR(F296/F$282,0)</f>
        <v>-0.10056683266285604</v>
      </c>
      <c r="G297" s="117">
        <f t="shared" ref="G297" si="232">IFERROR(G296/G$282,0)</f>
        <v>-9.2219374169623489E-2</v>
      </c>
      <c r="H297" s="117">
        <f t="shared" ref="H297" si="233">IFERROR(H296/H$282,0)</f>
        <v>-5.9811493908012298E-2</v>
      </c>
      <c r="I297" s="117">
        <f t="shared" ref="I297" si="234">IFERROR(I296/I$282,0)</f>
        <v>-0.1875919063616521</v>
      </c>
      <c r="J297" s="117">
        <f t="shared" ref="J297:N297" si="235">IFERROR(J296/J$282,0)</f>
        <v>-0.15330079474953506</v>
      </c>
      <c r="K297" s="117">
        <f t="shared" si="235"/>
        <v>-5.0742769731592745E-3</v>
      </c>
      <c r="L297" s="117">
        <f t="shared" si="235"/>
        <v>-5.6866596601235966E-3</v>
      </c>
      <c r="M297" s="117">
        <f t="shared" si="235"/>
        <v>-0.29248674613670678</v>
      </c>
      <c r="N297" s="117">
        <f t="shared" si="235"/>
        <v>-0.20495385569472477</v>
      </c>
      <c r="O297" s="118">
        <f t="shared" ref="O297" si="236">IFERROR(O296/O$282,0)</f>
        <v>-0.13078658965964948</v>
      </c>
    </row>
    <row r="298" spans="2:16" s="114" customFormat="1">
      <c r="B298" s="130" t="s">
        <v>97</v>
      </c>
      <c r="C298" s="183">
        <v>0.18769581925396239</v>
      </c>
      <c r="D298" s="184">
        <v>0.24000000000000002</v>
      </c>
      <c r="E298" s="185">
        <v>0.32</v>
      </c>
      <c r="F298" s="185">
        <v>0.33905234887758495</v>
      </c>
      <c r="G298" s="185">
        <v>0.47000000000000003</v>
      </c>
      <c r="H298" s="185">
        <v>0.41686324254647822</v>
      </c>
      <c r="I298" s="185">
        <v>0.38628890364844698</v>
      </c>
      <c r="J298" s="185">
        <v>0.42</v>
      </c>
      <c r="K298" s="185">
        <v>0.27</v>
      </c>
      <c r="L298" s="185">
        <v>0.33</v>
      </c>
      <c r="M298" s="185">
        <v>0.3</v>
      </c>
      <c r="N298" s="185">
        <v>0.37</v>
      </c>
      <c r="O298" s="186">
        <f>SUM(C298:N298)</f>
        <v>4.0499003143264725</v>
      </c>
    </row>
    <row r="299" spans="2:16" s="114" customFormat="1">
      <c r="B299" s="112" t="s">
        <v>46</v>
      </c>
      <c r="C299" s="120">
        <f>IFERROR(C298/C$282,0)</f>
        <v>1.7963345561531376E-2</v>
      </c>
      <c r="D299" s="121">
        <f t="shared" ref="D299" si="237">IFERROR(D298/D$282,0)</f>
        <v>2.2316192043901784E-2</v>
      </c>
      <c r="E299" s="121">
        <f t="shared" ref="E299" si="238">IFERROR(E298/E$282,0)</f>
        <v>2.9945064373109075E-2</v>
      </c>
      <c r="F299" s="121">
        <f t="shared" ref="F299" si="239">IFERROR(F298/F$282,0)</f>
        <v>3.0580491807074443E-2</v>
      </c>
      <c r="G299" s="121">
        <f t="shared" ref="G299" si="240">IFERROR(G298/G$282,0)</f>
        <v>4.0988960122090357E-2</v>
      </c>
      <c r="H299" s="121">
        <f t="shared" ref="H299" si="241">IFERROR(H298/H$282,0)</f>
        <v>3.8441252908123308E-2</v>
      </c>
      <c r="I299" s="121">
        <f t="shared" ref="I299" si="242">IFERROR(I298/I$282,0)</f>
        <v>3.0532327224475714E-2</v>
      </c>
      <c r="J299" s="121">
        <f t="shared" ref="J299:N299" si="243">IFERROR(J298/J$282,0)</f>
        <v>3.596583524801842E-2</v>
      </c>
      <c r="K299" s="121">
        <f t="shared" si="243"/>
        <v>2.1545999848786142E-2</v>
      </c>
      <c r="L299" s="121">
        <f t="shared" si="243"/>
        <v>2.8966185506971606E-2</v>
      </c>
      <c r="M299" s="121">
        <f t="shared" si="243"/>
        <v>2.5566295996045485E-2</v>
      </c>
      <c r="N299" s="121">
        <f t="shared" si="243"/>
        <v>2.8922569614966087E-2</v>
      </c>
      <c r="O299" s="122">
        <f t="shared" ref="O299" si="244">IFERROR(O298/O$282,0)</f>
        <v>2.9332669927680508E-2</v>
      </c>
    </row>
    <row r="300" spans="2:16" s="132" customFormat="1" ht="15.75">
      <c r="B300" s="141" t="s">
        <v>98</v>
      </c>
      <c r="C300" s="190">
        <f>C296-C298</f>
        <v>-1.8569145175143762</v>
      </c>
      <c r="D300" s="191">
        <f t="shared" ref="D300:N300" si="245">D296-D298</f>
        <v>-2.4206351797381593</v>
      </c>
      <c r="E300" s="191">
        <f t="shared" si="245"/>
        <v>-1.3605482698963427</v>
      </c>
      <c r="F300" s="191">
        <f t="shared" si="245"/>
        <v>-1.4540579887029172</v>
      </c>
      <c r="G300" s="191">
        <f t="shared" si="245"/>
        <v>-1.5274336536135729</v>
      </c>
      <c r="H300" s="191">
        <f t="shared" si="245"/>
        <v>-1.0654688785707429</v>
      </c>
      <c r="I300" s="191">
        <f t="shared" si="245"/>
        <v>-2.7596642218480589</v>
      </c>
      <c r="J300" s="191">
        <f t="shared" si="245"/>
        <v>-2.2102082170704533</v>
      </c>
      <c r="K300" s="191">
        <f t="shared" si="245"/>
        <v>-0.3335874311876128</v>
      </c>
      <c r="L300" s="191">
        <f t="shared" si="245"/>
        <v>-0.39478580644970068</v>
      </c>
      <c r="M300" s="191">
        <f t="shared" si="245"/>
        <v>-3.7320976278528697</v>
      </c>
      <c r="N300" s="191">
        <f t="shared" si="245"/>
        <v>-2.9919290891708372</v>
      </c>
      <c r="O300" s="192">
        <f>SUM(C300:N300)</f>
        <v>-22.107330881615646</v>
      </c>
    </row>
    <row r="301" spans="2:16" s="114" customFormat="1" ht="15.75" thickBot="1">
      <c r="B301" s="123" t="s">
        <v>46</v>
      </c>
      <c r="C301" s="124">
        <f>IFERROR(C300/C$282,0)</f>
        <v>-0.17771518454122875</v>
      </c>
      <c r="D301" s="125">
        <f t="shared" ref="D301" si="246">IFERROR(D300/D$282,0)</f>
        <v>-0.22508066474692279</v>
      </c>
      <c r="E301" s="125">
        <f t="shared" ref="E301" si="247">IFERROR(E300/E$282,0)</f>
        <v>-0.1273178297649005</v>
      </c>
      <c r="F301" s="125">
        <f t="shared" ref="F301" si="248">IFERROR(F300/F$282,0)</f>
        <v>-0.13114732446993049</v>
      </c>
      <c r="G301" s="125">
        <f t="shared" ref="G301" si="249">IFERROR(G300/G$282,0)</f>
        <v>-0.13320833429171383</v>
      </c>
      <c r="H301" s="125">
        <f t="shared" ref="H301" si="250">IFERROR(H300/H$282,0)</f>
        <v>-9.8252746816135605E-2</v>
      </c>
      <c r="I301" s="125">
        <f t="shared" ref="I301" si="251">IFERROR(I300/I$282,0)</f>
        <v>-0.21812423358612784</v>
      </c>
      <c r="J301" s="125">
        <f t="shared" ref="J301:N301" si="252">IFERROR(J300/J$282,0)</f>
        <v>-0.18926662999755348</v>
      </c>
      <c r="K301" s="125">
        <f t="shared" si="252"/>
        <v>-2.6620276821945416E-2</v>
      </c>
      <c r="L301" s="125">
        <f t="shared" si="252"/>
        <v>-3.46528451670952E-2</v>
      </c>
      <c r="M301" s="125">
        <f t="shared" si="252"/>
        <v>-0.31805304213275226</v>
      </c>
      <c r="N301" s="125">
        <f t="shared" si="252"/>
        <v>-0.23387642530969088</v>
      </c>
      <c r="O301" s="126">
        <f t="shared" ref="O301" si="253">IFERROR(O300/O$282,0)</f>
        <v>-0.16011925958733</v>
      </c>
      <c r="P301" s="119"/>
    </row>
    <row r="303" spans="2:16" ht="15.75" thickBot="1"/>
    <row r="304" spans="2:16" ht="15.75" thickBot="1">
      <c r="B304" s="97" t="s">
        <v>94</v>
      </c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9"/>
    </row>
    <row r="305" spans="2:19" ht="15.75" thickBot="1">
      <c r="B305" s="129" t="s">
        <v>103</v>
      </c>
      <c r="C305" s="111" t="s">
        <v>80</v>
      </c>
      <c r="D305" s="101" t="s">
        <v>81</v>
      </c>
      <c r="E305" s="101" t="s">
        <v>82</v>
      </c>
      <c r="F305" s="101" t="s">
        <v>83</v>
      </c>
      <c r="G305" s="101" t="s">
        <v>84</v>
      </c>
      <c r="H305" s="101" t="s">
        <v>85</v>
      </c>
      <c r="I305" s="101" t="s">
        <v>86</v>
      </c>
      <c r="J305" s="101" t="s">
        <v>87</v>
      </c>
      <c r="K305" s="101" t="s">
        <v>88</v>
      </c>
      <c r="L305" s="101" t="s">
        <v>89</v>
      </c>
      <c r="M305" s="101" t="s">
        <v>90</v>
      </c>
      <c r="N305" s="101" t="s">
        <v>91</v>
      </c>
      <c r="O305" s="102" t="s">
        <v>92</v>
      </c>
    </row>
    <row r="306" spans="2:19">
      <c r="B306" s="113" t="s">
        <v>101</v>
      </c>
      <c r="C306" s="169">
        <f t="shared" ref="C306:N306" si="254">C193</f>
        <v>14.665205743124313</v>
      </c>
      <c r="D306" s="170">
        <f t="shared" si="254"/>
        <v>13.869827877598732</v>
      </c>
      <c r="E306" s="170">
        <f t="shared" si="254"/>
        <v>12.597533658605036</v>
      </c>
      <c r="F306" s="170">
        <f t="shared" si="254"/>
        <v>11.463417200397569</v>
      </c>
      <c r="G306" s="170">
        <f t="shared" si="254"/>
        <v>12.646535340827011</v>
      </c>
      <c r="H306" s="170">
        <f t="shared" si="254"/>
        <v>11.347641521258172</v>
      </c>
      <c r="I306" s="170">
        <f t="shared" si="254"/>
        <v>11.453538824131803</v>
      </c>
      <c r="J306" s="170">
        <f t="shared" si="254"/>
        <v>12.563629717367112</v>
      </c>
      <c r="K306" s="170">
        <f t="shared" si="254"/>
        <v>10.432420561741734</v>
      </c>
      <c r="L306" s="170">
        <f t="shared" si="254"/>
        <v>11.242472725505889</v>
      </c>
      <c r="M306" s="170">
        <f t="shared" si="254"/>
        <v>9.5569862775821601</v>
      </c>
      <c r="N306" s="170">
        <f t="shared" si="254"/>
        <v>8.5201134215633658</v>
      </c>
      <c r="O306" s="178">
        <f>SUM(C306:N306)</f>
        <v>140.35932286970288</v>
      </c>
      <c r="R306" s="234">
        <f>SUM(I306:N306)</f>
        <v>63.769161527892066</v>
      </c>
    </row>
    <row r="307" spans="2:19">
      <c r="B307" s="115" t="s">
        <v>105</v>
      </c>
      <c r="C307" s="171">
        <f t="shared" ref="C307:N307" si="255">C98</f>
        <v>1439.2955727999997</v>
      </c>
      <c r="D307" s="172">
        <f t="shared" si="255"/>
        <v>1373.1529299999997</v>
      </c>
      <c r="E307" s="172">
        <f t="shared" si="255"/>
        <v>1233.6314364559998</v>
      </c>
      <c r="F307" s="172">
        <f t="shared" si="255"/>
        <v>1105.9044881999998</v>
      </c>
      <c r="G307" s="172">
        <f t="shared" si="255"/>
        <v>1195.6110272399999</v>
      </c>
      <c r="H307" s="172">
        <f t="shared" si="255"/>
        <v>1072.2108799999996</v>
      </c>
      <c r="I307" s="172">
        <f t="shared" si="255"/>
        <v>1074.7047791839989</v>
      </c>
      <c r="J307" s="172">
        <f t="shared" si="255"/>
        <v>1157.872717</v>
      </c>
      <c r="K307" s="172">
        <f t="shared" si="255"/>
        <v>938.95170460799989</v>
      </c>
      <c r="L307" s="172">
        <f t="shared" si="255"/>
        <v>1033.6178099999997</v>
      </c>
      <c r="M307" s="172">
        <f t="shared" si="255"/>
        <v>893.32584419999989</v>
      </c>
      <c r="N307" s="172">
        <f t="shared" si="255"/>
        <v>809.72335579999992</v>
      </c>
      <c r="O307" s="178">
        <f>SUM(C307:N307)</f>
        <v>13328.002545488</v>
      </c>
      <c r="R307" s="234">
        <f>SUM(I307:N307)</f>
        <v>5908.1962107919981</v>
      </c>
      <c r="S307" s="93">
        <f>R306/R307*10^7</f>
        <v>107933.38483141501</v>
      </c>
    </row>
    <row r="308" spans="2:19">
      <c r="B308" s="131" t="s">
        <v>104</v>
      </c>
      <c r="C308" s="133">
        <f t="shared" ref="C308:O308" si="256">C306*10^7/C98</f>
        <v>101891.55042417508</v>
      </c>
      <c r="D308" s="134">
        <f t="shared" si="256"/>
        <v>101007.16077996306</v>
      </c>
      <c r="E308" s="134">
        <f t="shared" si="256"/>
        <v>102117.48246944381</v>
      </c>
      <c r="F308" s="134">
        <f t="shared" si="256"/>
        <v>103656.48501034423</v>
      </c>
      <c r="G308" s="134">
        <f t="shared" si="256"/>
        <v>105774.66293549348</v>
      </c>
      <c r="H308" s="134">
        <f t="shared" si="256"/>
        <v>105834.04564275804</v>
      </c>
      <c r="I308" s="134">
        <f t="shared" si="256"/>
        <v>106573.81493016379</v>
      </c>
      <c r="J308" s="134">
        <f t="shared" si="256"/>
        <v>108506.13830783538</v>
      </c>
      <c r="K308" s="134">
        <f t="shared" si="256"/>
        <v>111107.10498254151</v>
      </c>
      <c r="L308" s="134">
        <f t="shared" si="256"/>
        <v>108768.17927030391</v>
      </c>
      <c r="M308" s="134">
        <f t="shared" si="256"/>
        <v>106982.0865435806</v>
      </c>
      <c r="N308" s="134">
        <f t="shared" si="256"/>
        <v>105222.52273612097</v>
      </c>
      <c r="O308" s="135">
        <f t="shared" si="256"/>
        <v>105311.59668574606</v>
      </c>
    </row>
    <row r="309" spans="2:19" s="128" customFormat="1">
      <c r="B309" s="127" t="s">
        <v>106</v>
      </c>
      <c r="C309" s="176">
        <v>6.5890660625054647</v>
      </c>
      <c r="D309" s="177">
        <v>6.5750381735278944</v>
      </c>
      <c r="E309" s="228">
        <v>6.093198815273702</v>
      </c>
      <c r="F309" s="177">
        <v>5.4559643629210006</v>
      </c>
      <c r="G309" s="177">
        <v>6.1446000529753624</v>
      </c>
      <c r="H309" s="177">
        <v>5.6763200116036554</v>
      </c>
      <c r="I309" s="177">
        <v>5.1638883623291401</v>
      </c>
      <c r="J309" s="177">
        <v>5.9343742154665637</v>
      </c>
      <c r="K309" s="177">
        <v>4.7820141930081306</v>
      </c>
      <c r="L309" s="177">
        <v>5.5589261143944793</v>
      </c>
      <c r="M309" s="177">
        <v>4.7214834026303079</v>
      </c>
      <c r="N309" s="177">
        <v>4.4481688992323427</v>
      </c>
      <c r="O309" s="178">
        <f>SUM(C309:N309)</f>
        <v>67.143042665868052</v>
      </c>
      <c r="R309" s="234">
        <f>SUM(I309:N309)</f>
        <v>30.608855187060964</v>
      </c>
    </row>
    <row r="310" spans="2:19" s="128" customFormat="1">
      <c r="B310" s="127" t="s">
        <v>30</v>
      </c>
      <c r="C310" s="176">
        <f>-0.43+0.25</f>
        <v>-0.18</v>
      </c>
      <c r="D310" s="177">
        <f>0.8</f>
        <v>0.8</v>
      </c>
      <c r="E310" s="228">
        <v>-0.18</v>
      </c>
      <c r="F310" s="177">
        <f>-0.42</f>
        <v>-0.42</v>
      </c>
      <c r="G310" s="177">
        <v>-0.28999999999999998</v>
      </c>
      <c r="H310" s="177">
        <v>0.8</v>
      </c>
      <c r="I310" s="177">
        <v>0.35</v>
      </c>
      <c r="J310" s="177">
        <v>0.82</v>
      </c>
      <c r="K310" s="177">
        <f>-0.5</f>
        <v>-0.5</v>
      </c>
      <c r="L310" s="177">
        <v>0.12</v>
      </c>
      <c r="M310" s="177">
        <v>0.77</v>
      </c>
      <c r="N310" s="177">
        <v>0.05</v>
      </c>
      <c r="O310" s="178">
        <f>SUM(C310:N310)</f>
        <v>2.14</v>
      </c>
      <c r="R310" s="234">
        <f>SUM(I310:N310)</f>
        <v>1.61</v>
      </c>
    </row>
    <row r="311" spans="2:19" s="128" customFormat="1">
      <c r="B311" s="112" t="s">
        <v>46</v>
      </c>
      <c r="C311" s="120">
        <f>(C309+C310)/C306</f>
        <v>0.43702530839093851</v>
      </c>
      <c r="D311" s="121">
        <f t="shared" ref="D311:O311" si="257">(D309+D310)/D306</f>
        <v>0.53173249434763181</v>
      </c>
      <c r="E311" s="121">
        <f t="shared" si="257"/>
        <v>0.46939337298254058</v>
      </c>
      <c r="F311" s="121">
        <f t="shared" si="257"/>
        <v>0.43930743118608173</v>
      </c>
      <c r="G311" s="121">
        <f t="shared" si="257"/>
        <v>0.46294102654937153</v>
      </c>
      <c r="H311" s="121">
        <f t="shared" si="257"/>
        <v>0.57071947500907594</v>
      </c>
      <c r="I311" s="121">
        <f t="shared" si="257"/>
        <v>0.48141351306303376</v>
      </c>
      <c r="J311" s="121">
        <f t="shared" si="257"/>
        <v>0.53761328273864784</v>
      </c>
      <c r="K311" s="121">
        <f t="shared" si="257"/>
        <v>0.41045260471106154</v>
      </c>
      <c r="L311" s="121">
        <f t="shared" si="257"/>
        <v>0.50513141130515293</v>
      </c>
      <c r="M311" s="121">
        <f t="shared" si="257"/>
        <v>0.57460408994325862</v>
      </c>
      <c r="N311" s="121">
        <f t="shared" si="257"/>
        <v>0.5279470679167283</v>
      </c>
      <c r="O311" s="229">
        <f t="shared" si="257"/>
        <v>0.49361197567321036</v>
      </c>
    </row>
    <row r="312" spans="2:19">
      <c r="B312" s="127" t="s">
        <v>100</v>
      </c>
      <c r="C312" s="177">
        <v>4.7461041066765768</v>
      </c>
      <c r="D312" s="177">
        <v>3.6394450812112198</v>
      </c>
      <c r="E312" s="177">
        <v>3.6894450812112196</v>
      </c>
      <c r="F312" s="177">
        <v>3.1194450812112198</v>
      </c>
      <c r="G312" s="177">
        <v>2.1594450812112198</v>
      </c>
      <c r="H312" s="177">
        <v>2.7294450812112196</v>
      </c>
      <c r="I312" s="177">
        <v>3.0994450812112198</v>
      </c>
      <c r="J312" s="177">
        <v>2.8594450812112195</v>
      </c>
      <c r="K312" s="177">
        <v>3.3994450812112196</v>
      </c>
      <c r="L312" s="177">
        <v>2.6794450812112198</v>
      </c>
      <c r="M312" s="177">
        <v>1.9094450812112198</v>
      </c>
      <c r="N312" s="177">
        <v>1.4794450812112199</v>
      </c>
      <c r="O312" s="178">
        <f>SUM(C312:N312)</f>
        <v>35.509999999999991</v>
      </c>
      <c r="R312" s="234">
        <f>SUM(I312:N312)</f>
        <v>15.426670487267318</v>
      </c>
    </row>
    <row r="313" spans="2:19">
      <c r="B313" s="112" t="s">
        <v>46</v>
      </c>
      <c r="C313" s="116">
        <f>IFERROR(C312/C$306,0)</f>
        <v>0.32363024357171105</v>
      </c>
      <c r="D313" s="117">
        <f t="shared" ref="D313:O313" si="258">IFERROR(D312/D$306,0)</f>
        <v>0.26240016194356069</v>
      </c>
      <c r="E313" s="117">
        <f t="shared" si="258"/>
        <v>0.29287042854543666</v>
      </c>
      <c r="F313" s="117">
        <f t="shared" si="258"/>
        <v>0.27212174403833378</v>
      </c>
      <c r="G313" s="117">
        <f t="shared" si="258"/>
        <v>0.17075388816096129</v>
      </c>
      <c r="H313" s="117">
        <f t="shared" si="258"/>
        <v>0.2405297238283389</v>
      </c>
      <c r="I313" s="117">
        <f t="shared" si="258"/>
        <v>0.27061025669035199</v>
      </c>
      <c r="J313" s="117">
        <f t="shared" si="258"/>
        <v>0.22759705161148741</v>
      </c>
      <c r="K313" s="117">
        <f t="shared" si="258"/>
        <v>0.32585391483140791</v>
      </c>
      <c r="L313" s="117">
        <f t="shared" si="258"/>
        <v>0.23833236216195935</v>
      </c>
      <c r="M313" s="117">
        <f t="shared" si="258"/>
        <v>0.19979573327317718</v>
      </c>
      <c r="N313" s="117">
        <f t="shared" si="258"/>
        <v>0.17364147729147891</v>
      </c>
      <c r="O313" s="118">
        <f t="shared" si="258"/>
        <v>0.25299352600157754</v>
      </c>
      <c r="Q313" s="95"/>
    </row>
    <row r="314" spans="2:19">
      <c r="B314" s="131" t="s">
        <v>102</v>
      </c>
      <c r="C314" s="173">
        <v>1.5141666666666669</v>
      </c>
      <c r="D314" s="174">
        <v>1.7241666666666668</v>
      </c>
      <c r="E314" s="174">
        <v>1.9841666666666669</v>
      </c>
      <c r="F314" s="174">
        <v>1.6741666666666668</v>
      </c>
      <c r="G314" s="174">
        <v>1.604166666666667</v>
      </c>
      <c r="H314" s="174">
        <v>1.844166666666667</v>
      </c>
      <c r="I314" s="174">
        <v>1.5541666666666669</v>
      </c>
      <c r="J314" s="174">
        <v>1.5641666666666669</v>
      </c>
      <c r="K314" s="174">
        <v>1.9141666666666668</v>
      </c>
      <c r="L314" s="174">
        <v>2.9641666666666668</v>
      </c>
      <c r="M314" s="174">
        <v>1.354166666666667</v>
      </c>
      <c r="N314" s="174">
        <v>1.3941666666666668</v>
      </c>
      <c r="O314" s="175">
        <f>SUM(C314:N314)</f>
        <v>21.09</v>
      </c>
      <c r="Q314" s="95"/>
    </row>
    <row r="315" spans="2:19">
      <c r="B315" s="112" t="s">
        <v>96</v>
      </c>
      <c r="C315" s="116">
        <f>IFERROR(C314/C$306,0)</f>
        <v>0.10324892082585163</v>
      </c>
      <c r="D315" s="117">
        <f t="shared" ref="D315" si="259">IFERROR(D314/D$306,0)</f>
        <v>0.12431060297809333</v>
      </c>
      <c r="E315" s="117">
        <f t="shared" ref="E315" si="260">IFERROR(E314/E$306,0)</f>
        <v>0.15750437509736964</v>
      </c>
      <c r="F315" s="117">
        <f t="shared" ref="F315" si="261">IFERROR(F314/F$306,0)</f>
        <v>0.14604429354700657</v>
      </c>
      <c r="G315" s="117">
        <f t="shared" ref="G315" si="262">IFERROR(G314/G$306,0)</f>
        <v>0.12684633565114947</v>
      </c>
      <c r="H315" s="117">
        <f t="shared" ref="H315" si="263">IFERROR(H314/H$306,0)</f>
        <v>0.16251541460944868</v>
      </c>
      <c r="I315" s="117">
        <f t="shared" ref="I315" si="264">IFERROR(I314/I$306,0)</f>
        <v>0.13569314170325653</v>
      </c>
      <c r="J315" s="117">
        <f t="shared" ref="J315" si="265">IFERROR(J314/J$306,0)</f>
        <v>0.12449958346865864</v>
      </c>
      <c r="K315" s="117">
        <f t="shared" ref="K315" si="266">IFERROR(K314/K$306,0)</f>
        <v>0.18348250584206596</v>
      </c>
      <c r="L315" s="117">
        <f t="shared" ref="L315" si="267">IFERROR(L314/L$306,0)</f>
        <v>0.26365789262195299</v>
      </c>
      <c r="M315" s="117">
        <f t="shared" ref="M315" si="268">IFERROR(M314/M$306,0)</f>
        <v>0.1416939009155154</v>
      </c>
      <c r="N315" s="117">
        <f t="shared" ref="N315" si="269">IFERROR(N314/N$306,0)</f>
        <v>0.16363240695108605</v>
      </c>
      <c r="O315" s="118">
        <f t="shared" ref="O315" si="270">IFERROR(O314/O$306,0)</f>
        <v>0.15025720820538641</v>
      </c>
      <c r="Q315" s="95"/>
    </row>
    <row r="316" spans="2:19" ht="15.75">
      <c r="B316" s="140" t="s">
        <v>36</v>
      </c>
      <c r="C316" s="179">
        <f>C312-C314</f>
        <v>3.2319374400099097</v>
      </c>
      <c r="D316" s="180">
        <f t="shared" ref="D316:J316" si="271">D312-D314</f>
        <v>1.9152784145445529</v>
      </c>
      <c r="E316" s="181">
        <f t="shared" si="271"/>
        <v>1.7052784145445528</v>
      </c>
      <c r="F316" s="181">
        <f t="shared" si="271"/>
        <v>1.445278414544553</v>
      </c>
      <c r="G316" s="181">
        <f t="shared" si="271"/>
        <v>0.55527841454455285</v>
      </c>
      <c r="H316" s="181">
        <f t="shared" si="271"/>
        <v>0.88527841454455269</v>
      </c>
      <c r="I316" s="181">
        <f t="shared" si="271"/>
        <v>1.5452784145445528</v>
      </c>
      <c r="J316" s="181">
        <f t="shared" si="271"/>
        <v>1.2952784145445526</v>
      </c>
      <c r="K316" s="181">
        <f t="shared" ref="K316:N316" si="272">K312-K314</f>
        <v>1.4852784145445528</v>
      </c>
      <c r="L316" s="181">
        <f t="shared" si="272"/>
        <v>-0.28472158545544701</v>
      </c>
      <c r="M316" s="181">
        <f t="shared" si="272"/>
        <v>0.55527841454455285</v>
      </c>
      <c r="N316" s="181">
        <f t="shared" si="272"/>
        <v>8.5278414544553094E-2</v>
      </c>
      <c r="O316" s="182">
        <f>SUM(C316:N316)</f>
        <v>14.419999999999991</v>
      </c>
      <c r="Q316" s="95"/>
    </row>
    <row r="317" spans="2:19">
      <c r="B317" s="112" t="s">
        <v>96</v>
      </c>
      <c r="C317" s="116">
        <f>IFERROR(C316/C$306,0)</f>
        <v>0.22038132274585939</v>
      </c>
      <c r="D317" s="117">
        <f t="shared" ref="D317" si="273">IFERROR(D316/D$306,0)</f>
        <v>0.13808955896546735</v>
      </c>
      <c r="E317" s="117">
        <f t="shared" ref="E317" si="274">IFERROR(E316/E$306,0)</f>
        <v>0.13536605344806704</v>
      </c>
      <c r="F317" s="117">
        <f t="shared" ref="F317" si="275">IFERROR(F316/F$306,0)</f>
        <v>0.12607745049132718</v>
      </c>
      <c r="G317" s="117">
        <f t="shared" ref="G317" si="276">IFERROR(G316/G$306,0)</f>
        <v>4.3907552509811813E-2</v>
      </c>
      <c r="H317" s="117">
        <f t="shared" ref="H317" si="277">IFERROR(H316/H$306,0)</f>
        <v>7.8014309218890202E-2</v>
      </c>
      <c r="I317" s="117">
        <f t="shared" ref="I317" si="278">IFERROR(I316/I$306,0)</f>
        <v>0.13491711498709549</v>
      </c>
      <c r="J317" s="117">
        <f t="shared" ref="J317" si="279">IFERROR(J316/J$306,0)</f>
        <v>0.10309746814282876</v>
      </c>
      <c r="K317" s="117">
        <f t="shared" ref="K317" si="280">IFERROR(K316/K$306,0)</f>
        <v>0.14237140898934192</v>
      </c>
      <c r="L317" s="117">
        <f t="shared" ref="L317" si="281">IFERROR(L316/L$306,0)</f>
        <v>-2.5325530459993629E-2</v>
      </c>
      <c r="M317" s="117">
        <f t="shared" ref="M317" si="282">IFERROR(M316/M$306,0)</f>
        <v>5.8101832357661788E-2</v>
      </c>
      <c r="N317" s="117">
        <f t="shared" ref="N317" si="283">IFERROR(N316/N$306,0)</f>
        <v>1.000907034039287E-2</v>
      </c>
      <c r="O317" s="118">
        <f t="shared" ref="O317" si="284">IFERROR(O316/O$306,0)</f>
        <v>0.10273631779619112</v>
      </c>
    </row>
    <row r="318" spans="2:19">
      <c r="B318" s="130" t="s">
        <v>99</v>
      </c>
      <c r="C318" s="193">
        <v>1.84</v>
      </c>
      <c r="D318" s="194">
        <v>1.98</v>
      </c>
      <c r="E318" s="195">
        <v>1.47</v>
      </c>
      <c r="F318" s="195">
        <v>1.84</v>
      </c>
      <c r="G318" s="195">
        <v>1.78</v>
      </c>
      <c r="H318" s="195">
        <v>1.83</v>
      </c>
      <c r="I318" s="195">
        <v>1.98</v>
      </c>
      <c r="J318" s="195">
        <v>1.82</v>
      </c>
      <c r="K318" s="195">
        <v>1.72</v>
      </c>
      <c r="L318" s="195">
        <v>1.89</v>
      </c>
      <c r="M318" s="195">
        <v>1.81</v>
      </c>
      <c r="N318" s="195">
        <v>2.06</v>
      </c>
      <c r="O318" s="196">
        <f>SUM(C318:N318)</f>
        <v>22.02</v>
      </c>
    </row>
    <row r="319" spans="2:19">
      <c r="B319" s="112" t="s">
        <v>96</v>
      </c>
      <c r="C319" s="116">
        <f>IFERROR(C318/C$306,0)</f>
        <v>0.12546704302888298</v>
      </c>
      <c r="D319" s="117">
        <f t="shared" ref="D319" si="285">IFERROR(D318/D$306,0)</f>
        <v>0.14275591719475578</v>
      </c>
      <c r="E319" s="117">
        <f t="shared" ref="E319" si="286">IFERROR(E318/E$306,0)</f>
        <v>0.11668950763198657</v>
      </c>
      <c r="F319" s="117">
        <f t="shared" ref="F319" si="287">IFERROR(F318/F$306,0)</f>
        <v>0.16051060236525161</v>
      </c>
      <c r="G319" s="117">
        <f t="shared" ref="G319" si="288">IFERROR(G318/G$306,0)</f>
        <v>0.14075001192252218</v>
      </c>
      <c r="H319" s="117">
        <f t="shared" ref="H319" si="289">IFERROR(H318/H$306,0)</f>
        <v>0.16126699072858081</v>
      </c>
      <c r="I319" s="117">
        <f t="shared" ref="I319" si="290">IFERROR(I318/I$306,0)</f>
        <v>0.17287233495278148</v>
      </c>
      <c r="J319" s="117">
        <f t="shared" ref="J319" si="291">IFERROR(J318/J$306,0)</f>
        <v>0.14486259472325544</v>
      </c>
      <c r="K319" s="117">
        <f t="shared" ref="K319" si="292">IFERROR(K318/K$306,0)</f>
        <v>0.1648706539216474</v>
      </c>
      <c r="L319" s="117">
        <f t="shared" ref="L319" si="293">IFERROR(L318/L$306,0)</f>
        <v>0.16811248256018815</v>
      </c>
      <c r="M319" s="117">
        <f t="shared" ref="M319" si="294">IFERROR(M318/M$306,0)</f>
        <v>0.18939024786984579</v>
      </c>
      <c r="N319" s="117">
        <f t="shared" ref="N319" si="295">IFERROR(N318/N$306,0)</f>
        <v>0.24178081887811398</v>
      </c>
      <c r="O319" s="118">
        <f t="shared" ref="O319" si="296">IFERROR(O318/O$306,0)</f>
        <v>0.15688305949182593</v>
      </c>
    </row>
    <row r="320" spans="2:19">
      <c r="B320" s="136" t="s">
        <v>52</v>
      </c>
      <c r="C320" s="137">
        <f>C316-C318</f>
        <v>1.3919374400099096</v>
      </c>
      <c r="D320" s="138">
        <f>D316-D318</f>
        <v>-6.4721585455447039E-2</v>
      </c>
      <c r="E320" s="138">
        <f t="shared" ref="E320:J320" si="297">E316-E318</f>
        <v>0.23527841454455278</v>
      </c>
      <c r="F320" s="138">
        <f t="shared" si="297"/>
        <v>-0.39472158545544711</v>
      </c>
      <c r="G320" s="138">
        <f t="shared" si="297"/>
        <v>-1.2247215854554472</v>
      </c>
      <c r="H320" s="138">
        <f t="shared" si="297"/>
        <v>-0.94472158545544738</v>
      </c>
      <c r="I320" s="138">
        <f t="shared" si="297"/>
        <v>-0.43472158545544715</v>
      </c>
      <c r="J320" s="138">
        <f t="shared" si="297"/>
        <v>-0.52472158545544745</v>
      </c>
      <c r="K320" s="138">
        <f t="shared" ref="K320:N320" si="298">K316-K318</f>
        <v>-0.23472158545544719</v>
      </c>
      <c r="L320" s="138">
        <f t="shared" si="298"/>
        <v>-2.1747215854554467</v>
      </c>
      <c r="M320" s="138">
        <f t="shared" si="298"/>
        <v>-1.2547215854554472</v>
      </c>
      <c r="N320" s="138">
        <f t="shared" si="298"/>
        <v>-1.974721585455447</v>
      </c>
      <c r="O320" s="139">
        <f t="shared" ref="O320" si="299">O316-O318</f>
        <v>-7.6000000000000085</v>
      </c>
    </row>
    <row r="321" spans="2:15">
      <c r="B321" s="112" t="s">
        <v>46</v>
      </c>
      <c r="C321" s="116">
        <f>IFERROR(C320/C$306,0)</f>
        <v>9.4914279716976385E-2</v>
      </c>
      <c r="D321" s="117">
        <f t="shared" ref="D321" si="300">IFERROR(D320/D$306,0)</f>
        <v>-4.6663582292884387E-3</v>
      </c>
      <c r="E321" s="117">
        <f t="shared" ref="E321" si="301">IFERROR(E320/E$306,0)</f>
        <v>1.867654581608047E-2</v>
      </c>
      <c r="F321" s="117">
        <f t="shared" ref="F321" si="302">IFERROR(F320/F$306,0)</f>
        <v>-3.4433151873924435E-2</v>
      </c>
      <c r="G321" s="117">
        <f t="shared" ref="G321" si="303">IFERROR(G320/G$306,0)</f>
        <v>-9.6842459412710372E-2</v>
      </c>
      <c r="H321" s="117">
        <f t="shared" ref="H321" si="304">IFERROR(H320/H$306,0)</f>
        <v>-8.325268150969059E-2</v>
      </c>
      <c r="I321" s="117">
        <f t="shared" ref="I321" si="305">IFERROR(I320/I$306,0)</f>
        <v>-3.7955219965686002E-2</v>
      </c>
      <c r="J321" s="117">
        <f t="shared" ref="J321" si="306">IFERROR(J320/J$306,0)</f>
        <v>-4.1765126580426658E-2</v>
      </c>
      <c r="K321" s="117">
        <f t="shared" ref="K321" si="307">IFERROR(K320/K$306,0)</f>
        <v>-2.2499244932305477E-2</v>
      </c>
      <c r="L321" s="117">
        <f t="shared" ref="L321" si="308">IFERROR(L320/L$306,0)</f>
        <v>-0.19343801302018176</v>
      </c>
      <c r="M321" s="117">
        <f t="shared" ref="M321" si="309">IFERROR(M320/M$306,0)</f>
        <v>-0.13128841551218398</v>
      </c>
      <c r="N321" s="117">
        <f t="shared" ref="N321" si="310">IFERROR(N320/N$306,0)</f>
        <v>-0.23177174853772109</v>
      </c>
      <c r="O321" s="118">
        <f t="shared" ref="O321" si="311">IFERROR(O320/O$306,0)</f>
        <v>-5.4146741695634805E-2</v>
      </c>
    </row>
    <row r="322" spans="2:15">
      <c r="B322" s="130" t="s">
        <v>97</v>
      </c>
      <c r="C322" s="193">
        <v>0.19</v>
      </c>
      <c r="D322" s="194">
        <v>0.14000000000000001</v>
      </c>
      <c r="E322" s="195">
        <v>0.06</v>
      </c>
      <c r="F322" s="195">
        <v>0.17</v>
      </c>
      <c r="G322" s="195">
        <v>0.2</v>
      </c>
      <c r="H322" s="195">
        <v>0.17531688552025371</v>
      </c>
      <c r="I322" s="195">
        <v>0.14499999999999999</v>
      </c>
      <c r="J322" s="195">
        <v>0.12</v>
      </c>
      <c r="K322" s="195">
        <v>0.1</v>
      </c>
      <c r="L322" s="195">
        <v>0.12</v>
      </c>
      <c r="M322" s="195">
        <v>0.16</v>
      </c>
      <c r="N322" s="195">
        <v>0.15</v>
      </c>
      <c r="O322" s="196">
        <f>SUM(C322:N322)</f>
        <v>1.7303168855202535</v>
      </c>
    </row>
    <row r="323" spans="2:15">
      <c r="B323" s="112" t="s">
        <v>46</v>
      </c>
      <c r="C323" s="116">
        <f>IFERROR(C322/C$306,0)</f>
        <v>1.2955835964939004E-2</v>
      </c>
      <c r="D323" s="117">
        <f t="shared" ref="D323" si="312">IFERROR(D322/D$306,0)</f>
        <v>1.009385273094233E-2</v>
      </c>
      <c r="E323" s="117">
        <f t="shared" ref="E323" si="313">IFERROR(E322/E$306,0)</f>
        <v>4.762837046203533E-3</v>
      </c>
      <c r="F323" s="117">
        <f t="shared" ref="F323" si="314">IFERROR(F322/F$306,0)</f>
        <v>1.4829783914180857E-2</v>
      </c>
      <c r="G323" s="117">
        <f t="shared" ref="G323" si="315">IFERROR(G322/G$306,0)</f>
        <v>1.581460808118227E-2</v>
      </c>
      <c r="H323" s="117">
        <f t="shared" ref="H323" si="316">IFERROR(H322/H$306,0)</f>
        <v>1.5449631995496401E-2</v>
      </c>
      <c r="I323" s="117">
        <f t="shared" ref="I323" si="317">IFERROR(I322/I$306,0)</f>
        <v>1.2659842711188541E-2</v>
      </c>
      <c r="J323" s="117">
        <f t="shared" ref="J323" si="318">IFERROR(J322/J$306,0)</f>
        <v>9.5513798718629937E-3</v>
      </c>
      <c r="K323" s="117">
        <f t="shared" ref="K323" si="319">IFERROR(K322/K$306,0)</f>
        <v>9.585503134979502E-3</v>
      </c>
      <c r="L323" s="117">
        <f t="shared" ref="L323" si="320">IFERROR(L322/L$306,0)</f>
        <v>1.0673808416519883E-2</v>
      </c>
      <c r="M323" s="117">
        <f t="shared" ref="M323" si="321">IFERROR(M322/M$306,0)</f>
        <v>1.6741679369710123E-2</v>
      </c>
      <c r="N323" s="117">
        <f t="shared" ref="N323" si="322">IFERROR(N322/N$306,0)</f>
        <v>1.7605399432872374E-2</v>
      </c>
      <c r="O323" s="118">
        <f t="shared" ref="O323" si="323">IFERROR(O322/O$306,0)</f>
        <v>1.2327765980507941E-2</v>
      </c>
    </row>
    <row r="324" spans="2:15" ht="15.75">
      <c r="B324" s="141" t="s">
        <v>98</v>
      </c>
      <c r="C324" s="190">
        <f>C320-C322</f>
        <v>1.2019374400099097</v>
      </c>
      <c r="D324" s="191">
        <f t="shared" ref="D324:J324" si="324">D320-D322</f>
        <v>-0.20472158545544705</v>
      </c>
      <c r="E324" s="191">
        <f t="shared" si="324"/>
        <v>0.17527841454455279</v>
      </c>
      <c r="F324" s="191">
        <f t="shared" si="324"/>
        <v>-0.56472158545544715</v>
      </c>
      <c r="G324" s="191">
        <f t="shared" si="324"/>
        <v>-1.4247215854554471</v>
      </c>
      <c r="H324" s="191">
        <f t="shared" si="324"/>
        <v>-1.1200384709757012</v>
      </c>
      <c r="I324" s="191">
        <f t="shared" si="324"/>
        <v>-0.57972158545544716</v>
      </c>
      <c r="J324" s="191">
        <f t="shared" si="324"/>
        <v>-0.64472158545544744</v>
      </c>
      <c r="K324" s="191">
        <f t="shared" ref="K324:N324" si="325">K320-K322</f>
        <v>-0.33472158545544717</v>
      </c>
      <c r="L324" s="191">
        <f t="shared" si="325"/>
        <v>-2.2947215854554468</v>
      </c>
      <c r="M324" s="191">
        <f t="shared" si="325"/>
        <v>-1.4147215854554471</v>
      </c>
      <c r="N324" s="191">
        <f t="shared" si="325"/>
        <v>-2.1247215854554469</v>
      </c>
      <c r="O324" s="192">
        <f t="shared" ref="O324" si="326">O320-O322</f>
        <v>-9.3303168855202614</v>
      </c>
    </row>
    <row r="325" spans="2:15" ht="15.75" thickBot="1">
      <c r="B325" s="123" t="s">
        <v>46</v>
      </c>
      <c r="C325" s="124">
        <f>IFERROR(C324/C$306,0)</f>
        <v>8.1958443752037383E-2</v>
      </c>
      <c r="D325" s="125">
        <f t="shared" ref="D325" si="327">IFERROR(D324/D$306,0)</f>
        <v>-1.4760210960230767E-2</v>
      </c>
      <c r="E325" s="125">
        <f t="shared" ref="E325" si="328">IFERROR(E324/E$306,0)</f>
        <v>1.3913708769876937E-2</v>
      </c>
      <c r="F325" s="125">
        <f t="shared" ref="F325" si="329">IFERROR(F324/F$306,0)</f>
        <v>-4.926293578810529E-2</v>
      </c>
      <c r="G325" s="125">
        <f t="shared" ref="G325" si="330">IFERROR(G324/G$306,0)</f>
        <v>-0.11265706749389263</v>
      </c>
      <c r="H325" s="125">
        <f t="shared" ref="H325" si="331">IFERROR(H324/H$306,0)</f>
        <v>-9.8702313505187003E-2</v>
      </c>
      <c r="I325" s="125">
        <f t="shared" ref="I325" si="332">IFERROR(I324/I$306,0)</f>
        <v>-5.0615062676874545E-2</v>
      </c>
      <c r="J325" s="125">
        <f t="shared" ref="J325" si="333">IFERROR(J324/J$306,0)</f>
        <v>-5.1316506452289655E-2</v>
      </c>
      <c r="K325" s="125">
        <f t="shared" ref="K325" si="334">IFERROR(K324/K$306,0)</f>
        <v>-3.2084748067284979E-2</v>
      </c>
      <c r="L325" s="125">
        <f t="shared" ref="L325" si="335">IFERROR(L324/L$306,0)</f>
        <v>-0.20411182143670167</v>
      </c>
      <c r="M325" s="125">
        <f t="shared" ref="M325" si="336">IFERROR(M324/M$306,0)</f>
        <v>-0.14803009488189411</v>
      </c>
      <c r="N325" s="125">
        <f t="shared" ref="N325" si="337">IFERROR(N324/N$306,0)</f>
        <v>-0.24937714797059346</v>
      </c>
      <c r="O325" s="126">
        <f t="shared" ref="O325" si="338">IFERROR(O324/O$306,0)</f>
        <v>-6.6474507676142741E-2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80"/>
  <sheetViews>
    <sheetView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H26" sqref="H26"/>
    </sheetView>
  </sheetViews>
  <sheetFormatPr defaultRowHeight="12.75"/>
  <cols>
    <col min="1" max="1" width="2.140625" style="10" customWidth="1"/>
    <col min="2" max="2" width="4.140625" style="10" customWidth="1"/>
    <col min="3" max="3" width="36.28515625" style="10" customWidth="1"/>
    <col min="4" max="4" width="12.7109375" style="10" customWidth="1"/>
    <col min="5" max="5" width="10.5703125" style="10" customWidth="1"/>
    <col min="6" max="6" width="13.42578125" style="10" customWidth="1"/>
    <col min="7" max="7" width="10.85546875" style="10" customWidth="1"/>
    <col min="8" max="8" width="12.7109375" style="10" customWidth="1"/>
    <col min="9" max="9" width="13.5703125" style="10" bestFit="1" customWidth="1"/>
    <col min="10" max="10" width="13.42578125" style="10" customWidth="1"/>
    <col min="11" max="12" width="9.140625" style="10"/>
    <col min="13" max="13" width="12.140625" style="10" customWidth="1"/>
    <col min="14" max="14" width="13.5703125" style="10" bestFit="1" customWidth="1"/>
    <col min="15" max="16384" width="9.140625" style="10"/>
  </cols>
  <sheetData>
    <row r="1" spans="3:16" ht="13.5" thickBot="1"/>
    <row r="2" spans="3:16" ht="13.5" thickBot="1">
      <c r="C2" s="51"/>
      <c r="D2" s="412" t="s">
        <v>47</v>
      </c>
      <c r="E2" s="413"/>
      <c r="F2" s="412" t="s">
        <v>3</v>
      </c>
      <c r="G2" s="413"/>
      <c r="H2" s="412" t="s">
        <v>47</v>
      </c>
      <c r="I2" s="413"/>
      <c r="J2" s="412" t="s">
        <v>3</v>
      </c>
      <c r="K2" s="413"/>
    </row>
    <row r="3" spans="3:16" ht="15" customHeight="1">
      <c r="C3" s="52"/>
      <c r="D3" s="418" t="s">
        <v>161</v>
      </c>
      <c r="E3" s="411"/>
      <c r="F3" s="410" t="str">
        <f>D3</f>
        <v>MARCH</v>
      </c>
      <c r="G3" s="411"/>
      <c r="H3" s="410" t="str">
        <f>"YTD "&amp;D3</f>
        <v>YTD MARCH</v>
      </c>
      <c r="I3" s="411"/>
      <c r="J3" s="410" t="str">
        <f>H3</f>
        <v>YTD MARCH</v>
      </c>
      <c r="K3" s="411"/>
    </row>
    <row r="4" spans="3:16" ht="13.5" thickBot="1">
      <c r="C4" s="53"/>
      <c r="D4" s="96" t="s">
        <v>48</v>
      </c>
      <c r="E4" s="50" t="s">
        <v>46</v>
      </c>
      <c r="F4" s="49" t="s">
        <v>48</v>
      </c>
      <c r="G4" s="50" t="s">
        <v>46</v>
      </c>
      <c r="H4" s="49" t="s">
        <v>48</v>
      </c>
      <c r="I4" s="50" t="s">
        <v>46</v>
      </c>
      <c r="J4" s="49" t="s">
        <v>48</v>
      </c>
      <c r="K4" s="50" t="s">
        <v>46</v>
      </c>
    </row>
    <row r="5" spans="3:16">
      <c r="C5" s="92" t="s">
        <v>25</v>
      </c>
      <c r="D5" s="197">
        <f>'Sales '!D28</f>
        <v>1628.0141576000558</v>
      </c>
      <c r="E5" s="213"/>
      <c r="F5" s="197">
        <f>'Sales '!C28</f>
        <v>1837.3085039662938</v>
      </c>
      <c r="G5" s="213"/>
      <c r="H5" s="197">
        <f>'Sales '!K28</f>
        <v>21193.547384703437</v>
      </c>
      <c r="I5" s="213"/>
      <c r="J5" s="197">
        <f>'Sales '!J28</f>
        <v>20877.331392</v>
      </c>
      <c r="K5" s="213"/>
      <c r="L5" s="89"/>
    </row>
    <row r="6" spans="3:16">
      <c r="C6" s="54" t="s">
        <v>45</v>
      </c>
      <c r="D6" s="359">
        <f>D7/D5*10^7</f>
        <v>100654.65589781229</v>
      </c>
      <c r="E6" s="223"/>
      <c r="F6" s="359">
        <f>F7/F5*10^7</f>
        <v>101087.04024124511</v>
      </c>
      <c r="G6" s="223"/>
      <c r="H6" s="359">
        <f>H7/H5*10^7</f>
        <v>97123.507504253896</v>
      </c>
      <c r="I6" s="223"/>
      <c r="J6" s="359">
        <f>J7/J5*10^7</f>
        <v>102354.61998030583</v>
      </c>
      <c r="K6" s="223"/>
    </row>
    <row r="7" spans="3:16" ht="13.5" thickBot="1">
      <c r="C7" s="55" t="s">
        <v>44</v>
      </c>
      <c r="D7" s="198">
        <f>'Sales '!D53</f>
        <v>16.386720483000037</v>
      </c>
      <c r="E7" s="211">
        <f>D7/D$7</f>
        <v>1</v>
      </c>
      <c r="F7" s="198">
        <f>'Sales '!C53</f>
        <v>18.572807867602258</v>
      </c>
      <c r="G7" s="212">
        <f>F7/F$7</f>
        <v>1</v>
      </c>
      <c r="H7" s="198">
        <f>'Sales '!K53</f>
        <v>205.8391658460005</v>
      </c>
      <c r="I7" s="211">
        <f>H7/H$7</f>
        <v>1</v>
      </c>
      <c r="J7" s="198">
        <f>'Sales '!J53</f>
        <v>213.68913208310693</v>
      </c>
      <c r="K7" s="211">
        <f>J7/J$7</f>
        <v>1</v>
      </c>
      <c r="L7" s="89"/>
    </row>
    <row r="8" spans="3:16" ht="13.5" thickBot="1">
      <c r="C8" s="56" t="s">
        <v>32</v>
      </c>
      <c r="D8" s="199">
        <f>SUM(D9:D14)</f>
        <v>13.334213947460846</v>
      </c>
      <c r="E8" s="57">
        <f t="shared" ref="E8:E18" si="0">D8/D$7</f>
        <v>0.81372071741225271</v>
      </c>
      <c r="F8" s="207">
        <f>SUM(F9:F14)</f>
        <v>13.843952439967147</v>
      </c>
      <c r="G8" s="57">
        <f t="shared" ref="G8:G18" si="1">F8/F$7</f>
        <v>0.74538823309081026</v>
      </c>
      <c r="H8" s="207">
        <f>SUM(H9:H14)</f>
        <v>165.48958212076116</v>
      </c>
      <c r="I8" s="57">
        <f t="shared" ref="I8:K29" si="2">H8/H$7</f>
        <v>0.80397518830101034</v>
      </c>
      <c r="J8" s="207">
        <f>SUM(J9:J14)</f>
        <v>154.44488927549435</v>
      </c>
      <c r="K8" s="57">
        <f t="shared" si="2"/>
        <v>0.72275500288628813</v>
      </c>
      <c r="L8" s="88"/>
      <c r="M8" s="295"/>
      <c r="O8" s="88"/>
      <c r="P8" s="88"/>
    </row>
    <row r="9" spans="3:16">
      <c r="C9" s="39" t="s">
        <v>26</v>
      </c>
      <c r="D9" s="200">
        <v>8.703912793708465</v>
      </c>
      <c r="E9" s="40">
        <f t="shared" si="0"/>
        <v>0.53115648141665106</v>
      </c>
      <c r="F9" s="200">
        <v>8.271688321150485</v>
      </c>
      <c r="G9" s="40">
        <f t="shared" si="1"/>
        <v>0.44536552470234309</v>
      </c>
      <c r="H9" s="200">
        <v>102.78361985671189</v>
      </c>
      <c r="I9" s="40">
        <f t="shared" si="2"/>
        <v>0.49933946940695401</v>
      </c>
      <c r="J9" s="200">
        <v>89.903351364921761</v>
      </c>
      <c r="K9" s="40">
        <f t="shared" si="2"/>
        <v>0.42072027944760892</v>
      </c>
      <c r="L9" s="89"/>
    </row>
    <row r="10" spans="3:16">
      <c r="C10" s="42" t="s">
        <v>27</v>
      </c>
      <c r="D10" s="200">
        <v>2.78439350104976</v>
      </c>
      <c r="E10" s="40">
        <f t="shared" si="0"/>
        <v>0.16991767839930841</v>
      </c>
      <c r="F10" s="200">
        <v>3.5595727372566182</v>
      </c>
      <c r="G10" s="40">
        <f t="shared" si="1"/>
        <v>0.19165506705455182</v>
      </c>
      <c r="H10" s="200">
        <v>38.419037255418772</v>
      </c>
      <c r="I10" s="40">
        <f t="shared" si="2"/>
        <v>0.18664590432785833</v>
      </c>
      <c r="J10" s="200">
        <v>41.584683934369878</v>
      </c>
      <c r="K10" s="40">
        <f t="shared" si="2"/>
        <v>0.19460364469165875</v>
      </c>
      <c r="L10" s="89"/>
      <c r="M10" s="296"/>
      <c r="N10" s="89"/>
      <c r="O10" s="70"/>
    </row>
    <row r="11" spans="3:16">
      <c r="C11" s="42" t="s">
        <v>107</v>
      </c>
      <c r="D11" s="200">
        <v>2.199376136999999E-2</v>
      </c>
      <c r="E11" s="40">
        <f t="shared" si="0"/>
        <v>1.3421698010176487E-3</v>
      </c>
      <c r="F11" s="200">
        <v>6.7453783345070822E-2</v>
      </c>
      <c r="G11" s="40">
        <f t="shared" si="1"/>
        <v>3.6318570582283788E-3</v>
      </c>
      <c r="H11" s="200">
        <v>0.38536402982955076</v>
      </c>
      <c r="I11" s="40">
        <f t="shared" ref="I11" si="3">H11/H$7</f>
        <v>1.8721608603770898E-3</v>
      </c>
      <c r="J11" s="200">
        <v>0.77000693716267732</v>
      </c>
      <c r="K11" s="40">
        <f t="shared" ref="K11" si="4">J11/J$7</f>
        <v>3.603397747262177E-3</v>
      </c>
      <c r="L11" s="89"/>
      <c r="N11" s="88"/>
      <c r="O11" s="88"/>
    </row>
    <row r="12" spans="3:16">
      <c r="C12" s="42" t="s">
        <v>28</v>
      </c>
      <c r="D12" s="200">
        <v>0.82591045435102717</v>
      </c>
      <c r="E12" s="40">
        <f t="shared" si="0"/>
        <v>5.0401204756488391E-2</v>
      </c>
      <c r="F12" s="200">
        <v>0.94487698724109326</v>
      </c>
      <c r="G12" s="40">
        <f t="shared" si="1"/>
        <v>5.0874213203341373E-2</v>
      </c>
      <c r="H12" s="200">
        <v>10.830630596917793</v>
      </c>
      <c r="I12" s="40">
        <f t="shared" si="2"/>
        <v>5.2616957285091109E-2</v>
      </c>
      <c r="J12" s="200">
        <v>10.806847039040001</v>
      </c>
      <c r="K12" s="40">
        <f t="shared" si="2"/>
        <v>5.0572749927390109E-2</v>
      </c>
      <c r="L12" s="89"/>
      <c r="M12" s="88"/>
    </row>
    <row r="13" spans="3:16">
      <c r="C13" s="39" t="s">
        <v>29</v>
      </c>
      <c r="D13" s="200">
        <v>0.6599267892056927</v>
      </c>
      <c r="E13" s="40">
        <f t="shared" si="0"/>
        <v>4.027204771633934E-2</v>
      </c>
      <c r="F13" s="200">
        <v>0.92669212283417624</v>
      </c>
      <c r="G13" s="40">
        <f t="shared" si="1"/>
        <v>4.9895100915282972E-2</v>
      </c>
      <c r="H13" s="200">
        <v>9.4141669830066856</v>
      </c>
      <c r="I13" s="40">
        <f t="shared" si="2"/>
        <v>4.5735547675362899E-2</v>
      </c>
      <c r="J13" s="200">
        <v>10.529999999999996</v>
      </c>
      <c r="K13" s="40">
        <f t="shared" si="2"/>
        <v>4.9277190175046996E-2</v>
      </c>
      <c r="L13" s="89"/>
    </row>
    <row r="14" spans="3:16" ht="13.5" thickBot="1">
      <c r="C14" s="39" t="s">
        <v>30</v>
      </c>
      <c r="D14" s="200">
        <v>0.33807664777590191</v>
      </c>
      <c r="E14" s="40">
        <f t="shared" si="0"/>
        <v>2.0631135322447858E-2</v>
      </c>
      <c r="F14" s="200">
        <v>7.3668488139704918E-2</v>
      </c>
      <c r="G14" s="40">
        <f t="shared" si="1"/>
        <v>3.966470157062767E-3</v>
      </c>
      <c r="H14" s="200">
        <v>3.656763398876457</v>
      </c>
      <c r="I14" s="40">
        <f t="shared" si="2"/>
        <v>1.7765148745366957E-2</v>
      </c>
      <c r="J14" s="200">
        <v>0.85</v>
      </c>
      <c r="K14" s="40">
        <f t="shared" si="2"/>
        <v>3.9777408973209836E-3</v>
      </c>
      <c r="L14" s="70"/>
    </row>
    <row r="15" spans="3:16" ht="13.5" thickBot="1">
      <c r="C15" s="58" t="s">
        <v>31</v>
      </c>
      <c r="D15" s="199">
        <f>D7-D8</f>
        <v>3.0525065355391909</v>
      </c>
      <c r="E15" s="57">
        <f t="shared" si="0"/>
        <v>0.18627928258774731</v>
      </c>
      <c r="F15" s="207">
        <f>F7-F8</f>
        <v>4.7288554276351107</v>
      </c>
      <c r="G15" s="57">
        <f t="shared" si="1"/>
        <v>0.25461176690918969</v>
      </c>
      <c r="H15" s="207">
        <f>H7-H8</f>
        <v>40.349583725239341</v>
      </c>
      <c r="I15" s="57">
        <f t="shared" si="2"/>
        <v>0.19602481169898961</v>
      </c>
      <c r="J15" s="207">
        <f>J7-J8</f>
        <v>59.244242807612579</v>
      </c>
      <c r="K15" s="57">
        <f t="shared" si="2"/>
        <v>0.27724499711371187</v>
      </c>
      <c r="L15" s="88"/>
      <c r="O15" s="88"/>
    </row>
    <row r="16" spans="3:16">
      <c r="C16" s="43" t="s">
        <v>33</v>
      </c>
      <c r="D16" s="201">
        <f>SUM(D17:D19)</f>
        <v>1.5739000000000001</v>
      </c>
      <c r="E16" s="41">
        <f t="shared" si="0"/>
        <v>9.6047284240479994E-2</v>
      </c>
      <c r="F16" s="209">
        <f>SUM(F17:F19)</f>
        <v>3.2588614478386244</v>
      </c>
      <c r="G16" s="41">
        <f t="shared" si="1"/>
        <v>0.17546412319933949</v>
      </c>
      <c r="H16" s="209">
        <f>SUM(H17:H19)</f>
        <v>27.509817690000002</v>
      </c>
      <c r="I16" s="41">
        <f t="shared" si="2"/>
        <v>0.13364714910757847</v>
      </c>
      <c r="J16" s="209">
        <f>SUM(J17:J19)</f>
        <v>40.746837463737705</v>
      </c>
      <c r="K16" s="41">
        <f t="shared" si="2"/>
        <v>0.19068277860705918</v>
      </c>
      <c r="O16" s="88"/>
    </row>
    <row r="17" spans="3:15">
      <c r="C17" s="42" t="s">
        <v>34</v>
      </c>
      <c r="D17" s="200">
        <v>0.10949999999999999</v>
      </c>
      <c r="E17" s="41">
        <f t="shared" si="0"/>
        <v>6.6822400561233602E-3</v>
      </c>
      <c r="F17" s="200">
        <v>0.95411850751750471</v>
      </c>
      <c r="G17" s="41">
        <f t="shared" si="1"/>
        <v>5.1371796570503211E-2</v>
      </c>
      <c r="H17" s="200">
        <v>5.624158019000002</v>
      </c>
      <c r="I17" s="41">
        <f t="shared" si="2"/>
        <v>2.7323070397631426E-2</v>
      </c>
      <c r="J17" s="200">
        <v>14.004999999999997</v>
      </c>
      <c r="K17" s="41">
        <f t="shared" si="2"/>
        <v>6.5539130902329851E-2</v>
      </c>
      <c r="L17" s="70"/>
    </row>
    <row r="18" spans="3:15">
      <c r="C18" s="42" t="s">
        <v>35</v>
      </c>
      <c r="D18" s="200">
        <v>1.4644000000000001</v>
      </c>
      <c r="E18" s="41">
        <f t="shared" si="0"/>
        <v>8.9365044184356632E-2</v>
      </c>
      <c r="F18" s="200">
        <v>2.3047429403211197</v>
      </c>
      <c r="G18" s="41">
        <f t="shared" si="1"/>
        <v>0.12409232662883629</v>
      </c>
      <c r="H18" s="200">
        <v>21.885659670999999</v>
      </c>
      <c r="I18" s="41">
        <f t="shared" si="2"/>
        <v>0.10632407870994703</v>
      </c>
      <c r="J18" s="200">
        <v>26.741837463737706</v>
      </c>
      <c r="K18" s="41">
        <f t="shared" si="2"/>
        <v>0.12514364770472933</v>
      </c>
      <c r="L18" s="70"/>
    </row>
    <row r="19" spans="3:15" ht="13.5" thickBot="1">
      <c r="C19" s="44"/>
      <c r="D19" s="200"/>
      <c r="E19" s="40"/>
      <c r="F19" s="208"/>
      <c r="G19" s="40"/>
      <c r="H19" s="208"/>
      <c r="I19" s="40"/>
      <c r="J19" s="208"/>
      <c r="K19" s="40"/>
    </row>
    <row r="20" spans="3:15" ht="13.5" thickBot="1">
      <c r="C20" s="59" t="s">
        <v>36</v>
      </c>
      <c r="D20" s="199">
        <f>D15-D16</f>
        <v>1.4786065355391909</v>
      </c>
      <c r="E20" s="57">
        <f t="shared" ref="E20:E25" si="5">D20/D$7</f>
        <v>9.023199834726732E-2</v>
      </c>
      <c r="F20" s="199">
        <f>F15-F16</f>
        <v>1.4699939797964863</v>
      </c>
      <c r="G20" s="57">
        <f t="shared" ref="G20:G24" si="6">F20/F$7</f>
        <v>7.914764370985021E-2</v>
      </c>
      <c r="H20" s="207">
        <f>H15-H16</f>
        <v>12.839766035239339</v>
      </c>
      <c r="I20" s="57">
        <f t="shared" si="2"/>
        <v>6.2377662591411143E-2</v>
      </c>
      <c r="J20" s="207">
        <f>J15-J16</f>
        <v>18.497405343874874</v>
      </c>
      <c r="K20" s="57">
        <f t="shared" si="2"/>
        <v>8.6562218506652716E-2</v>
      </c>
      <c r="M20" s="88"/>
    </row>
    <row r="21" spans="3:15">
      <c r="C21" s="45" t="s">
        <v>37</v>
      </c>
      <c r="D21" s="202">
        <f>SUM(D22:D25)</f>
        <v>2.5454910712697698</v>
      </c>
      <c r="E21" s="41">
        <f t="shared" si="5"/>
        <v>0.15533865204514358</v>
      </c>
      <c r="F21" s="210">
        <f>SUM(F22:F25)</f>
        <v>2.7395004205140423</v>
      </c>
      <c r="G21" s="41">
        <f t="shared" si="6"/>
        <v>0.14750060626496486</v>
      </c>
      <c r="H21" s="210">
        <f>SUM(H22:H25)</f>
        <v>29.601018290378953</v>
      </c>
      <c r="I21" s="41">
        <f t="shared" si="2"/>
        <v>0.14380654026029763</v>
      </c>
      <c r="J21" s="210">
        <f>SUM(J22:J25)</f>
        <v>32.021320985883669</v>
      </c>
      <c r="K21" s="41">
        <f t="shared" si="2"/>
        <v>0.14985002126093194</v>
      </c>
      <c r="O21" s="88"/>
    </row>
    <row r="22" spans="3:15">
      <c r="C22" s="42" t="s">
        <v>38</v>
      </c>
      <c r="D22" s="200">
        <v>1.5929999999999993</v>
      </c>
      <c r="E22" s="41">
        <f t="shared" si="5"/>
        <v>9.721286218634255E-2</v>
      </c>
      <c r="F22" s="200">
        <v>1.724277832483136</v>
      </c>
      <c r="G22" s="41">
        <f t="shared" si="6"/>
        <v>9.283883432030246E-2</v>
      </c>
      <c r="H22" s="200">
        <v>19.417828187000005</v>
      </c>
      <c r="I22" s="41">
        <f t="shared" si="2"/>
        <v>9.4334953735323343E-2</v>
      </c>
      <c r="J22" s="200">
        <v>19.838649929512798</v>
      </c>
      <c r="K22" s="41">
        <f t="shared" si="2"/>
        <v>9.2838834320302488E-2</v>
      </c>
      <c r="L22" s="70"/>
    </row>
    <row r="23" spans="3:15">
      <c r="C23" s="42" t="s">
        <v>39</v>
      </c>
      <c r="D23" s="200">
        <v>0.7393551238822399</v>
      </c>
      <c r="E23" s="41">
        <f t="shared" si="5"/>
        <v>4.5119163694118294E-2</v>
      </c>
      <c r="F23" s="200">
        <v>0.56629927499999955</v>
      </c>
      <c r="G23" s="41">
        <f t="shared" si="6"/>
        <v>3.0490773341161397E-2</v>
      </c>
      <c r="H23" s="200">
        <v>6.4634573317097193</v>
      </c>
      <c r="I23" s="41">
        <f t="shared" si="2"/>
        <v>3.140052236970968E-2</v>
      </c>
      <c r="J23" s="200">
        <v>6.7955912999999954</v>
      </c>
      <c r="K23" s="41">
        <f t="shared" si="2"/>
        <v>3.1801295806457242E-2</v>
      </c>
      <c r="L23" s="70"/>
    </row>
    <row r="24" spans="3:15">
      <c r="C24" s="42" t="s">
        <v>40</v>
      </c>
      <c r="D24" s="200">
        <v>0.26313594738753049</v>
      </c>
      <c r="E24" s="41">
        <f t="shared" si="5"/>
        <v>1.6057877331862334E-2</v>
      </c>
      <c r="F24" s="200">
        <v>0.44892331303090666</v>
      </c>
      <c r="G24" s="41">
        <f t="shared" si="6"/>
        <v>2.4170998603501005E-2</v>
      </c>
      <c r="H24" s="200">
        <v>3.4145135686692289</v>
      </c>
      <c r="I24" s="41">
        <f t="shared" si="2"/>
        <v>1.6588259841782554E-2</v>
      </c>
      <c r="J24" s="200">
        <v>5.3870797563708779</v>
      </c>
      <c r="K24" s="41">
        <f t="shared" si="2"/>
        <v>2.5209891134172237E-2</v>
      </c>
      <c r="L24" s="70"/>
    </row>
    <row r="25" spans="3:15" ht="13.5" thickBot="1">
      <c r="C25" s="42" t="s">
        <v>247</v>
      </c>
      <c r="D25" s="200">
        <v>-0.05</v>
      </c>
      <c r="E25" s="41">
        <f t="shared" si="5"/>
        <v>-3.051251167179617E-3</v>
      </c>
      <c r="F25" s="200">
        <v>0</v>
      </c>
      <c r="G25" s="41">
        <f t="shared" ref="G25" si="7">F25/F$7</f>
        <v>0</v>
      </c>
      <c r="H25" s="200">
        <v>0.30521920299999999</v>
      </c>
      <c r="I25" s="41">
        <f t="shared" ref="I25" si="8">H25/H$7</f>
        <v>1.4828043134820666E-3</v>
      </c>
      <c r="J25" s="200">
        <v>0</v>
      </c>
      <c r="K25" s="41">
        <f t="shared" ref="K25" si="9">J25/J$7</f>
        <v>0</v>
      </c>
    </row>
    <row r="26" spans="3:15" ht="13.5" thickBot="1">
      <c r="C26" s="59" t="s">
        <v>41</v>
      </c>
      <c r="D26" s="199">
        <f>D20-D21</f>
        <v>-1.066884535730579</v>
      </c>
      <c r="E26" s="57">
        <f t="shared" ref="E26:E28" si="10">D26/D$7</f>
        <v>-6.5106653697876257E-2</v>
      </c>
      <c r="F26" s="207">
        <f>F20-F21</f>
        <v>-1.269506440717556</v>
      </c>
      <c r="G26" s="57">
        <f t="shared" ref="G26:G28" si="11">F26/F$7</f>
        <v>-6.8352962555114652E-2</v>
      </c>
      <c r="H26" s="207">
        <f>H20-H21</f>
        <v>-16.761252255139613</v>
      </c>
      <c r="I26" s="57">
        <f t="shared" si="2"/>
        <v>-8.1428877668886498E-2</v>
      </c>
      <c r="J26" s="207">
        <f>J20-J21</f>
        <v>-13.523915642008795</v>
      </c>
      <c r="K26" s="57">
        <f t="shared" si="2"/>
        <v>-6.328780275427924E-2</v>
      </c>
    </row>
    <row r="27" spans="3:15">
      <c r="C27" s="47" t="s">
        <v>42</v>
      </c>
      <c r="D27" s="200">
        <v>0.91</v>
      </c>
      <c r="E27" s="41">
        <f t="shared" si="10"/>
        <v>5.5532771242669032E-2</v>
      </c>
      <c r="F27" s="200">
        <v>0.89665361695541657</v>
      </c>
      <c r="G27" s="41">
        <f t="shared" si="11"/>
        <v>4.8277763025778513E-2</v>
      </c>
      <c r="H27" s="200">
        <v>11.57</v>
      </c>
      <c r="I27" s="41">
        <f t="shared" si="2"/>
        <v>5.6208933574168035E-2</v>
      </c>
      <c r="J27" s="200">
        <v>10.399816486059438</v>
      </c>
      <c r="K27" s="41">
        <f t="shared" si="2"/>
        <v>4.8667971013213684E-2</v>
      </c>
      <c r="L27" s="70"/>
      <c r="N27" s="88"/>
    </row>
    <row r="28" spans="3:15" ht="13.5" thickBot="1">
      <c r="C28" s="48" t="s">
        <v>117</v>
      </c>
      <c r="D28" s="332">
        <v>0.18556578614779629</v>
      </c>
      <c r="E28" s="41">
        <f t="shared" si="10"/>
        <v>1.1324156431441332E-2</v>
      </c>
      <c r="F28" s="332">
        <v>0.12794263150179383</v>
      </c>
      <c r="G28" s="41">
        <f t="shared" si="11"/>
        <v>6.8887069964780273E-3</v>
      </c>
      <c r="H28" s="332">
        <v>1.8571925603328405</v>
      </c>
      <c r="I28" s="41">
        <f t="shared" si="2"/>
        <v>9.0225422003619438E-3</v>
      </c>
      <c r="J28" s="332">
        <v>1.449476457968659</v>
      </c>
      <c r="K28" s="41">
        <f t="shared" si="2"/>
        <v>6.7831079841951707E-3</v>
      </c>
    </row>
    <row r="29" spans="3:15" ht="13.5" thickBot="1">
      <c r="C29" s="59" t="s">
        <v>114</v>
      </c>
      <c r="D29" s="205">
        <f>D26-D27-D28</f>
        <v>-2.1624503218783753</v>
      </c>
      <c r="E29" s="57">
        <f t="shared" ref="E29" si="12">D29/D$7</f>
        <v>-0.13196358137198663</v>
      </c>
      <c r="F29" s="205">
        <f>F26-F27-F28</f>
        <v>-2.2941026891747667</v>
      </c>
      <c r="G29" s="57">
        <f t="shared" ref="G29" si="13">F29/F$7</f>
        <v>-0.12351943257737122</v>
      </c>
      <c r="H29" s="205">
        <f>H26-H27-H28</f>
        <v>-30.188444815472455</v>
      </c>
      <c r="I29" s="57">
        <f t="shared" si="2"/>
        <v>-0.14666035344341649</v>
      </c>
      <c r="J29" s="205">
        <f>J26-J27-J28</f>
        <v>-25.373208586036888</v>
      </c>
      <c r="K29" s="57">
        <f t="shared" si="2"/>
        <v>-0.11873888175168808</v>
      </c>
    </row>
    <row r="30" spans="3:15">
      <c r="D30" s="206"/>
      <c r="H30" s="70"/>
    </row>
    <row r="32" spans="3:15" ht="13.5" thickBot="1">
      <c r="J32" s="90"/>
    </row>
    <row r="33" spans="3:9" ht="13.5" thickBot="1">
      <c r="C33" s="67" t="s">
        <v>56</v>
      </c>
      <c r="D33" s="417" t="str">
        <f>D3</f>
        <v>MARCH</v>
      </c>
      <c r="E33" s="416"/>
      <c r="F33" s="417" t="str">
        <f>H3</f>
        <v>YTD MARCH</v>
      </c>
      <c r="G33" s="416"/>
    </row>
    <row r="34" spans="3:9" ht="13.5" thickBot="1">
      <c r="C34" s="68"/>
      <c r="D34" s="271" t="s">
        <v>47</v>
      </c>
      <c r="E34" s="269" t="s">
        <v>3</v>
      </c>
      <c r="F34" s="274" t="s">
        <v>47</v>
      </c>
      <c r="G34" s="275" t="s">
        <v>3</v>
      </c>
    </row>
    <row r="35" spans="3:9">
      <c r="C35" s="62" t="s">
        <v>54</v>
      </c>
      <c r="D35" s="272"/>
      <c r="E35" s="270"/>
      <c r="F35" s="65"/>
      <c r="G35" s="65"/>
    </row>
    <row r="36" spans="3:9">
      <c r="C36" s="61"/>
      <c r="D36" s="273"/>
      <c r="E36" s="66"/>
      <c r="F36" s="66"/>
      <c r="G36" s="66"/>
    </row>
    <row r="37" spans="3:9">
      <c r="C37" s="61" t="s">
        <v>52</v>
      </c>
      <c r="D37" s="382">
        <f>D26-D43</f>
        <v>-1.0568845357305789</v>
      </c>
      <c r="E37" s="382">
        <f>F26-E43</f>
        <v>-1.307431662046648</v>
      </c>
      <c r="F37" s="382">
        <f>H26-F43</f>
        <v>-17.140252255139615</v>
      </c>
      <c r="G37" s="383">
        <f>J26-G43</f>
        <v>-13.979018297957898</v>
      </c>
      <c r="H37" s="88"/>
    </row>
    <row r="38" spans="3:9">
      <c r="C38" s="61"/>
      <c r="D38" s="382"/>
      <c r="E38" s="383"/>
      <c r="F38" s="383"/>
      <c r="G38" s="383"/>
    </row>
    <row r="39" spans="3:9">
      <c r="C39" s="61" t="s">
        <v>53</v>
      </c>
      <c r="D39" s="382">
        <f>D29-D43</f>
        <v>-2.1524503218783755</v>
      </c>
      <c r="E39" s="382">
        <f>F29-E43</f>
        <v>-2.3320279105038586</v>
      </c>
      <c r="F39" s="383">
        <f>H29-F43</f>
        <v>-30.567444815472456</v>
      </c>
      <c r="G39" s="383">
        <f>J29-G43</f>
        <v>-25.828311241985993</v>
      </c>
      <c r="H39" s="88"/>
    </row>
    <row r="40" spans="3:9">
      <c r="C40" s="61"/>
      <c r="D40" s="382"/>
      <c r="E40" s="383"/>
      <c r="F40" s="383"/>
      <c r="G40" s="383"/>
    </row>
    <row r="41" spans="3:9">
      <c r="C41" s="62" t="s">
        <v>55</v>
      </c>
      <c r="D41" s="382"/>
      <c r="E41" s="383"/>
      <c r="F41" s="383"/>
      <c r="G41" s="383"/>
    </row>
    <row r="42" spans="3:9">
      <c r="C42" s="61"/>
      <c r="D42" s="382"/>
      <c r="E42" s="383"/>
      <c r="F42" s="383"/>
      <c r="G42" s="383"/>
    </row>
    <row r="43" spans="3:9">
      <c r="C43" s="61" t="s">
        <v>53</v>
      </c>
      <c r="D43" s="382">
        <v>-0.01</v>
      </c>
      <c r="E43" s="383">
        <v>3.7925221329091929E-2</v>
      </c>
      <c r="F43" s="382">
        <v>0.379</v>
      </c>
      <c r="G43" s="383">
        <f>E43*12</f>
        <v>0.45510265594910315</v>
      </c>
    </row>
    <row r="44" spans="3:9" ht="13.5" thickBot="1">
      <c r="C44" s="61"/>
      <c r="D44" s="384"/>
      <c r="E44" s="385"/>
      <c r="F44" s="383"/>
      <c r="G44" s="383"/>
    </row>
    <row r="45" spans="3:9" ht="13.5" thickBot="1">
      <c r="C45" s="63" t="s">
        <v>57</v>
      </c>
      <c r="D45" s="386">
        <f>D39+D43</f>
        <v>-2.1624503218783753</v>
      </c>
      <c r="E45" s="387">
        <f>E39+E43</f>
        <v>-2.2941026891747667</v>
      </c>
      <c r="F45" s="386">
        <f>F39+F43</f>
        <v>-30.188444815472455</v>
      </c>
      <c r="G45" s="387">
        <f>G39+G43</f>
        <v>-25.373208586036888</v>
      </c>
      <c r="I45" s="90"/>
    </row>
    <row r="47" spans="3:9">
      <c r="D47" s="89"/>
      <c r="E47" s="89"/>
    </row>
    <row r="48" spans="3:9" ht="13.5" thickBot="1"/>
    <row r="49" spans="3:10" ht="13.5" thickBot="1">
      <c r="C49" s="81" t="s">
        <v>171</v>
      </c>
      <c r="D49" s="82"/>
      <c r="E49" s="82"/>
      <c r="F49" s="82"/>
      <c r="G49" s="82"/>
      <c r="H49" s="82"/>
      <c r="I49" s="83"/>
    </row>
    <row r="50" spans="3:10" ht="13.5" thickBot="1">
      <c r="C50" s="71"/>
      <c r="D50" s="414" t="str">
        <f>D3</f>
        <v>MARCH</v>
      </c>
      <c r="E50" s="415"/>
      <c r="F50" s="416"/>
      <c r="G50" s="417" t="str">
        <f>H3</f>
        <v>YTD MARCH</v>
      </c>
      <c r="H50" s="415"/>
      <c r="I50" s="416"/>
    </row>
    <row r="51" spans="3:10" ht="13.5" thickBot="1">
      <c r="C51" s="72"/>
      <c r="D51" s="74" t="s">
        <v>59</v>
      </c>
      <c r="E51" s="74" t="s">
        <v>3</v>
      </c>
      <c r="F51" s="64" t="s">
        <v>60</v>
      </c>
      <c r="G51" s="74" t="s">
        <v>59</v>
      </c>
      <c r="H51" s="74" t="s">
        <v>3</v>
      </c>
      <c r="I51" s="64" t="s">
        <v>60</v>
      </c>
    </row>
    <row r="52" spans="3:10">
      <c r="C52" s="72"/>
      <c r="D52" s="75"/>
      <c r="E52" s="75"/>
      <c r="F52" s="76"/>
      <c r="G52" s="75"/>
      <c r="H52" s="75"/>
      <c r="I52" s="76"/>
    </row>
    <row r="53" spans="3:10">
      <c r="C53" s="72" t="str">
        <f>C7</f>
        <v>Net  Revenue</v>
      </c>
      <c r="D53" s="75">
        <f>D6</f>
        <v>100654.65589781229</v>
      </c>
      <c r="E53" s="75">
        <f>F6</f>
        <v>101087.04024124511</v>
      </c>
      <c r="F53" s="77">
        <f>(D53-E53)</f>
        <v>-432.38434343281551</v>
      </c>
      <c r="G53" s="75">
        <f>H6</f>
        <v>97123.507504253896</v>
      </c>
      <c r="H53" s="75">
        <f>J6</f>
        <v>102354.61998030583</v>
      </c>
      <c r="I53" s="77">
        <f>(G53-H53)</f>
        <v>-5231.1124760519306</v>
      </c>
    </row>
    <row r="54" spans="3:10">
      <c r="C54" s="72"/>
      <c r="D54" s="75"/>
      <c r="E54" s="75"/>
      <c r="F54" s="76"/>
      <c r="G54" s="75"/>
      <c r="H54" s="75"/>
      <c r="I54" s="76"/>
    </row>
    <row r="55" spans="3:10">
      <c r="C55" s="72" t="s">
        <v>61</v>
      </c>
      <c r="D55" s="78">
        <f>(D9)/D5*10^7</f>
        <v>53463.372864885743</v>
      </c>
      <c r="E55" s="78">
        <f>(F9)/F5*10^7</f>
        <v>45020.682717648997</v>
      </c>
      <c r="F55" s="77">
        <f>E55-D55</f>
        <v>-8442.6901472367463</v>
      </c>
      <c r="G55" s="78">
        <f>(H9)/H5*10^7</f>
        <v>48497.600704116463</v>
      </c>
      <c r="H55" s="78">
        <f>(J9)/J5*10^7</f>
        <v>43062.664320868083</v>
      </c>
      <c r="I55" s="77">
        <f>(-G55+H55)</f>
        <v>-5434.9363832483796</v>
      </c>
    </row>
    <row r="56" spans="3:10">
      <c r="C56" s="72"/>
      <c r="D56" s="75"/>
      <c r="E56" s="75"/>
      <c r="F56" s="76"/>
      <c r="G56" s="75"/>
      <c r="H56" s="75"/>
      <c r="I56" s="76"/>
    </row>
    <row r="57" spans="3:10">
      <c r="C57" s="72" t="s">
        <v>32</v>
      </c>
      <c r="D57" s="78">
        <f>(D8/D5)*10^7</f>
        <v>81904.778808051255</v>
      </c>
      <c r="E57" s="78">
        <f>(F8/F5)*10^7</f>
        <v>75349.090313801324</v>
      </c>
      <c r="F57" s="77">
        <f>E57-D57</f>
        <v>-6555.688494249931</v>
      </c>
      <c r="G57" s="78">
        <f>(H8/H5)*10^7</f>
        <v>78084.890234187129</v>
      </c>
      <c r="H57" s="78">
        <f>(J8/J5)*10^7</f>
        <v>73977.313659290856</v>
      </c>
      <c r="I57" s="77">
        <f>(-G57+H57)</f>
        <v>-4107.5765748962731</v>
      </c>
      <c r="J57" s="206"/>
    </row>
    <row r="58" spans="3:10">
      <c r="C58" s="72"/>
      <c r="D58" s="75"/>
      <c r="E58" s="75"/>
      <c r="F58" s="76"/>
      <c r="G58" s="75"/>
      <c r="H58" s="75"/>
      <c r="I58" s="76"/>
    </row>
    <row r="59" spans="3:10">
      <c r="C59" s="72" t="s">
        <v>65</v>
      </c>
      <c r="D59" s="75">
        <f>D53-D57</f>
        <v>18749.877089761037</v>
      </c>
      <c r="E59" s="75">
        <f>E53-E57</f>
        <v>25737.949927443784</v>
      </c>
      <c r="F59" s="77">
        <f>(D59-E59)</f>
        <v>-6988.0728376827465</v>
      </c>
      <c r="G59" s="75">
        <f>G53-G57</f>
        <v>19038.617270066767</v>
      </c>
      <c r="H59" s="75">
        <f>H53-H57</f>
        <v>28377.30632101497</v>
      </c>
      <c r="I59" s="77">
        <f>(G59-H59)</f>
        <v>-9338.6890509482037</v>
      </c>
      <c r="J59" s="206"/>
    </row>
    <row r="60" spans="3:10">
      <c r="C60" s="72"/>
      <c r="D60" s="75"/>
      <c r="E60" s="75"/>
      <c r="F60" s="76"/>
      <c r="G60" s="75"/>
      <c r="H60" s="75"/>
      <c r="I60" s="76"/>
    </row>
    <row r="61" spans="3:10">
      <c r="C61" s="72" t="s">
        <v>62</v>
      </c>
      <c r="D61" s="78">
        <f>(D17/D5)*10^7</f>
        <v>672.59857347567481</v>
      </c>
      <c r="E61" s="78">
        <f>(F17/F5)*10^7</f>
        <v>5193.0228671875147</v>
      </c>
      <c r="F61" s="77">
        <f>(-D61+E61)</f>
        <v>4520.4242937118397</v>
      </c>
      <c r="G61" s="78">
        <f>(H17/H5)*10^7</f>
        <v>2653.7124328036139</v>
      </c>
      <c r="H61" s="78">
        <f>(J17/J5)*10^7</f>
        <v>6708.2328373474902</v>
      </c>
      <c r="I61" s="77">
        <f>(-G61+H61)</f>
        <v>4054.5204045438763</v>
      </c>
    </row>
    <row r="62" spans="3:10">
      <c r="C62" s="72"/>
      <c r="D62" s="75"/>
      <c r="E62" s="75"/>
      <c r="F62" s="76"/>
      <c r="G62" s="75"/>
      <c r="H62" s="75"/>
      <c r="I62" s="76"/>
    </row>
    <row r="63" spans="3:10">
      <c r="C63" s="72" t="s">
        <v>63</v>
      </c>
      <c r="D63" s="78">
        <f>(D18/D5)*10^7</f>
        <v>8995.0077716692085</v>
      </c>
      <c r="E63" s="78">
        <f>(F18/F5)*10^7</f>
        <v>12544.126015558904</v>
      </c>
      <c r="F63" s="77">
        <f>(-D63+E63)</f>
        <v>3549.1182438896958</v>
      </c>
      <c r="G63" s="78">
        <f>(H18/H5)*10^7</f>
        <v>10326.567456468423</v>
      </c>
      <c r="H63" s="78">
        <f>(J18/J5)*10^7</f>
        <v>12809.030503766842</v>
      </c>
      <c r="I63" s="77">
        <f>(-G63+H63)</f>
        <v>2482.463047298419</v>
      </c>
    </row>
    <row r="64" spans="3:10">
      <c r="C64" s="72"/>
      <c r="D64" s="75"/>
      <c r="E64" s="75"/>
      <c r="F64" s="76"/>
      <c r="G64" s="75"/>
      <c r="H64" s="75"/>
      <c r="I64" s="76"/>
    </row>
    <row r="65" spans="3:9">
      <c r="C65" s="72" t="s">
        <v>36</v>
      </c>
      <c r="D65" s="78">
        <f>D59-D61-D63</f>
        <v>9082.270744616153</v>
      </c>
      <c r="E65" s="78">
        <f>E59-E61-E63</f>
        <v>8000.801044697364</v>
      </c>
      <c r="F65" s="77">
        <f>(D65-E65)</f>
        <v>1081.469699918789</v>
      </c>
      <c r="G65" s="78">
        <f>G59-G61-G63</f>
        <v>6058.3373807947282</v>
      </c>
      <c r="H65" s="78">
        <f>H59-H61-H63</f>
        <v>8860.0429799006397</v>
      </c>
      <c r="I65" s="77">
        <f>(G65-H65)</f>
        <v>-2801.7055991059115</v>
      </c>
    </row>
    <row r="66" spans="3:9" ht="13.5" thickBot="1">
      <c r="C66" s="73"/>
      <c r="D66" s="79"/>
      <c r="E66" s="79"/>
      <c r="F66" s="80"/>
      <c r="G66" s="79"/>
      <c r="H66" s="79"/>
      <c r="I66" s="80"/>
    </row>
    <row r="67" spans="3:9">
      <c r="D67" s="86"/>
      <c r="E67" s="86"/>
      <c r="F67" s="87"/>
      <c r="G67" s="86"/>
      <c r="H67" s="86"/>
      <c r="I67" s="87"/>
    </row>
    <row r="68" spans="3:9">
      <c r="E68" s="88"/>
      <c r="I68" s="88"/>
    </row>
    <row r="70" spans="3:9">
      <c r="D70" s="70"/>
      <c r="H70" s="70"/>
    </row>
    <row r="71" spans="3:9">
      <c r="D71" s="70"/>
      <c r="H71" s="70"/>
    </row>
    <row r="72" spans="3:9">
      <c r="D72" s="70"/>
      <c r="H72" s="70"/>
    </row>
    <row r="74" spans="3:9">
      <c r="D74" s="90"/>
      <c r="H74" s="90"/>
    </row>
    <row r="76" spans="3:9">
      <c r="E76" s="90"/>
      <c r="I76" s="90"/>
    </row>
    <row r="78" spans="3:9">
      <c r="E78" s="88"/>
      <c r="I78" s="88"/>
    </row>
    <row r="80" spans="3:9">
      <c r="E80" s="90"/>
      <c r="I80" s="90"/>
    </row>
  </sheetData>
  <mergeCells count="12">
    <mergeCell ref="F3:G3"/>
    <mergeCell ref="J2:K2"/>
    <mergeCell ref="J3:K3"/>
    <mergeCell ref="D50:F50"/>
    <mergeCell ref="G50:I50"/>
    <mergeCell ref="D33:E33"/>
    <mergeCell ref="F33:G33"/>
    <mergeCell ref="D2:E2"/>
    <mergeCell ref="F2:G2"/>
    <mergeCell ref="D3:E3"/>
    <mergeCell ref="H2:I2"/>
    <mergeCell ref="H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4" sqref="A4"/>
    </sheetView>
  </sheetViews>
  <sheetFormatPr defaultRowHeight="15"/>
  <cols>
    <col min="1" max="1" width="77.42578125" customWidth="1"/>
    <col min="2" max="2" width="14.42578125" customWidth="1"/>
    <col min="3" max="3" width="12.5703125" customWidth="1"/>
  </cols>
  <sheetData>
    <row r="1" spans="1:2">
      <c r="B1" s="22"/>
    </row>
    <row r="2" spans="1:2" ht="15.75" thickBot="1">
      <c r="B2" s="22"/>
    </row>
    <row r="3" spans="1:2" ht="15.75">
      <c r="A3" s="34" t="s">
        <v>275</v>
      </c>
      <c r="B3" s="35"/>
    </row>
    <row r="4" spans="1:2" ht="16.5" thickBot="1">
      <c r="A4" s="36"/>
      <c r="B4" s="37"/>
    </row>
    <row r="5" spans="1:2" ht="15.75" thickBot="1">
      <c r="A5" s="11"/>
      <c r="B5" s="12" t="s">
        <v>170</v>
      </c>
    </row>
    <row r="6" spans="1:2">
      <c r="A6" s="29" t="s">
        <v>11</v>
      </c>
      <c r="B6" s="214">
        <f>'Financial '!J26</f>
        <v>-13.523915642008795</v>
      </c>
    </row>
    <row r="7" spans="1:2">
      <c r="A7" s="14"/>
      <c r="B7" s="215"/>
    </row>
    <row r="8" spans="1:2">
      <c r="A8" s="30" t="s">
        <v>12</v>
      </c>
      <c r="B8" s="216">
        <f>SUM(B9:B12)</f>
        <v>6.4551034767644744</v>
      </c>
    </row>
    <row r="9" spans="1:2">
      <c r="A9" s="13" t="s">
        <v>50</v>
      </c>
      <c r="B9" s="217">
        <f>'Financial '!J16-'Financial '!H16</f>
        <v>13.237019773737703</v>
      </c>
    </row>
    <row r="10" spans="1:2">
      <c r="A10" s="13" t="s">
        <v>49</v>
      </c>
      <c r="B10" s="218">
        <f>'Financial '!J21-'Financial '!H21</f>
        <v>2.4203026955047164</v>
      </c>
    </row>
    <row r="11" spans="1:2">
      <c r="A11" s="60" t="s">
        <v>255</v>
      </c>
      <c r="B11" s="217">
        <f>('Financial '!I57*'Financial '!H5)/10^7</f>
        <v>-8.7054118776362017</v>
      </c>
    </row>
    <row r="12" spans="1:2">
      <c r="A12" s="13" t="s">
        <v>64</v>
      </c>
      <c r="B12" s="217">
        <f>('Financial '!J7-'Financial '!H7)*'Financial '!K26</f>
        <v>-0.49680711484174328</v>
      </c>
    </row>
    <row r="13" spans="1:2">
      <c r="A13" s="13"/>
      <c r="B13" s="217"/>
    </row>
    <row r="14" spans="1:2">
      <c r="A14" s="13"/>
      <c r="B14" s="217"/>
    </row>
    <row r="15" spans="1:2">
      <c r="A15" s="30" t="s">
        <v>13</v>
      </c>
      <c r="B15" s="219">
        <f>SUM(B16:B20)</f>
        <v>-11.086583013591991</v>
      </c>
    </row>
    <row r="16" spans="1:2">
      <c r="A16" s="15"/>
      <c r="B16" s="217"/>
    </row>
    <row r="17" spans="1:2">
      <c r="A17" s="13" t="s">
        <v>51</v>
      </c>
      <c r="B17" s="217">
        <f>('Financial '!I53*'Financial '!H5/10^7)</f>
        <v>-11.086583013591991</v>
      </c>
    </row>
    <row r="18" spans="1:2">
      <c r="A18" s="13"/>
      <c r="B18" s="217"/>
    </row>
    <row r="19" spans="1:2">
      <c r="A19" s="13"/>
      <c r="B19" s="217"/>
    </row>
    <row r="20" spans="1:2">
      <c r="A20" s="14"/>
      <c r="B20" s="215"/>
    </row>
    <row r="21" spans="1:2">
      <c r="A21" s="13" t="s">
        <v>10</v>
      </c>
      <c r="B21" s="217">
        <f>B6+B8+B15</f>
        <v>-18.155395178836311</v>
      </c>
    </row>
    <row r="22" spans="1:2" ht="15.75" thickBot="1">
      <c r="A22" s="16"/>
      <c r="B22" s="220"/>
    </row>
    <row r="23" spans="1:2">
      <c r="B23" s="302">
        <f>'Financial '!H26</f>
        <v>-16.761252255139613</v>
      </c>
    </row>
    <row r="25" spans="1:2">
      <c r="B25" s="2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workbookViewId="0">
      <selection activeCell="C7" sqref="C7"/>
    </sheetView>
  </sheetViews>
  <sheetFormatPr defaultRowHeight="15"/>
  <cols>
    <col min="2" max="2" width="29.28515625" customWidth="1"/>
    <col min="3" max="3" width="13.42578125" bestFit="1" customWidth="1"/>
    <col min="5" max="5" width="10.28515625" bestFit="1" customWidth="1"/>
    <col min="7" max="7" width="12.28515625" bestFit="1" customWidth="1"/>
    <col min="9" max="9" width="9.28515625" bestFit="1" customWidth="1"/>
  </cols>
  <sheetData>
    <row r="1" spans="2:12" ht="15.75" thickBot="1"/>
    <row r="2" spans="2:12" ht="15.75" thickBot="1">
      <c r="B2" s="51"/>
      <c r="C2" s="412" t="s">
        <v>47</v>
      </c>
      <c r="D2" s="413"/>
      <c r="E2" s="412" t="s">
        <v>3</v>
      </c>
      <c r="F2" s="413"/>
      <c r="G2" s="412" t="s">
        <v>47</v>
      </c>
      <c r="H2" s="413"/>
      <c r="I2" s="412" t="s">
        <v>3</v>
      </c>
      <c r="J2" s="413"/>
    </row>
    <row r="3" spans="2:12">
      <c r="B3" s="52"/>
      <c r="C3" s="410" t="str">
        <f>'Financial '!D3</f>
        <v>MARCH</v>
      </c>
      <c r="D3" s="411"/>
      <c r="E3" s="410" t="str">
        <f>'Financial '!F3</f>
        <v>MARCH</v>
      </c>
      <c r="F3" s="411"/>
      <c r="G3" s="410" t="str">
        <f>'Financial '!H3</f>
        <v>YTD MARCH</v>
      </c>
      <c r="H3" s="411"/>
      <c r="I3" s="410" t="str">
        <f>'Financial '!J3</f>
        <v>YTD MARCH</v>
      </c>
      <c r="J3" s="411"/>
    </row>
    <row r="4" spans="2:12" ht="15.75" thickBot="1">
      <c r="B4" s="53"/>
      <c r="C4" s="49" t="s">
        <v>48</v>
      </c>
      <c r="D4" s="50" t="s">
        <v>46</v>
      </c>
      <c r="E4" s="49" t="s">
        <v>48</v>
      </c>
      <c r="F4" s="50" t="s">
        <v>46</v>
      </c>
      <c r="G4" s="49" t="s">
        <v>48</v>
      </c>
      <c r="H4" s="50" t="s">
        <v>46</v>
      </c>
      <c r="I4" s="49" t="s">
        <v>48</v>
      </c>
      <c r="J4" s="50" t="s">
        <v>46</v>
      </c>
    </row>
    <row r="5" spans="2:12">
      <c r="B5" s="92" t="s">
        <v>25</v>
      </c>
      <c r="C5" s="198">
        <v>1120</v>
      </c>
      <c r="D5" s="221"/>
      <c r="E5" s="198">
        <f>'Financial '!F5</f>
        <v>1837.3085039662938</v>
      </c>
      <c r="F5" s="221"/>
      <c r="G5" s="198">
        <v>11779.378337636799</v>
      </c>
      <c r="H5" s="221"/>
      <c r="I5" s="198">
        <f>'Financial '!J5</f>
        <v>20877.331392</v>
      </c>
      <c r="J5" s="221"/>
      <c r="L5" s="94"/>
    </row>
    <row r="6" spans="2:12">
      <c r="B6" s="54" t="s">
        <v>45</v>
      </c>
      <c r="C6" s="197">
        <f>C7/C5*10^7</f>
        <v>104732.14285714286</v>
      </c>
      <c r="D6" s="223"/>
      <c r="E6" s="197">
        <f>E7/E5*10^7</f>
        <v>101087.04024124511</v>
      </c>
      <c r="F6" s="223"/>
      <c r="G6" s="197">
        <f>G7/G5*10^7</f>
        <v>105455.48028039758</v>
      </c>
      <c r="H6" s="223"/>
      <c r="I6" s="197">
        <f>I7/I5*10^7</f>
        <v>102354.61998030583</v>
      </c>
      <c r="J6" s="223"/>
    </row>
    <row r="7" spans="2:12" ht="15.75" thickBot="1">
      <c r="B7" s="55" t="s">
        <v>44</v>
      </c>
      <c r="C7" s="198">
        <v>11.73</v>
      </c>
      <c r="D7" s="211">
        <f>C7/C$7</f>
        <v>1</v>
      </c>
      <c r="E7" s="198">
        <f>'Financial '!F7</f>
        <v>18.572807867602258</v>
      </c>
      <c r="F7" s="211">
        <f>E7/E$7</f>
        <v>1</v>
      </c>
      <c r="G7" s="198">
        <v>124.22</v>
      </c>
      <c r="H7" s="211">
        <f>G7/G$7</f>
        <v>1</v>
      </c>
      <c r="I7" s="198">
        <f>'Financial '!J7</f>
        <v>213.68913208310693</v>
      </c>
      <c r="J7" s="211">
        <f>I7/I$7</f>
        <v>1</v>
      </c>
    </row>
    <row r="8" spans="2:12" ht="15.75" thickBot="1">
      <c r="B8" s="56" t="s">
        <v>32</v>
      </c>
      <c r="C8" s="199">
        <f>SUM(C9:C10)</f>
        <v>10.592756177951681</v>
      </c>
      <c r="D8" s="57">
        <f t="shared" ref="D8:D14" si="0">C8/C$7</f>
        <v>0.90304826751506229</v>
      </c>
      <c r="E8" s="199">
        <f>SUM(E9:E10)</f>
        <v>12.117656901793476</v>
      </c>
      <c r="F8" s="57">
        <f t="shared" ref="F8:F14" si="1">E8/E$7</f>
        <v>0.65244076114797289</v>
      </c>
      <c r="G8" s="199">
        <f>SUM(G9:G10)</f>
        <v>112.04698080620874</v>
      </c>
      <c r="H8" s="57">
        <f t="shared" ref="H8:J25" si="2">G8/G$7</f>
        <v>0.90200435361623521</v>
      </c>
      <c r="I8" s="199">
        <f>SUM(I9:I10)</f>
        <v>133.02959383008599</v>
      </c>
      <c r="J8" s="57">
        <f t="shared" si="2"/>
        <v>0.62253794815521446</v>
      </c>
    </row>
    <row r="9" spans="2:12">
      <c r="B9" s="39" t="s">
        <v>66</v>
      </c>
      <c r="C9" s="200">
        <v>10.592756177951681</v>
      </c>
      <c r="D9" s="40">
        <f t="shared" si="0"/>
        <v>0.90304826751506229</v>
      </c>
      <c r="E9" s="200">
        <v>12.117656901793476</v>
      </c>
      <c r="F9" s="40">
        <f t="shared" si="1"/>
        <v>0.65244076114797289</v>
      </c>
      <c r="G9" s="200">
        <v>112.04698080620874</v>
      </c>
      <c r="H9" s="40">
        <f t="shared" si="2"/>
        <v>0.90200435361623521</v>
      </c>
      <c r="I9" s="200">
        <v>133.02959383008599</v>
      </c>
      <c r="J9" s="40">
        <f t="shared" si="2"/>
        <v>0.62253794815521446</v>
      </c>
    </row>
    <row r="10" spans="2:12" ht="15.75" thickBot="1">
      <c r="B10" s="39"/>
      <c r="C10" s="200"/>
      <c r="D10" s="40"/>
      <c r="E10" s="200"/>
      <c r="F10" s="40"/>
      <c r="G10" s="200"/>
      <c r="H10" s="40"/>
      <c r="I10" s="200"/>
      <c r="J10" s="40"/>
    </row>
    <row r="11" spans="2:12" ht="15.75" thickBot="1">
      <c r="B11" s="58" t="s">
        <v>31</v>
      </c>
      <c r="C11" s="199">
        <f>C7-C8</f>
        <v>1.137243822048319</v>
      </c>
      <c r="D11" s="57">
        <f t="shared" si="0"/>
        <v>9.6951732484937672E-2</v>
      </c>
      <c r="E11" s="199">
        <f>E7-E8</f>
        <v>6.455150965808782</v>
      </c>
      <c r="F11" s="57">
        <f t="shared" si="1"/>
        <v>0.34755923885202716</v>
      </c>
      <c r="G11" s="199">
        <f>G7-G8</f>
        <v>12.173019193791262</v>
      </c>
      <c r="H11" s="57">
        <f t="shared" si="2"/>
        <v>9.799564638376479E-2</v>
      </c>
      <c r="I11" s="199">
        <f>I7-I8</f>
        <v>80.659538253020941</v>
      </c>
      <c r="J11" s="57">
        <f t="shared" si="2"/>
        <v>0.3774620518447856</v>
      </c>
    </row>
    <row r="12" spans="2:12">
      <c r="B12" s="43" t="s">
        <v>33</v>
      </c>
      <c r="C12" s="201">
        <f>SUM(C13:C17)</f>
        <v>0.61627760800000009</v>
      </c>
      <c r="D12" s="41">
        <f t="shared" si="0"/>
        <v>5.2538585507246383E-2</v>
      </c>
      <c r="E12" s="201">
        <f>SUM(E13:E17)</f>
        <v>0.78667237099390741</v>
      </c>
      <c r="F12" s="41">
        <f t="shared" si="1"/>
        <v>4.2356135733582351E-2</v>
      </c>
      <c r="G12" s="201">
        <f>SUM(G13:G17)</f>
        <v>6.8321680489999999</v>
      </c>
      <c r="H12" s="41">
        <f t="shared" si="2"/>
        <v>5.5000547810336496E-2</v>
      </c>
      <c r="I12" s="201">
        <f>SUM(I13:I17)</f>
        <v>8.6423128908303113</v>
      </c>
      <c r="J12" s="41">
        <f t="shared" si="2"/>
        <v>4.0443389921529495E-2</v>
      </c>
    </row>
    <row r="13" spans="2:12">
      <c r="B13" s="42" t="s">
        <v>71</v>
      </c>
      <c r="C13" s="200">
        <v>0.25603190800000003</v>
      </c>
      <c r="D13" s="41">
        <f t="shared" si="0"/>
        <v>2.1827102131287298E-2</v>
      </c>
      <c r="E13" s="200">
        <v>0.27916666666666667</v>
      </c>
      <c r="F13" s="41">
        <f t="shared" si="1"/>
        <v>1.5030934937610324E-2</v>
      </c>
      <c r="G13" s="200">
        <v>2.7343697250000001</v>
      </c>
      <c r="H13" s="41">
        <f t="shared" si="2"/>
        <v>2.2012314643374657E-2</v>
      </c>
      <c r="I13" s="200">
        <f>E13*11</f>
        <v>3.0708333333333333</v>
      </c>
      <c r="J13" s="41">
        <f t="shared" si="2"/>
        <v>1.4370563928066496E-2</v>
      </c>
    </row>
    <row r="14" spans="2:12">
      <c r="B14" s="42" t="s">
        <v>72</v>
      </c>
      <c r="C14" s="200">
        <v>0.15615519999999999</v>
      </c>
      <c r="D14" s="41">
        <f t="shared" si="0"/>
        <v>1.3312463768115941E-2</v>
      </c>
      <c r="E14" s="200">
        <v>0.21055957006409853</v>
      </c>
      <c r="F14" s="41">
        <f t="shared" si="1"/>
        <v>1.1336981008207764E-2</v>
      </c>
      <c r="G14" s="200">
        <v>1.7565613</v>
      </c>
      <c r="H14" s="41">
        <f t="shared" si="2"/>
        <v>1.4140728546127837E-2</v>
      </c>
      <c r="I14" s="200">
        <v>2.3115569544239887</v>
      </c>
      <c r="J14" s="41">
        <f t="shared" si="2"/>
        <v>1.0817381922469456E-2</v>
      </c>
    </row>
    <row r="15" spans="2:12">
      <c r="B15" s="42" t="s">
        <v>73</v>
      </c>
      <c r="C15" s="200">
        <v>0.20409050000000001</v>
      </c>
      <c r="D15" s="41">
        <f t="shared" ref="D15:D16" si="3">C15/C$7</f>
        <v>1.7399019607843139E-2</v>
      </c>
      <c r="E15" s="200">
        <v>0.29694613426314215</v>
      </c>
      <c r="F15" s="41">
        <f t="shared" ref="F15:F16" si="4">E15/E$7</f>
        <v>1.5988219787764262E-2</v>
      </c>
      <c r="G15" s="200">
        <v>2.3412370239999998</v>
      </c>
      <c r="H15" s="41">
        <f t="shared" ref="H15:H16" si="5">G15/G$7</f>
        <v>1.8847504620834003E-2</v>
      </c>
      <c r="I15" s="200">
        <v>3.2599226030729902</v>
      </c>
      <c r="J15" s="41">
        <f t="shared" ref="J15:J16" si="6">I15/I$7</f>
        <v>1.5255444070993546E-2</v>
      </c>
    </row>
    <row r="16" spans="2:12">
      <c r="B16" s="42" t="s">
        <v>74</v>
      </c>
      <c r="C16" s="200"/>
      <c r="D16" s="41">
        <f t="shared" si="3"/>
        <v>0</v>
      </c>
      <c r="E16" s="200"/>
      <c r="F16" s="41">
        <f t="shared" si="4"/>
        <v>0</v>
      </c>
      <c r="G16" s="200"/>
      <c r="H16" s="41">
        <f t="shared" si="5"/>
        <v>0</v>
      </c>
      <c r="I16" s="200"/>
      <c r="J16" s="41">
        <f t="shared" si="6"/>
        <v>0</v>
      </c>
    </row>
    <row r="17" spans="2:10" ht="15.75" thickBot="1">
      <c r="B17" s="44"/>
      <c r="C17" s="200"/>
      <c r="D17" s="40"/>
      <c r="E17" s="200"/>
      <c r="F17" s="40"/>
      <c r="G17" s="200"/>
      <c r="H17" s="40"/>
      <c r="I17" s="200"/>
      <c r="J17" s="40"/>
    </row>
    <row r="18" spans="2:10" ht="15.75" thickBot="1">
      <c r="B18" s="59" t="s">
        <v>36</v>
      </c>
      <c r="C18" s="199">
        <f>C11-C12</f>
        <v>0.52096621404831889</v>
      </c>
      <c r="D18" s="57">
        <f t="shared" ref="D18:D22" si="7">C18/C$7</f>
        <v>4.4413146977691297E-2</v>
      </c>
      <c r="E18" s="199">
        <f>E11-E12</f>
        <v>5.668478594814875</v>
      </c>
      <c r="F18" s="57">
        <f t="shared" ref="F18:F22" si="8">E18/E$7</f>
        <v>0.30520310311844484</v>
      </c>
      <c r="G18" s="199">
        <f>G11-G12</f>
        <v>5.3408511447912623</v>
      </c>
      <c r="H18" s="57">
        <f t="shared" si="2"/>
        <v>4.2995098573428293E-2</v>
      </c>
      <c r="I18" s="199">
        <f>I11-I12</f>
        <v>72.017225362190629</v>
      </c>
      <c r="J18" s="57">
        <f t="shared" si="2"/>
        <v>0.33701866192325608</v>
      </c>
    </row>
    <row r="19" spans="2:10">
      <c r="B19" s="45" t="s">
        <v>37</v>
      </c>
      <c r="C19" s="202">
        <f>SUM(C20:C23)</f>
        <v>0.66032997199999999</v>
      </c>
      <c r="D19" s="41">
        <f t="shared" si="7"/>
        <v>5.6294115260017048E-2</v>
      </c>
      <c r="E19" s="202">
        <f>SUM(E20:E23)</f>
        <v>0.66716666666666669</v>
      </c>
      <c r="F19" s="41">
        <f t="shared" si="8"/>
        <v>3.5921691077763655E-2</v>
      </c>
      <c r="G19" s="202">
        <f>SUM(G20:G23)</f>
        <v>7.0601788929999998</v>
      </c>
      <c r="H19" s="41">
        <f t="shared" si="2"/>
        <v>5.6836088335211719E-2</v>
      </c>
      <c r="I19" s="202">
        <f>SUM(I20:I23)</f>
        <v>7.3388333333333335</v>
      </c>
      <c r="J19" s="41">
        <f t="shared" si="2"/>
        <v>3.4343502927791154E-2</v>
      </c>
    </row>
    <row r="20" spans="2:10">
      <c r="B20" s="42" t="s">
        <v>67</v>
      </c>
      <c r="C20" s="200">
        <v>0.60298026900000001</v>
      </c>
      <c r="D20" s="41">
        <f t="shared" si="7"/>
        <v>5.1404967519181582E-2</v>
      </c>
      <c r="E20" s="200">
        <v>0.58887500000000004</v>
      </c>
      <c r="F20" s="41">
        <f t="shared" si="8"/>
        <v>3.1706299025857719E-2</v>
      </c>
      <c r="G20" s="200">
        <v>6.413235341</v>
      </c>
      <c r="H20" s="41">
        <f t="shared" si="2"/>
        <v>5.1628041708259541E-2</v>
      </c>
      <c r="I20" s="200">
        <f>E20*11</f>
        <v>6.4776250000000006</v>
      </c>
      <c r="J20" s="41">
        <f t="shared" si="2"/>
        <v>3.0313310447069225E-2</v>
      </c>
    </row>
    <row r="21" spans="2:10">
      <c r="B21" s="42" t="s">
        <v>68</v>
      </c>
      <c r="C21" s="200">
        <v>5.7349703000000002E-2</v>
      </c>
      <c r="D21" s="41">
        <f t="shared" si="7"/>
        <v>4.889147740835465E-3</v>
      </c>
      <c r="E21" s="200">
        <v>7.8291666666666662E-2</v>
      </c>
      <c r="F21" s="41">
        <f t="shared" si="8"/>
        <v>4.2153920519059397E-3</v>
      </c>
      <c r="G21" s="200">
        <v>0.64694355199999998</v>
      </c>
      <c r="H21" s="41">
        <f t="shared" si="2"/>
        <v>5.2080466269521812E-3</v>
      </c>
      <c r="I21" s="200">
        <f>E21*11</f>
        <v>0.86120833333333324</v>
      </c>
      <c r="J21" s="41">
        <f t="shared" si="2"/>
        <v>4.030192480721932E-3</v>
      </c>
    </row>
    <row r="22" spans="2:10">
      <c r="B22" s="42" t="s">
        <v>69</v>
      </c>
      <c r="C22" s="200"/>
      <c r="D22" s="41">
        <f t="shared" si="7"/>
        <v>0</v>
      </c>
      <c r="E22" s="200"/>
      <c r="F22" s="41">
        <f t="shared" si="8"/>
        <v>0</v>
      </c>
      <c r="G22" s="200"/>
      <c r="H22" s="41">
        <f t="shared" si="2"/>
        <v>0</v>
      </c>
      <c r="I22" s="200"/>
      <c r="J22" s="41">
        <f t="shared" si="2"/>
        <v>0</v>
      </c>
    </row>
    <row r="23" spans="2:10" ht="15.75" thickBot="1">
      <c r="B23" s="46"/>
      <c r="C23" s="203"/>
      <c r="D23" s="41"/>
      <c r="E23" s="203"/>
      <c r="F23" s="41"/>
      <c r="G23" s="203"/>
      <c r="H23" s="41"/>
      <c r="I23" s="203"/>
      <c r="J23" s="41"/>
    </row>
    <row r="24" spans="2:10" ht="15.75" thickBot="1">
      <c r="B24" s="59" t="s">
        <v>41</v>
      </c>
      <c r="C24" s="199">
        <f>C18-C19</f>
        <v>-0.1393637579516811</v>
      </c>
      <c r="D24" s="57">
        <f t="shared" ref="D24:D25" si="9">C24/C$7</f>
        <v>-1.1880968282325753E-2</v>
      </c>
      <c r="E24" s="199">
        <f>E18-E19</f>
        <v>5.0013119281482084</v>
      </c>
      <c r="F24" s="57">
        <f t="shared" ref="F24:F25" si="10">E24/E$7</f>
        <v>0.26928141204068118</v>
      </c>
      <c r="G24" s="199">
        <f>G18-G19</f>
        <v>-1.7193277482087375</v>
      </c>
      <c r="H24" s="57">
        <f t="shared" si="2"/>
        <v>-1.3840989761783428E-2</v>
      </c>
      <c r="I24" s="199">
        <f>I18-I19</f>
        <v>64.678392028857303</v>
      </c>
      <c r="J24" s="57">
        <f t="shared" si="2"/>
        <v>0.30267515899546499</v>
      </c>
    </row>
    <row r="25" spans="2:10">
      <c r="B25" s="47" t="s">
        <v>70</v>
      </c>
      <c r="C25" s="200">
        <v>6.7500000000000004E-4</v>
      </c>
      <c r="D25" s="41">
        <f t="shared" si="9"/>
        <v>5.7544757033248084E-5</v>
      </c>
      <c r="E25" s="200">
        <v>1.25E-3</v>
      </c>
      <c r="F25" s="41">
        <f t="shared" si="10"/>
        <v>6.7302693750493983E-5</v>
      </c>
      <c r="G25" s="200">
        <v>8.0499999999999999E-3</v>
      </c>
      <c r="H25" s="41">
        <f t="shared" si="2"/>
        <v>6.4804379327000486E-5</v>
      </c>
      <c r="I25" s="200">
        <f>E25*11</f>
        <v>1.375E-2</v>
      </c>
      <c r="J25" s="41">
        <f t="shared" si="2"/>
        <v>6.4345808633133565E-5</v>
      </c>
    </row>
    <row r="26" spans="2:10" ht="15.75" thickBot="1">
      <c r="B26" s="48"/>
      <c r="C26" s="204"/>
      <c r="D26" s="41"/>
      <c r="E26" s="204"/>
      <c r="F26" s="41"/>
      <c r="G26" s="204"/>
      <c r="H26" s="41"/>
      <c r="I26" s="204"/>
      <c r="J26" s="41"/>
    </row>
    <row r="27" spans="2:10" ht="15.75" thickBot="1">
      <c r="B27" s="59" t="s">
        <v>43</v>
      </c>
      <c r="C27" s="205">
        <f>C24-C25</f>
        <v>-0.14003875795168111</v>
      </c>
      <c r="D27" s="57">
        <f t="shared" ref="D27" si="11">C27/C$7</f>
        <v>-1.1938513039359003E-2</v>
      </c>
      <c r="E27" s="231">
        <f>E24-E25</f>
        <v>5.0000619281482086</v>
      </c>
      <c r="F27" s="57">
        <f t="shared" ref="F27" si="12">E27/E$7</f>
        <v>0.26921410934693069</v>
      </c>
      <c r="G27" s="205">
        <f>G24-G25</f>
        <v>-1.7273777482087374</v>
      </c>
      <c r="H27" s="57">
        <f t="shared" ref="H27:J27" si="13">G27/G$7</f>
        <v>-1.3905794141110428E-2</v>
      </c>
      <c r="I27" s="232">
        <f>I24-I25</f>
        <v>64.664642028857301</v>
      </c>
      <c r="J27" s="57">
        <f t="shared" si="13"/>
        <v>0.30261081318683181</v>
      </c>
    </row>
    <row r="28" spans="2:10">
      <c r="C28" s="222"/>
    </row>
    <row r="29" spans="2:10">
      <c r="C29" s="222"/>
      <c r="D29" s="93"/>
      <c r="E29" s="91">
        <f>E30/10^7</f>
        <v>0</v>
      </c>
      <c r="F29" s="93"/>
      <c r="G29" s="91"/>
      <c r="H29" s="93"/>
      <c r="I29" s="91">
        <f>I30/10^7</f>
        <v>0</v>
      </c>
      <c r="J29" s="93"/>
    </row>
    <row r="30" spans="2:10">
      <c r="C30" s="233">
        <f>'Financial '!D43</f>
        <v>-0.01</v>
      </c>
      <c r="D30" s="93"/>
      <c r="E30" s="93"/>
      <c r="F30" s="93"/>
      <c r="G30" s="91">
        <f>'Financial '!F43</f>
        <v>0.379</v>
      </c>
      <c r="H30" s="93"/>
      <c r="I30" s="93"/>
      <c r="J30" s="93"/>
    </row>
    <row r="31" spans="2:10">
      <c r="C31" s="91"/>
      <c r="D31" s="93"/>
      <c r="E31" s="93"/>
      <c r="F31" s="93"/>
      <c r="G31" s="91"/>
      <c r="H31" s="93"/>
      <c r="I31" s="93"/>
      <c r="J31" s="93"/>
    </row>
    <row r="32" spans="2:10">
      <c r="G32" s="95"/>
    </row>
    <row r="33" spans="3:3">
      <c r="C33" s="95"/>
    </row>
  </sheetData>
  <mergeCells count="8">
    <mergeCell ref="C2:D2"/>
    <mergeCell ref="E2:F2"/>
    <mergeCell ref="G2:H2"/>
    <mergeCell ref="I2:J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72"/>
  <sheetViews>
    <sheetView topLeftCell="A2" zoomScale="90" zoomScaleNormal="90" workbookViewId="0">
      <pane xSplit="1" ySplit="3" topLeftCell="BN5" activePane="bottomRight" state="frozen"/>
      <selection activeCell="BB29" sqref="BB29"/>
      <selection pane="topRight" activeCell="BB29" sqref="BB29"/>
      <selection pane="bottomLeft" activeCell="BB29" sqref="BB29"/>
      <selection pane="bottomRight" activeCell="BU13" sqref="BU13"/>
    </sheetView>
  </sheetViews>
  <sheetFormatPr defaultRowHeight="15"/>
  <cols>
    <col min="1" max="1" width="22.140625" customWidth="1"/>
    <col min="2" max="2" width="9.28515625" style="256" customWidth="1"/>
    <col min="3" max="37" width="9.28515625" customWidth="1"/>
    <col min="38" max="38" width="9.140625" customWidth="1"/>
    <col min="39" max="39" width="14.28515625" customWidth="1"/>
    <col min="40" max="40" width="12.140625" customWidth="1"/>
    <col min="41" max="41" width="7.5703125" customWidth="1"/>
    <col min="42" max="42" width="10.42578125" customWidth="1"/>
    <col min="43" max="43" width="10.5703125" customWidth="1"/>
    <col min="44" max="44" width="10.42578125" customWidth="1"/>
    <col min="45" max="45" width="7" bestFit="1" customWidth="1"/>
    <col min="47" max="47" width="10" bestFit="1" customWidth="1"/>
    <col min="48" max="48" width="7" bestFit="1" customWidth="1"/>
    <col min="50" max="50" width="10" bestFit="1" customWidth="1"/>
    <col min="51" max="51" width="7" bestFit="1" customWidth="1"/>
    <col min="53" max="53" width="10" bestFit="1" customWidth="1"/>
    <col min="54" max="54" width="7" bestFit="1" customWidth="1"/>
    <col min="56" max="56" width="10" bestFit="1" customWidth="1"/>
    <col min="57" max="57" width="7" bestFit="1" customWidth="1"/>
    <col min="59" max="59" width="10" bestFit="1" customWidth="1"/>
    <col min="60" max="60" width="5.7109375" bestFit="1" customWidth="1"/>
    <col min="62" max="62" width="10" bestFit="1" customWidth="1"/>
    <col min="63" max="63" width="7" bestFit="1" customWidth="1"/>
    <col min="65" max="65" width="10" bestFit="1" customWidth="1"/>
    <col min="66" max="66" width="7" bestFit="1" customWidth="1"/>
    <col min="68" max="68" width="10" bestFit="1" customWidth="1"/>
    <col min="69" max="69" width="7" bestFit="1" customWidth="1"/>
    <col min="71" max="71" width="10" bestFit="1" customWidth="1"/>
    <col min="74" max="74" width="11.85546875" bestFit="1" customWidth="1"/>
    <col min="77" max="77" width="11.85546875" bestFit="1" customWidth="1"/>
  </cols>
  <sheetData>
    <row r="1" spans="1:77">
      <c r="B1"/>
    </row>
    <row r="2" spans="1:77">
      <c r="A2" s="343" t="s">
        <v>141</v>
      </c>
      <c r="B2" s="343"/>
      <c r="C2" s="343"/>
      <c r="D2" s="343"/>
    </row>
    <row r="3" spans="1:77" ht="15.75" thickBot="1">
      <c r="B3"/>
      <c r="AP3" s="110" t="s">
        <v>169</v>
      </c>
      <c r="AQ3" s="110"/>
      <c r="AR3" s="110"/>
    </row>
    <row r="4" spans="1:77" s="110" customFormat="1" ht="15.75" thickBot="1">
      <c r="A4" s="129" t="s">
        <v>142</v>
      </c>
      <c r="B4" s="425" t="s">
        <v>80</v>
      </c>
      <c r="C4" s="420"/>
      <c r="D4" s="421"/>
      <c r="E4" s="425" t="s">
        <v>81</v>
      </c>
      <c r="F4" s="420"/>
      <c r="G4" s="421"/>
      <c r="H4" s="425" t="s">
        <v>82</v>
      </c>
      <c r="I4" s="420"/>
      <c r="J4" s="421"/>
      <c r="K4" s="425" t="s">
        <v>83</v>
      </c>
      <c r="L4" s="420"/>
      <c r="M4" s="421"/>
      <c r="N4" s="425" t="s">
        <v>119</v>
      </c>
      <c r="O4" s="420"/>
      <c r="P4" s="421"/>
      <c r="Q4" s="425" t="s">
        <v>143</v>
      </c>
      <c r="R4" s="420"/>
      <c r="S4" s="421"/>
      <c r="T4" s="425" t="s">
        <v>146</v>
      </c>
      <c r="U4" s="420"/>
      <c r="V4" s="421"/>
      <c r="W4" s="425" t="s">
        <v>156</v>
      </c>
      <c r="X4" s="420"/>
      <c r="Y4" s="421"/>
      <c r="Z4" s="425" t="s">
        <v>157</v>
      </c>
      <c r="AA4" s="420"/>
      <c r="AB4" s="421"/>
      <c r="AC4" s="425" t="s">
        <v>158</v>
      </c>
      <c r="AD4" s="420"/>
      <c r="AE4" s="421"/>
      <c r="AF4" s="425" t="s">
        <v>160</v>
      </c>
      <c r="AG4" s="420"/>
      <c r="AH4" s="421"/>
      <c r="AI4" s="425" t="s">
        <v>161</v>
      </c>
      <c r="AJ4" s="420"/>
      <c r="AK4" s="421"/>
      <c r="AL4" s="257" t="s">
        <v>147</v>
      </c>
      <c r="AM4" s="258" t="s">
        <v>120</v>
      </c>
      <c r="AN4" s="259" t="s">
        <v>121</v>
      </c>
      <c r="AP4" s="425" t="s">
        <v>80</v>
      </c>
      <c r="AQ4" s="420"/>
      <c r="AR4" s="421"/>
      <c r="AS4" s="425" t="s">
        <v>172</v>
      </c>
      <c r="AT4" s="420"/>
      <c r="AU4" s="421"/>
      <c r="AV4" s="425" t="s">
        <v>204</v>
      </c>
      <c r="AW4" s="420"/>
      <c r="AX4" s="421"/>
      <c r="AY4" s="425" t="s">
        <v>209</v>
      </c>
      <c r="AZ4" s="420"/>
      <c r="BA4" s="421"/>
      <c r="BB4" s="425" t="s">
        <v>215</v>
      </c>
      <c r="BC4" s="420"/>
      <c r="BD4" s="421"/>
      <c r="BE4" s="425" t="s">
        <v>235</v>
      </c>
      <c r="BF4" s="420"/>
      <c r="BG4" s="421"/>
      <c r="BH4" s="425" t="s">
        <v>238</v>
      </c>
      <c r="BI4" s="420"/>
      <c r="BJ4" s="421"/>
      <c r="BK4" s="425" t="s">
        <v>239</v>
      </c>
      <c r="BL4" s="420"/>
      <c r="BM4" s="421"/>
      <c r="BN4" s="425" t="s">
        <v>246</v>
      </c>
      <c r="BO4" s="420"/>
      <c r="BP4" s="421"/>
      <c r="BQ4" s="419" t="s">
        <v>258</v>
      </c>
      <c r="BR4" s="420"/>
      <c r="BS4" s="421"/>
      <c r="BT4" s="419" t="s">
        <v>263</v>
      </c>
      <c r="BU4" s="420"/>
      <c r="BV4" s="421"/>
      <c r="BW4" s="419" t="s">
        <v>276</v>
      </c>
      <c r="BX4" s="420"/>
      <c r="BY4" s="421"/>
    </row>
    <row r="5" spans="1:77">
      <c r="A5" t="s">
        <v>144</v>
      </c>
      <c r="B5" s="247" t="s">
        <v>122</v>
      </c>
      <c r="C5" s="104" t="s">
        <v>123</v>
      </c>
      <c r="D5" s="248" t="s">
        <v>108</v>
      </c>
      <c r="E5" s="247" t="s">
        <v>122</v>
      </c>
      <c r="F5" s="104" t="s">
        <v>123</v>
      </c>
      <c r="G5" s="248" t="s">
        <v>108</v>
      </c>
      <c r="H5" s="247" t="s">
        <v>122</v>
      </c>
      <c r="I5" s="104" t="s">
        <v>123</v>
      </c>
      <c r="J5" s="248" t="s">
        <v>108</v>
      </c>
      <c r="K5" s="247" t="s">
        <v>122</v>
      </c>
      <c r="L5" s="104" t="s">
        <v>123</v>
      </c>
      <c r="M5" s="248" t="s">
        <v>108</v>
      </c>
      <c r="N5" s="247" t="s">
        <v>122</v>
      </c>
      <c r="O5" s="104" t="s">
        <v>123</v>
      </c>
      <c r="P5" s="248" t="s">
        <v>108</v>
      </c>
      <c r="Q5" s="247" t="s">
        <v>122</v>
      </c>
      <c r="R5" s="104" t="s">
        <v>123</v>
      </c>
      <c r="S5" s="248" t="s">
        <v>108</v>
      </c>
      <c r="T5" s="247" t="s">
        <v>122</v>
      </c>
      <c r="U5" s="104" t="s">
        <v>123</v>
      </c>
      <c r="V5" s="248" t="s">
        <v>108</v>
      </c>
      <c r="W5" s="247" t="s">
        <v>122</v>
      </c>
      <c r="X5" s="104" t="s">
        <v>123</v>
      </c>
      <c r="Y5" s="248" t="s">
        <v>108</v>
      </c>
      <c r="Z5" s="247" t="s">
        <v>122</v>
      </c>
      <c r="AA5" s="104" t="s">
        <v>123</v>
      </c>
      <c r="AB5" s="248" t="s">
        <v>108</v>
      </c>
      <c r="AC5" s="247" t="s">
        <v>122</v>
      </c>
      <c r="AD5" s="104" t="s">
        <v>123</v>
      </c>
      <c r="AE5" s="248" t="s">
        <v>108</v>
      </c>
      <c r="AF5" s="247" t="s">
        <v>122</v>
      </c>
      <c r="AG5" s="104" t="s">
        <v>123</v>
      </c>
      <c r="AH5" s="248" t="s">
        <v>108</v>
      </c>
      <c r="AI5" s="247" t="s">
        <v>122</v>
      </c>
      <c r="AJ5" s="104" t="s">
        <v>123</v>
      </c>
      <c r="AK5" s="248" t="s">
        <v>108</v>
      </c>
      <c r="AL5" s="247" t="s">
        <v>122</v>
      </c>
      <c r="AM5" s="104" t="s">
        <v>123</v>
      </c>
      <c r="AN5" s="248" t="s">
        <v>108</v>
      </c>
      <c r="AO5" s="282"/>
      <c r="AP5" s="247" t="s">
        <v>122</v>
      </c>
      <c r="AQ5" s="104" t="s">
        <v>123</v>
      </c>
      <c r="AR5" s="248" t="s">
        <v>108</v>
      </c>
      <c r="AS5" s="247" t="s">
        <v>122</v>
      </c>
      <c r="AT5" s="104" t="s">
        <v>123</v>
      </c>
      <c r="AU5" s="248" t="s">
        <v>108</v>
      </c>
      <c r="AV5" s="247" t="s">
        <v>122</v>
      </c>
      <c r="AW5" s="104" t="s">
        <v>123</v>
      </c>
      <c r="AX5" s="248" t="s">
        <v>108</v>
      </c>
      <c r="AY5" s="247" t="s">
        <v>122</v>
      </c>
      <c r="AZ5" s="104" t="s">
        <v>123</v>
      </c>
      <c r="BA5" s="248" t="s">
        <v>108</v>
      </c>
      <c r="BB5" s="247" t="s">
        <v>122</v>
      </c>
      <c r="BC5" s="104" t="s">
        <v>123</v>
      </c>
      <c r="BD5" s="248" t="s">
        <v>108</v>
      </c>
      <c r="BE5" s="247" t="s">
        <v>122</v>
      </c>
      <c r="BF5" s="104" t="s">
        <v>123</v>
      </c>
      <c r="BG5" s="248" t="s">
        <v>108</v>
      </c>
      <c r="BH5" s="247" t="s">
        <v>122</v>
      </c>
      <c r="BI5" s="104" t="s">
        <v>123</v>
      </c>
      <c r="BJ5" s="248" t="s">
        <v>108</v>
      </c>
      <c r="BK5" s="247" t="s">
        <v>122</v>
      </c>
      <c r="BL5" s="104" t="s">
        <v>123</v>
      </c>
      <c r="BM5" s="248" t="s">
        <v>108</v>
      </c>
      <c r="BN5" s="247" t="s">
        <v>122</v>
      </c>
      <c r="BO5" s="104" t="s">
        <v>123</v>
      </c>
      <c r="BP5" s="248" t="s">
        <v>108</v>
      </c>
      <c r="BQ5" s="247" t="s">
        <v>122</v>
      </c>
      <c r="BR5" s="104" t="s">
        <v>123</v>
      </c>
      <c r="BS5" s="248" t="s">
        <v>108</v>
      </c>
      <c r="BT5" s="247" t="s">
        <v>122</v>
      </c>
      <c r="BU5" s="104" t="s">
        <v>123</v>
      </c>
      <c r="BV5" s="248" t="s">
        <v>108</v>
      </c>
      <c r="BW5" s="247" t="s">
        <v>122</v>
      </c>
      <c r="BX5" s="104" t="s">
        <v>123</v>
      </c>
      <c r="BY5" s="248" t="s">
        <v>108</v>
      </c>
    </row>
    <row r="6" spans="1:77">
      <c r="A6" t="s">
        <v>124</v>
      </c>
      <c r="B6" s="249">
        <v>266.08453999999813</v>
      </c>
      <c r="C6" s="250">
        <f>B6/B$27</f>
        <v>0.21277924690530217</v>
      </c>
      <c r="D6" s="251">
        <v>112041.64156160172</v>
      </c>
      <c r="E6" s="249">
        <v>305.97104000000525</v>
      </c>
      <c r="F6" s="250">
        <f>E6/E$27</f>
        <v>0.22640041341432082</v>
      </c>
      <c r="G6" s="251">
        <v>111034.07307780607</v>
      </c>
      <c r="H6" s="249">
        <v>255.10561999999979</v>
      </c>
      <c r="I6" s="250">
        <f>H6/H$27</f>
        <v>0.1704478430373485</v>
      </c>
      <c r="J6" s="251">
        <v>108651.14043378641</v>
      </c>
      <c r="K6" s="249">
        <v>159.87161359999752</v>
      </c>
      <c r="L6" s="250">
        <f>K6/K$27</f>
        <v>0.11312505794460621</v>
      </c>
      <c r="M6" s="251">
        <v>104083.69006807121</v>
      </c>
      <c r="N6" s="249">
        <v>146.30965999999847</v>
      </c>
      <c r="O6" s="250">
        <f>N6/N$27</f>
        <v>9.9908004869536854E-2</v>
      </c>
      <c r="P6" s="251">
        <v>107680.39165386015</v>
      </c>
      <c r="Q6" s="249">
        <v>85.278679999999412</v>
      </c>
      <c r="R6" s="250">
        <f>Q6/Q$27</f>
        <v>5.883079270204606E-2</v>
      </c>
      <c r="S6" s="251">
        <v>109552.18946682701</v>
      </c>
      <c r="T6" s="249">
        <v>28.43758000000005</v>
      </c>
      <c r="U6" s="250">
        <f>T6/T$27</f>
        <v>1.9038051137812276E-2</v>
      </c>
      <c r="V6" s="251">
        <v>102314.29362402372</v>
      </c>
      <c r="W6" s="249">
        <v>7.4662399999999947</v>
      </c>
      <c r="X6" s="250">
        <f>W6/W$27</f>
        <v>5.6577744381192665E-3</v>
      </c>
      <c r="Y6" s="251">
        <v>102837.05276085819</v>
      </c>
      <c r="Z6" s="249">
        <v>8.3354799999999969</v>
      </c>
      <c r="AA6" s="250">
        <f>Z6/Z$27</f>
        <v>7.3646537161554133E-3</v>
      </c>
      <c r="AB6" s="251">
        <v>96505.576163580394</v>
      </c>
      <c r="AC6" s="249">
        <v>9.1001200000000004</v>
      </c>
      <c r="AD6" s="250">
        <f>AC6/AC$27</f>
        <v>6.8174776981425982E-3</v>
      </c>
      <c r="AE6" s="251">
        <v>103114.42266695386</v>
      </c>
      <c r="AF6" s="249">
        <v>25.144039999999997</v>
      </c>
      <c r="AG6" s="250">
        <f>AF6/AF$27</f>
        <v>1.7783270773495605E-2</v>
      </c>
      <c r="AH6" s="251">
        <v>102941.47957130217</v>
      </c>
      <c r="AI6" s="261">
        <v>2.0458363200000003</v>
      </c>
      <c r="AJ6" s="250">
        <f>AI6/AI$27</f>
        <v>1.282120918835822E-3</v>
      </c>
      <c r="AK6" s="261">
        <v>107127.33362755046</v>
      </c>
      <c r="AL6" s="249">
        <v>1299.1504499200532</v>
      </c>
      <c r="AM6" s="250">
        <f>AL6/AL$27</f>
        <v>7.7721395516612959E-2</v>
      </c>
      <c r="AN6" s="251">
        <v>108892.80123135773</v>
      </c>
      <c r="AO6" s="303"/>
      <c r="AP6" s="249">
        <v>2.5201400000000009</v>
      </c>
      <c r="AQ6" s="250">
        <f>AP6/AP$27</f>
        <v>1.273864047384701E-3</v>
      </c>
      <c r="AR6" s="251">
        <v>101465.17653781139</v>
      </c>
      <c r="AS6" s="249">
        <v>15.200040000000003</v>
      </c>
      <c r="AT6" s="250">
        <f>AS6/AS$27</f>
        <v>7.3972860001403039E-3</v>
      </c>
      <c r="AU6" s="251">
        <v>103007.83616358899</v>
      </c>
      <c r="AV6" s="249">
        <v>12.623920000000007</v>
      </c>
      <c r="AW6" s="250">
        <f>AV6/AV$27</f>
        <v>5.974535733155594E-3</v>
      </c>
      <c r="AX6" s="251">
        <v>101547.60644870998</v>
      </c>
      <c r="AY6" s="249">
        <v>3.4301399999999997</v>
      </c>
      <c r="AZ6" s="250">
        <f>AY6/AY$27</f>
        <v>2.2446522878980112E-3</v>
      </c>
      <c r="BA6" s="251">
        <v>101306.08663203251</v>
      </c>
      <c r="BB6" s="249">
        <v>74.832579999999624</v>
      </c>
      <c r="BC6" s="250">
        <f>BB6/BB$27</f>
        <v>4.37933914313509E-2</v>
      </c>
      <c r="BD6" s="251">
        <v>100316.83619621296</v>
      </c>
      <c r="BE6" s="249">
        <v>156.84639263999867</v>
      </c>
      <c r="BF6" s="250">
        <f t="shared" ref="BF6:BF14" si="0">BE6/BE$27</f>
        <v>0.10011179418271379</v>
      </c>
      <c r="BG6" s="251">
        <v>100086.0885339646</v>
      </c>
      <c r="BH6" s="249">
        <v>117.7597799999981</v>
      </c>
      <c r="BI6" s="250">
        <f t="shared" ref="BI6:BI14" si="1">BH6/BH$27</f>
        <v>0.11887987386066383</v>
      </c>
      <c r="BJ6" s="251">
        <v>100088.69989397119</v>
      </c>
      <c r="BK6" s="249">
        <v>126.79001727999868</v>
      </c>
      <c r="BL6" s="250">
        <f t="shared" ref="BL6:BL14" si="2">BK6/BK$27</f>
        <v>0.11610353015707484</v>
      </c>
      <c r="BM6" s="251">
        <v>102649.99784058734</v>
      </c>
      <c r="BN6" s="249">
        <v>138.58375999999899</v>
      </c>
      <c r="BO6" s="250">
        <f t="shared" ref="BO6:BO14" si="3">BN6/BN$27</f>
        <v>0.10011111143337575</v>
      </c>
      <c r="BP6" s="251">
        <v>106544.59570154539</v>
      </c>
      <c r="BQ6" s="373">
        <v>141.2431636799993</v>
      </c>
      <c r="BR6" s="250">
        <f t="shared" ref="BR6:BR16" si="4">BQ6/BQ$27</f>
        <v>0.11427013513959547</v>
      </c>
      <c r="BS6" s="251">
        <v>112012.79097545674</v>
      </c>
      <c r="BT6" s="373">
        <v>157.81945999999863</v>
      </c>
      <c r="BU6" s="250">
        <f t="shared" ref="BU6:BU18" si="5">BT6/BT$27</f>
        <v>0.11461702808090063</v>
      </c>
      <c r="BV6" s="251">
        <v>114415.4998375994</v>
      </c>
      <c r="BW6" s="373">
        <v>140.81451999999854</v>
      </c>
      <c r="BX6" s="250">
        <f t="shared" ref="BX6:BX18" si="6">BW6/BW$27</f>
        <v>9.6190197638491251E-2</v>
      </c>
      <c r="BY6" s="251">
        <v>114801.5411336854</v>
      </c>
    </row>
    <row r="7" spans="1:77">
      <c r="A7" t="s">
        <v>125</v>
      </c>
      <c r="B7" s="249">
        <v>215.46864000000107</v>
      </c>
      <c r="C7" s="250">
        <f>B7/B$27</f>
        <v>0.17230333994943944</v>
      </c>
      <c r="D7" s="251">
        <v>115389.40583334165</v>
      </c>
      <c r="E7" s="249">
        <v>199.60053000000158</v>
      </c>
      <c r="F7" s="250">
        <f>E7/E$27</f>
        <v>0.14769254799316017</v>
      </c>
      <c r="G7" s="251">
        <v>115373.92879721032</v>
      </c>
      <c r="H7" s="249">
        <v>211.98234000000014</v>
      </c>
      <c r="I7" s="250">
        <f>H7/H$27</f>
        <v>0.14163518865248792</v>
      </c>
      <c r="J7" s="251">
        <v>115420.43137486455</v>
      </c>
      <c r="K7" s="249">
        <v>104.81183999999897</v>
      </c>
      <c r="L7" s="250">
        <f>K7/K$27</f>
        <v>7.4164795152107374E-2</v>
      </c>
      <c r="M7" s="251">
        <v>112932.7802704725</v>
      </c>
      <c r="N7" s="249">
        <v>129.0815999999993</v>
      </c>
      <c r="O7" s="250">
        <f>N7/N$27</f>
        <v>8.814377069407224E-2</v>
      </c>
      <c r="P7" s="251">
        <v>112942.55674809573</v>
      </c>
      <c r="Q7" s="249">
        <v>113.192639999999</v>
      </c>
      <c r="R7" s="250">
        <f>Q7/Q$27</f>
        <v>7.8087661995205768E-2</v>
      </c>
      <c r="S7" s="251">
        <v>112898.10913105577</v>
      </c>
      <c r="T7" s="249">
        <v>131.57783999999941</v>
      </c>
      <c r="U7" s="250">
        <f>T7/T$27</f>
        <v>8.8087159544618987E-2</v>
      </c>
      <c r="V7" s="251">
        <v>112905.38467280091</v>
      </c>
      <c r="W7" s="249">
        <v>142.4438100000005</v>
      </c>
      <c r="X7" s="250">
        <f>W7/W$27</f>
        <v>0.10794120562509657</v>
      </c>
      <c r="Y7" s="251">
        <v>112921.42487125198</v>
      </c>
      <c r="Z7" s="249">
        <v>79.176959999999397</v>
      </c>
      <c r="AA7" s="250">
        <f>Z7/Z$27</f>
        <v>6.9955286641907158E-2</v>
      </c>
      <c r="AB7" s="251">
        <v>112906.25176819216</v>
      </c>
      <c r="AC7" s="249">
        <v>81.267509999999234</v>
      </c>
      <c r="AD7" s="250">
        <f>AC7/AC$27</f>
        <v>6.0882651768171779E-2</v>
      </c>
      <c r="AE7" s="251">
        <v>112847.70543603577</v>
      </c>
      <c r="AF7" s="249">
        <v>108.35423999999909</v>
      </c>
      <c r="AG7" s="250">
        <f>AF7/AF$27</f>
        <v>7.6634176106000165E-2</v>
      </c>
      <c r="AH7" s="251">
        <v>112810.39819023338</v>
      </c>
      <c r="AI7" s="261">
        <v>140.329620000002</v>
      </c>
      <c r="AJ7" s="250">
        <f>AI7/AI$27</f>
        <v>8.794425026841067E-2</v>
      </c>
      <c r="AK7" s="261">
        <v>112886.6478082086</v>
      </c>
      <c r="AL7" s="249">
        <v>1657.2875700002714</v>
      </c>
      <c r="AM7" s="250">
        <f>AL7/AL$27</f>
        <v>9.9146871496433656E-2</v>
      </c>
      <c r="AN7" s="251">
        <v>113842.26941984706</v>
      </c>
      <c r="AO7" s="303"/>
      <c r="AP7" s="249">
        <v>155.02753200000296</v>
      </c>
      <c r="AQ7" s="250">
        <f>AP7/AP$27</f>
        <v>7.8362312954671151E-2</v>
      </c>
      <c r="AR7" s="251">
        <v>112749.77679448295</v>
      </c>
      <c r="AS7" s="249">
        <v>141.85150799999928</v>
      </c>
      <c r="AT7" s="250">
        <f>AS7/AS$27</f>
        <v>6.9033777162901197E-2</v>
      </c>
      <c r="AU7" s="251">
        <v>112710.45824905853</v>
      </c>
      <c r="AV7" s="249">
        <v>182.34423000000399</v>
      </c>
      <c r="AW7" s="250">
        <f>AV7/AV$27</f>
        <v>8.6298243166129496E-2</v>
      </c>
      <c r="AX7" s="251">
        <v>112802.74933843261</v>
      </c>
      <c r="AY7" s="249">
        <v>104.29343999999929</v>
      </c>
      <c r="AZ7" s="250">
        <f>AY7/AY$27</f>
        <v>6.8248674604754436E-2</v>
      </c>
      <c r="BA7" s="251">
        <v>112713.8129684866</v>
      </c>
      <c r="BB7" s="249">
        <v>85.27679999999927</v>
      </c>
      <c r="BC7" s="250">
        <f>BB7/BB$27</f>
        <v>4.9905539571307195E-2</v>
      </c>
      <c r="BD7" s="251">
        <v>112718.14608428189</v>
      </c>
      <c r="BE7" s="249">
        <v>78.831359999999322</v>
      </c>
      <c r="BF7" s="250">
        <f t="shared" si="0"/>
        <v>5.0316419489336468E-2</v>
      </c>
      <c r="BG7" s="251">
        <v>112676.24381971936</v>
      </c>
      <c r="BH7" s="249">
        <v>54.717119999999561</v>
      </c>
      <c r="BI7" s="250">
        <f t="shared" si="1"/>
        <v>5.5237571975923001E-2</v>
      </c>
      <c r="BJ7" s="251">
        <v>112721.41187255537</v>
      </c>
      <c r="BK7" s="249">
        <v>64.825919999999527</v>
      </c>
      <c r="BL7" s="250">
        <f t="shared" si="2"/>
        <v>5.9362072181587962E-2</v>
      </c>
      <c r="BM7" s="251">
        <v>112612.47661429332</v>
      </c>
      <c r="BN7" s="249">
        <v>77.0428799999994</v>
      </c>
      <c r="BO7" s="250">
        <f t="shared" si="3"/>
        <v>5.5654777622054653E-2</v>
      </c>
      <c r="BP7" s="251">
        <v>112637.58442052106</v>
      </c>
      <c r="BQ7" s="373">
        <v>75.081599999999526</v>
      </c>
      <c r="BR7" s="250">
        <f t="shared" si="4"/>
        <v>6.0743361695967925E-2</v>
      </c>
      <c r="BS7" s="251">
        <v>112650.58216660359</v>
      </c>
      <c r="BT7" s="373">
        <v>135.56735999999995</v>
      </c>
      <c r="BU7" s="250">
        <f t="shared" si="5"/>
        <v>9.8456349476634217E-2</v>
      </c>
      <c r="BV7" s="251">
        <v>112734.36673842363</v>
      </c>
      <c r="BW7" s="249">
        <v>107.26475999999899</v>
      </c>
      <c r="BX7" s="250">
        <f t="shared" si="6"/>
        <v>7.3272404465429708E-2</v>
      </c>
      <c r="BY7" s="251">
        <v>112587.15826148351</v>
      </c>
    </row>
    <row r="8" spans="1:77">
      <c r="A8" t="s">
        <v>237</v>
      </c>
      <c r="B8" s="249"/>
      <c r="C8" s="250"/>
      <c r="D8" s="251"/>
      <c r="E8" s="249"/>
      <c r="F8" s="250"/>
      <c r="G8" s="251"/>
      <c r="H8" s="249"/>
      <c r="I8" s="250"/>
      <c r="J8" s="251"/>
      <c r="K8" s="249"/>
      <c r="L8" s="250"/>
      <c r="M8" s="251"/>
      <c r="N8" s="249"/>
      <c r="O8" s="250"/>
      <c r="P8" s="251"/>
      <c r="Q8" s="249"/>
      <c r="R8" s="250"/>
      <c r="S8" s="251"/>
      <c r="T8" s="249"/>
      <c r="U8" s="250"/>
      <c r="V8" s="251"/>
      <c r="W8" s="249"/>
      <c r="X8" s="250"/>
      <c r="Y8" s="251"/>
      <c r="Z8" s="249"/>
      <c r="AA8" s="250"/>
      <c r="AB8" s="251"/>
      <c r="AC8" s="249"/>
      <c r="AD8" s="250"/>
      <c r="AE8" s="251"/>
      <c r="AF8" s="249"/>
      <c r="AG8" s="250"/>
      <c r="AH8" s="251"/>
      <c r="AI8" s="261"/>
      <c r="AJ8" s="250"/>
      <c r="AK8" s="261"/>
      <c r="AL8" s="249"/>
      <c r="AM8" s="250"/>
      <c r="AN8" s="251"/>
      <c r="AO8" s="303"/>
      <c r="AP8" s="249"/>
      <c r="AQ8" s="250"/>
      <c r="AR8" s="251"/>
      <c r="AS8" s="249"/>
      <c r="AT8" s="250"/>
      <c r="AU8" s="251"/>
      <c r="AV8" s="249"/>
      <c r="AW8" s="250"/>
      <c r="AX8" s="251"/>
      <c r="AY8" s="249"/>
      <c r="AZ8" s="250"/>
      <c r="BA8" s="251"/>
      <c r="BB8" s="249"/>
      <c r="BC8" s="250"/>
      <c r="BD8" s="251"/>
      <c r="BE8" s="249">
        <v>161.20000000000016</v>
      </c>
      <c r="BF8" s="250">
        <f t="shared" si="0"/>
        <v>0.10289061132119395</v>
      </c>
      <c r="BG8" s="251">
        <v>87342.156265508325</v>
      </c>
      <c r="BH8" s="249">
        <v>404.53749999999985</v>
      </c>
      <c r="BI8" s="250">
        <f t="shared" si="1"/>
        <v>0.40838533302209845</v>
      </c>
      <c r="BJ8" s="251">
        <v>87309.930822235066</v>
      </c>
      <c r="BK8" s="249">
        <v>383.30974999999944</v>
      </c>
      <c r="BL8" s="250">
        <f t="shared" si="2"/>
        <v>0.35100251639169283</v>
      </c>
      <c r="BM8" s="251">
        <v>87283.079754688923</v>
      </c>
      <c r="BN8" s="249">
        <v>537.39499999999896</v>
      </c>
      <c r="BO8" s="250">
        <f t="shared" si="3"/>
        <v>0.38820718047150149</v>
      </c>
      <c r="BP8" s="251">
        <v>87341.153434624503</v>
      </c>
      <c r="BQ8" s="373">
        <v>595.41150000000073</v>
      </c>
      <c r="BR8" s="250">
        <f t="shared" si="4"/>
        <v>0.48170651800759545</v>
      </c>
      <c r="BS8" s="251">
        <v>89106.802035232118</v>
      </c>
      <c r="BT8" s="373">
        <v>515.33749999999986</v>
      </c>
      <c r="BU8" s="250">
        <f t="shared" si="5"/>
        <v>0.37426596636841636</v>
      </c>
      <c r="BV8" s="251">
        <v>89084.284900672908</v>
      </c>
      <c r="BW8" s="249">
        <v>502.59974999999753</v>
      </c>
      <c r="BX8" s="250">
        <f t="shared" si="6"/>
        <v>0.34332517190383888</v>
      </c>
      <c r="BY8" s="251">
        <v>89095.243183071478</v>
      </c>
    </row>
    <row r="9" spans="1:77">
      <c r="A9" t="s">
        <v>126</v>
      </c>
      <c r="B9" s="249">
        <v>378.05625000000055</v>
      </c>
      <c r="C9" s="250">
        <f t="shared" ref="C9:C14" si="7">B9/B$27</f>
        <v>0.30231942134948286</v>
      </c>
      <c r="D9" s="251">
        <v>78820.665906609502</v>
      </c>
      <c r="E9" s="249">
        <v>401.73237500000005</v>
      </c>
      <c r="F9" s="250">
        <f t="shared" ref="F9:F14" si="8">E9/E$27</f>
        <v>0.29725811887920967</v>
      </c>
      <c r="G9" s="251">
        <v>78492.78317053002</v>
      </c>
      <c r="H9" s="249">
        <v>448.27749999999872</v>
      </c>
      <c r="I9" s="250">
        <f t="shared" ref="I9:I14" si="9">H9/H$27</f>
        <v>0.29951489487834426</v>
      </c>
      <c r="J9" s="251">
        <v>78409.935395829554</v>
      </c>
      <c r="K9" s="249">
        <v>446.18749999999955</v>
      </c>
      <c r="L9" s="250">
        <f t="shared" ref="L9:L14" si="10">K9/K$27</f>
        <v>0.31572200752253943</v>
      </c>
      <c r="M9" s="251">
        <v>76996.594794503791</v>
      </c>
      <c r="N9" s="249">
        <v>479.13222499999796</v>
      </c>
      <c r="O9" s="250">
        <f t="shared" ref="O9:O14" si="11">N9/N$27</f>
        <v>0.32717692508103924</v>
      </c>
      <c r="P9" s="251">
        <v>76985.321582219447</v>
      </c>
      <c r="Q9" s="249">
        <v>488.87849999999935</v>
      </c>
      <c r="R9" s="250">
        <f t="shared" ref="R9:R14" si="12">Q9/Q$27</f>
        <v>0.33726025883594102</v>
      </c>
      <c r="S9" s="251">
        <v>76882.307587441086</v>
      </c>
      <c r="T9" s="249">
        <v>487.34124999999841</v>
      </c>
      <c r="U9" s="250">
        <f t="shared" ref="U9:U14" si="13">T9/T$27</f>
        <v>0.32625939475388938</v>
      </c>
      <c r="V9" s="251">
        <v>76911.834943781287</v>
      </c>
      <c r="W9" s="249">
        <v>485.99264999999872</v>
      </c>
      <c r="X9" s="250">
        <f t="shared" ref="X9:X14" si="14">W9/W$27</f>
        <v>0.36827597187926431</v>
      </c>
      <c r="Y9" s="251">
        <v>76924.178919288752</v>
      </c>
      <c r="Z9" s="249">
        <v>450.93069999999892</v>
      </c>
      <c r="AA9" s="250">
        <f t="shared" ref="AA9:AA14" si="15">Z9/Z$27</f>
        <v>0.39841118393704444</v>
      </c>
      <c r="AB9" s="251">
        <v>76890.389764990832</v>
      </c>
      <c r="AC9" s="249">
        <v>475.29982499999886</v>
      </c>
      <c r="AD9" s="250">
        <f t="shared" ref="AD9:AD14" si="16">AC9/AC$27</f>
        <v>0.3560772777577188</v>
      </c>
      <c r="AE9" s="251">
        <v>76736.451733387439</v>
      </c>
      <c r="AF9" s="249">
        <v>510.03122499999876</v>
      </c>
      <c r="AG9" s="250">
        <f t="shared" ref="AG9:AG14" si="17">AF9/AF$27</f>
        <v>0.36072259577667865</v>
      </c>
      <c r="AH9" s="251">
        <v>76695.000781569819</v>
      </c>
      <c r="AI9" s="261">
        <v>520.61267499999963</v>
      </c>
      <c r="AJ9" s="250">
        <f t="shared" ref="AJ9:AJ14" si="18">AI9/AI$27</f>
        <v>0.32626676665344112</v>
      </c>
      <c r="AK9" s="261">
        <v>76719.237809567348</v>
      </c>
      <c r="AL9" s="249">
        <v>5572.4726750006057</v>
      </c>
      <c r="AM9" s="250">
        <f t="shared" ref="AM9:AM14" si="19">AL9/AL$27</f>
        <v>0.33337197612939468</v>
      </c>
      <c r="AN9" s="251">
        <v>77232.882741438763</v>
      </c>
      <c r="AO9" s="303"/>
      <c r="AP9" s="249">
        <v>682.91245000000242</v>
      </c>
      <c r="AQ9" s="250">
        <f t="shared" ref="AQ9:AQ14" si="20">AP9/AP$27</f>
        <v>0.34519416285063725</v>
      </c>
      <c r="AR9" s="251">
        <v>76724.601286739271</v>
      </c>
      <c r="AS9" s="249">
        <v>716.64560000000256</v>
      </c>
      <c r="AT9" s="250">
        <f t="shared" ref="AT9:AT14" si="21">AS9/AS$27</f>
        <v>0.3487643758794165</v>
      </c>
      <c r="AU9" s="251">
        <v>76656.097839712616</v>
      </c>
      <c r="AV9" s="249">
        <v>742.28165000000422</v>
      </c>
      <c r="AW9" s="250">
        <f t="shared" ref="AW9:AW14" si="22">AV9/AV$27</f>
        <v>0.35130040763809633</v>
      </c>
      <c r="AX9" s="251">
        <v>76627.23809755969</v>
      </c>
      <c r="AY9" s="249">
        <v>534.10967500000015</v>
      </c>
      <c r="AZ9" s="250">
        <f t="shared" ref="AZ9:AZ14" si="23">AY9/AY$27</f>
        <v>0.34951649319771599</v>
      </c>
      <c r="BA9" s="251">
        <v>76619.232126809875</v>
      </c>
      <c r="BB9" s="249">
        <v>557.53499999999974</v>
      </c>
      <c r="BC9" s="250">
        <f t="shared" ref="BC9:BC14" si="24">BB9/BB$27</f>
        <v>0.32627965642342327</v>
      </c>
      <c r="BD9" s="251">
        <v>79572.686737155367</v>
      </c>
      <c r="BE9" s="249">
        <v>417.61197499999827</v>
      </c>
      <c r="BF9" s="250">
        <f t="shared" si="0"/>
        <v>0.26655304840447236</v>
      </c>
      <c r="BG9" s="251">
        <v>79431.87900682239</v>
      </c>
      <c r="BH9" s="249">
        <v>42.133850000000052</v>
      </c>
      <c r="BI9" s="250">
        <f t="shared" si="1"/>
        <v>4.2534613883145986E-2</v>
      </c>
      <c r="BJ9" s="251">
        <v>79421.191749626523</v>
      </c>
      <c r="BK9" s="249">
        <v>14.497999999999987</v>
      </c>
      <c r="BL9" s="250">
        <f t="shared" si="2"/>
        <v>1.32760371544078E-2</v>
      </c>
      <c r="BM9" s="251">
        <v>79553.00110360056</v>
      </c>
      <c r="BN9" s="249">
        <v>4.4354749999999949</v>
      </c>
      <c r="BO9" s="250">
        <f t="shared" si="3"/>
        <v>3.2041296323967183E-3</v>
      </c>
      <c r="BP9" s="251">
        <v>79646.781911745769</v>
      </c>
      <c r="BQ9" s="373">
        <v>0.91712500000000041</v>
      </c>
      <c r="BR9" s="250">
        <f t="shared" si="4"/>
        <v>7.4198279732204647E-4</v>
      </c>
      <c r="BS9" s="251">
        <v>81250.963609104452</v>
      </c>
      <c r="BT9" s="373">
        <v>0.16142500000000001</v>
      </c>
      <c r="BU9" s="250">
        <f t="shared" si="5"/>
        <v>1.1723556624740413E-4</v>
      </c>
      <c r="BV9" s="251">
        <v>81612.327706365177</v>
      </c>
      <c r="BW9" s="249">
        <v>0.16719999999999999</v>
      </c>
      <c r="BX9" s="250">
        <f t="shared" si="6"/>
        <v>1.1421408136856841E-4</v>
      </c>
      <c r="BY9" s="251">
        <v>81681.51913875599</v>
      </c>
    </row>
    <row r="10" spans="1:77">
      <c r="A10" t="s">
        <v>148</v>
      </c>
      <c r="B10" s="249">
        <v>89.244539999999148</v>
      </c>
      <c r="C10" s="250">
        <f t="shared" si="7"/>
        <v>7.1365987710560214E-2</v>
      </c>
      <c r="D10" s="251">
        <v>97473.656051966842</v>
      </c>
      <c r="E10" s="249">
        <v>199.34822000000088</v>
      </c>
      <c r="F10" s="250">
        <f t="shared" si="8"/>
        <v>0.14750585356512305</v>
      </c>
      <c r="G10" s="251">
        <v>87093.910221367172</v>
      </c>
      <c r="H10" s="249">
        <v>271.87625999999898</v>
      </c>
      <c r="I10" s="250">
        <f t="shared" si="9"/>
        <v>0.18165308192763929</v>
      </c>
      <c r="J10" s="251">
        <v>83269.538194716646</v>
      </c>
      <c r="K10" s="249">
        <v>139.29351999999963</v>
      </c>
      <c r="L10" s="250">
        <f t="shared" si="10"/>
        <v>9.856401124926388E-2</v>
      </c>
      <c r="M10" s="251">
        <v>81318.132855622112</v>
      </c>
      <c r="N10" s="249">
        <v>151.16257999999823</v>
      </c>
      <c r="O10" s="250">
        <f t="shared" si="11"/>
        <v>0.10322183633487861</v>
      </c>
      <c r="P10" s="251">
        <v>81245.43059290848</v>
      </c>
      <c r="Q10" s="249">
        <v>213.71175199999686</v>
      </c>
      <c r="R10" s="250">
        <f t="shared" si="12"/>
        <v>0.14743229820047613</v>
      </c>
      <c r="S10" s="251">
        <v>81153.945204668998</v>
      </c>
      <c r="T10" s="249">
        <v>231.57375999999721</v>
      </c>
      <c r="U10" s="250">
        <f t="shared" si="13"/>
        <v>0.15503123279320552</v>
      </c>
      <c r="V10" s="251">
        <v>81104.873902993233</v>
      </c>
      <c r="W10" s="249">
        <v>160.04111999999805</v>
      </c>
      <c r="X10" s="250">
        <f t="shared" si="14"/>
        <v>0.1212761119096048</v>
      </c>
      <c r="Y10" s="251">
        <v>81057.246142995093</v>
      </c>
      <c r="Z10" s="249">
        <v>134.69897999999867</v>
      </c>
      <c r="AA10" s="250">
        <f t="shared" si="15"/>
        <v>0.1190107040769499</v>
      </c>
      <c r="AB10" s="251">
        <v>81059.668454803366</v>
      </c>
      <c r="AC10" s="249">
        <v>144.95771999999829</v>
      </c>
      <c r="AD10" s="250">
        <f t="shared" si="16"/>
        <v>0.10859703204722439</v>
      </c>
      <c r="AE10" s="251">
        <v>81041.387999206112</v>
      </c>
      <c r="AF10" s="249">
        <v>178.60283999999723</v>
      </c>
      <c r="AG10" s="250">
        <f t="shared" si="17"/>
        <v>0.12631791329616332</v>
      </c>
      <c r="AH10" s="251">
        <v>81083.923861459392</v>
      </c>
      <c r="AI10" s="261">
        <v>175.87175999999744</v>
      </c>
      <c r="AJ10" s="250">
        <f t="shared" si="18"/>
        <v>0.11021842770318491</v>
      </c>
      <c r="AK10" s="261">
        <v>81086.343879201377</v>
      </c>
      <c r="AL10" s="249">
        <v>2090.3830520005345</v>
      </c>
      <c r="AM10" s="250">
        <f t="shared" si="19"/>
        <v>0.12505671531403922</v>
      </c>
      <c r="AN10" s="251">
        <v>82671.464132895708</v>
      </c>
      <c r="AO10" s="303"/>
      <c r="AP10" s="293">
        <v>222.05512743999751</v>
      </c>
      <c r="AQ10" s="250">
        <f t="shared" si="20"/>
        <v>0.11224298784323121</v>
      </c>
      <c r="AR10" s="251">
        <v>81022.612931383788</v>
      </c>
      <c r="AS10" s="293">
        <v>250.28639999999751</v>
      </c>
      <c r="AT10" s="250">
        <f t="shared" si="21"/>
        <v>0.12180494806234045</v>
      </c>
      <c r="AU10" s="251">
        <v>81048.175210478279</v>
      </c>
      <c r="AV10" s="293">
        <v>321.22116000000182</v>
      </c>
      <c r="AW10" s="250">
        <f t="shared" si="22"/>
        <v>0.15202467210388693</v>
      </c>
      <c r="AX10" s="251">
        <v>80996.243086846865</v>
      </c>
      <c r="AY10" s="249">
        <v>199.76389999999662</v>
      </c>
      <c r="AZ10" s="250">
        <f t="shared" si="23"/>
        <v>0.13072367167941307</v>
      </c>
      <c r="BA10" s="251">
        <v>80979.371147642189</v>
      </c>
      <c r="BB10" s="249">
        <v>234.11621999999829</v>
      </c>
      <c r="BC10" s="250">
        <f t="shared" si="24"/>
        <v>0.13700908431712816</v>
      </c>
      <c r="BD10" s="251">
        <v>80973.031385864524</v>
      </c>
      <c r="BE10" s="249">
        <v>279.76037999999971</v>
      </c>
      <c r="BF10" s="250">
        <f t="shared" si="0"/>
        <v>0.1785652389680488</v>
      </c>
      <c r="BG10" s="251">
        <v>80974.707891086975</v>
      </c>
      <c r="BH10" s="249">
        <v>97.002355319999438</v>
      </c>
      <c r="BI10" s="250">
        <f t="shared" si="1"/>
        <v>9.7925011108453253E-2</v>
      </c>
      <c r="BJ10" s="251">
        <v>80992.596355856193</v>
      </c>
      <c r="BK10" s="249">
        <v>152.98950051999816</v>
      </c>
      <c r="BL10" s="250">
        <f t="shared" si="2"/>
        <v>0.14009479191183535</v>
      </c>
      <c r="BM10" s="251">
        <v>81009.018709621087</v>
      </c>
      <c r="BN10" s="249">
        <v>84.946159999999693</v>
      </c>
      <c r="BO10" s="250">
        <f t="shared" si="3"/>
        <v>6.1364004625054175E-2</v>
      </c>
      <c r="BP10" s="251">
        <v>80932.343616239261</v>
      </c>
      <c r="BQ10" s="373">
        <v>6.1635542799999907</v>
      </c>
      <c r="BR10" s="250">
        <f t="shared" si="4"/>
        <v>4.9865081053516837E-3</v>
      </c>
      <c r="BS10" s="251">
        <v>80989.930050555311</v>
      </c>
      <c r="BT10" s="373">
        <v>93.956079999999872</v>
      </c>
      <c r="BU10" s="250">
        <f t="shared" si="5"/>
        <v>6.8235987246005186E-2</v>
      </c>
      <c r="BV10" s="251">
        <v>95481.174821256791</v>
      </c>
      <c r="BW10" s="249">
        <v>290.15822000000026</v>
      </c>
      <c r="BX10" s="250">
        <f t="shared" si="6"/>
        <v>0.19820666596195577</v>
      </c>
      <c r="BY10" s="251">
        <v>95679.61169038745</v>
      </c>
    </row>
    <row r="11" spans="1:77">
      <c r="A11" t="s">
        <v>127</v>
      </c>
      <c r="B11" s="249">
        <v>104.616</v>
      </c>
      <c r="C11" s="250">
        <f t="shared" si="7"/>
        <v>8.3658049784648317E-2</v>
      </c>
      <c r="D11" s="251">
        <v>92408.506211143933</v>
      </c>
      <c r="E11" s="249">
        <v>33.638639999999974</v>
      </c>
      <c r="F11" s="250">
        <f t="shared" si="8"/>
        <v>2.4890597498035672E-2</v>
      </c>
      <c r="G11" s="251">
        <v>92400.690145312343</v>
      </c>
      <c r="H11" s="249">
        <v>2.15544</v>
      </c>
      <c r="I11" s="250">
        <f t="shared" si="9"/>
        <v>1.4401489814157085E-3</v>
      </c>
      <c r="J11" s="251">
        <v>92035.827321003264</v>
      </c>
      <c r="K11" s="249">
        <v>0.15840000000000001</v>
      </c>
      <c r="L11" s="250">
        <f t="shared" si="10"/>
        <v>1.1208374504344093E-4</v>
      </c>
      <c r="M11" s="251">
        <v>85331.632800141262</v>
      </c>
      <c r="N11" s="249">
        <v>0.53184000000000009</v>
      </c>
      <c r="O11" s="250">
        <f t="shared" si="11"/>
        <v>3.6316859262618096E-4</v>
      </c>
      <c r="P11" s="251">
        <v>84818.29816971111</v>
      </c>
      <c r="Q11" s="249">
        <v>2.8799999999999999E-2</v>
      </c>
      <c r="R11" s="250">
        <f t="shared" si="12"/>
        <v>1.9868117445285719E-5</v>
      </c>
      <c r="S11" s="251">
        <v>85515.655904305779</v>
      </c>
      <c r="T11" s="249">
        <v>1.44E-2</v>
      </c>
      <c r="U11" s="250">
        <f t="shared" si="13"/>
        <v>9.6403398736635207E-6</v>
      </c>
      <c r="V11" s="251">
        <v>90051.73200722973</v>
      </c>
      <c r="W11" s="249">
        <v>2.1024000000000003</v>
      </c>
      <c r="X11" s="250">
        <f t="shared" si="14"/>
        <v>1.5931586687143672E-3</v>
      </c>
      <c r="Y11" s="251">
        <v>90472.092607378712</v>
      </c>
      <c r="Z11" s="249"/>
      <c r="AA11" s="250">
        <f t="shared" si="15"/>
        <v>0</v>
      </c>
      <c r="AB11" s="251">
        <v>0</v>
      </c>
      <c r="AC11" s="249"/>
      <c r="AD11" s="250">
        <f t="shared" si="16"/>
        <v>0</v>
      </c>
      <c r="AE11" s="251">
        <v>0</v>
      </c>
      <c r="AF11" s="249">
        <v>8.6400000000000005E-2</v>
      </c>
      <c r="AG11" s="250">
        <f t="shared" si="17"/>
        <v>6.1106910219281411E-5</v>
      </c>
      <c r="AH11" s="251">
        <v>84423.495370370365</v>
      </c>
      <c r="AI11" s="261">
        <v>-0.15911999999999998</v>
      </c>
      <c r="AJ11" s="250">
        <f t="shared" si="18"/>
        <v>-9.9720138219638196E-5</v>
      </c>
      <c r="AK11" s="261">
        <v>85404.537456008024</v>
      </c>
      <c r="AL11" s="249">
        <v>143.17320000000015</v>
      </c>
      <c r="AM11" s="250">
        <f t="shared" si="19"/>
        <v>8.5653058160153131E-3</v>
      </c>
      <c r="AN11" s="251">
        <v>92337.941588497546</v>
      </c>
      <c r="AO11" s="303"/>
      <c r="AP11" s="249"/>
      <c r="AQ11" s="250">
        <f t="shared" si="20"/>
        <v>0</v>
      </c>
      <c r="AR11" s="251"/>
      <c r="AS11" s="249"/>
      <c r="AT11" s="250">
        <f t="shared" si="21"/>
        <v>0</v>
      </c>
      <c r="AU11" s="251"/>
      <c r="AV11" s="249"/>
      <c r="AW11" s="250">
        <f t="shared" si="22"/>
        <v>0</v>
      </c>
      <c r="AX11" s="251"/>
      <c r="AY11" s="249"/>
      <c r="AZ11" s="250">
        <f t="shared" si="23"/>
        <v>0</v>
      </c>
      <c r="BA11" s="251"/>
      <c r="BB11" s="249">
        <v>-2.0160000000000001E-2</v>
      </c>
      <c r="BC11" s="250">
        <f t="shared" si="24"/>
        <v>-1.1797999898654284E-5</v>
      </c>
      <c r="BD11" s="251">
        <v>112564.48412698413</v>
      </c>
      <c r="BE11" s="249"/>
      <c r="BF11" s="250">
        <f t="shared" si="0"/>
        <v>0</v>
      </c>
      <c r="BG11" s="251"/>
      <c r="BH11" s="249">
        <v>-1.464E-2</v>
      </c>
      <c r="BI11" s="250">
        <f t="shared" si="1"/>
        <v>-1.4779251059403698E-5</v>
      </c>
      <c r="BJ11" s="251">
        <v>84423.497267759565</v>
      </c>
      <c r="BK11" s="249">
        <v>-2.6400000000000009E-3</v>
      </c>
      <c r="BL11" s="250">
        <f t="shared" si="2"/>
        <v>-2.4174877974642459E-6</v>
      </c>
      <c r="BM11" s="251">
        <v>82886.363636363589</v>
      </c>
      <c r="BN11" s="249">
        <v>0</v>
      </c>
      <c r="BO11" s="250">
        <f t="shared" si="3"/>
        <v>0</v>
      </c>
      <c r="BP11" s="251">
        <v>0</v>
      </c>
      <c r="BQ11" s="373">
        <v>0</v>
      </c>
      <c r="BR11" s="250">
        <f t="shared" si="4"/>
        <v>0</v>
      </c>
      <c r="BS11" s="251">
        <v>0</v>
      </c>
      <c r="BT11" s="373">
        <v>0</v>
      </c>
      <c r="BU11" s="250">
        <f t="shared" si="5"/>
        <v>0</v>
      </c>
      <c r="BV11" s="251">
        <v>0</v>
      </c>
      <c r="BW11" s="373"/>
      <c r="BX11" s="250">
        <f t="shared" si="6"/>
        <v>0</v>
      </c>
      <c r="BY11" s="251"/>
    </row>
    <row r="12" spans="1:77">
      <c r="A12" t="s">
        <v>128</v>
      </c>
      <c r="B12" s="249">
        <v>47.059199999999898</v>
      </c>
      <c r="C12" s="250">
        <f t="shared" si="7"/>
        <v>3.7631728382137665E-2</v>
      </c>
      <c r="D12" s="251">
        <v>92439.363559856793</v>
      </c>
      <c r="E12" s="249">
        <v>43.76159999999993</v>
      </c>
      <c r="F12" s="250">
        <f t="shared" si="8"/>
        <v>3.2380987206083151E-2</v>
      </c>
      <c r="G12" s="251">
        <v>92297.320760497649</v>
      </c>
      <c r="H12" s="249">
        <v>63.763199999999934</v>
      </c>
      <c r="I12" s="250">
        <f t="shared" si="9"/>
        <v>4.260313788915767E-2</v>
      </c>
      <c r="J12" s="251">
        <v>92275.135117111611</v>
      </c>
      <c r="K12" s="249">
        <v>60.134399999999964</v>
      </c>
      <c r="L12" s="250">
        <f t="shared" si="10"/>
        <v>4.2551065391037181E-2</v>
      </c>
      <c r="M12" s="251">
        <v>90338.522681191112</v>
      </c>
      <c r="N12" s="249">
        <v>54.777599999999943</v>
      </c>
      <c r="O12" s="250">
        <f t="shared" si="11"/>
        <v>3.7405053962544878E-2</v>
      </c>
      <c r="P12" s="251">
        <v>90374.197866135946</v>
      </c>
      <c r="Q12" s="249">
        <v>78.998399999999833</v>
      </c>
      <c r="R12" s="250">
        <f t="shared" si="12"/>
        <v>5.4498246152418613E-2</v>
      </c>
      <c r="S12" s="251">
        <v>90927.170588396097</v>
      </c>
      <c r="T12" s="249">
        <v>61.761599999999937</v>
      </c>
      <c r="U12" s="250">
        <f t="shared" si="13"/>
        <v>4.13474177181428E-2</v>
      </c>
      <c r="V12" s="251">
        <v>90479.777781373312</v>
      </c>
      <c r="W12" s="249">
        <v>39.369599999999977</v>
      </c>
      <c r="X12" s="250">
        <f t="shared" si="14"/>
        <v>2.9833532878527923E-2</v>
      </c>
      <c r="Y12" s="251">
        <v>90537.31496397662</v>
      </c>
      <c r="Z12" s="249">
        <v>41.630399999999895</v>
      </c>
      <c r="AA12" s="250">
        <f t="shared" si="15"/>
        <v>3.6781742630902559E-2</v>
      </c>
      <c r="AB12" s="251">
        <v>90131.018198240155</v>
      </c>
      <c r="AC12" s="249">
        <v>90.230399999999719</v>
      </c>
      <c r="AD12" s="250">
        <f t="shared" si="16"/>
        <v>6.759732175998602E-2</v>
      </c>
      <c r="AE12" s="251">
        <v>90404.629814342465</v>
      </c>
      <c r="AF12" s="249">
        <v>68.428799999999882</v>
      </c>
      <c r="AG12" s="250">
        <f t="shared" si="17"/>
        <v>4.8396672893670785E-2</v>
      </c>
      <c r="AH12" s="251">
        <v>90254.058963477713</v>
      </c>
      <c r="AI12" s="261">
        <v>78.304499999999777</v>
      </c>
      <c r="AJ12" s="250">
        <f t="shared" si="18"/>
        <v>4.9073250145925326E-2</v>
      </c>
      <c r="AK12" s="261">
        <v>90312.351652842786</v>
      </c>
      <c r="AL12" s="249">
        <v>728.21970000001625</v>
      </c>
      <c r="AM12" s="250">
        <f t="shared" si="19"/>
        <v>4.3565586518615626E-2</v>
      </c>
      <c r="AN12" s="251">
        <v>90836.412138144122</v>
      </c>
      <c r="AO12" s="303"/>
      <c r="AP12" s="249">
        <v>104.0255999999998</v>
      </c>
      <c r="AQ12" s="250">
        <f t="shared" si="20"/>
        <v>5.2582186643449033E-2</v>
      </c>
      <c r="AR12" s="251">
        <v>90402.436707887813</v>
      </c>
      <c r="AS12" s="249">
        <v>104.54399999999954</v>
      </c>
      <c r="AT12" s="250">
        <f t="shared" si="21"/>
        <v>5.0877620558805396E-2</v>
      </c>
      <c r="AU12" s="251">
        <v>90209.062500000771</v>
      </c>
      <c r="AV12" s="249">
        <v>114.76799999999953</v>
      </c>
      <c r="AW12" s="250">
        <f t="shared" si="22"/>
        <v>5.4316370590339454E-2</v>
      </c>
      <c r="AX12" s="251">
        <v>90211.346891120615</v>
      </c>
      <c r="AY12" s="249">
        <v>83.001599999999854</v>
      </c>
      <c r="AZ12" s="250">
        <f t="shared" si="23"/>
        <v>5.4315488971061018E-2</v>
      </c>
      <c r="BA12" s="251">
        <v>90186.284360783742</v>
      </c>
      <c r="BB12" s="249">
        <v>104.44379999999957</v>
      </c>
      <c r="BC12" s="250">
        <f t="shared" si="24"/>
        <v>6.1122417748763057E-2</v>
      </c>
      <c r="BD12" s="251">
        <v>90191.575277805634</v>
      </c>
      <c r="BE12" s="249">
        <v>91.209599999999526</v>
      </c>
      <c r="BF12" s="250">
        <f t="shared" si="0"/>
        <v>5.8217192942689296E-2</v>
      </c>
      <c r="BG12" s="251">
        <v>90330.944549697218</v>
      </c>
      <c r="BH12" s="249">
        <v>102.36960000000002</v>
      </c>
      <c r="BI12" s="250">
        <f t="shared" si="1"/>
        <v>0.10334330732586974</v>
      </c>
      <c r="BJ12" s="251">
        <v>90309.58927259699</v>
      </c>
      <c r="BK12" s="249">
        <v>54.18719999999999</v>
      </c>
      <c r="BL12" s="250">
        <f t="shared" si="2"/>
        <v>4.9620035901043379E-2</v>
      </c>
      <c r="BM12" s="251">
        <v>90204.726762039863</v>
      </c>
      <c r="BN12" s="249">
        <v>111.06719999999967</v>
      </c>
      <c r="BO12" s="250">
        <f t="shared" si="3"/>
        <v>8.0233505251936302E-2</v>
      </c>
      <c r="BP12" s="251">
        <v>90284.376485587782</v>
      </c>
      <c r="BQ12" s="373">
        <v>42.393599999999886</v>
      </c>
      <c r="BR12" s="250">
        <f t="shared" si="4"/>
        <v>3.429774776235716E-2</v>
      </c>
      <c r="BS12" s="251">
        <v>90117.194104771086</v>
      </c>
      <c r="BT12" s="373">
        <v>44.899199999999858</v>
      </c>
      <c r="BU12" s="250">
        <f t="shared" si="5"/>
        <v>3.2608227573519784E-2</v>
      </c>
      <c r="BV12" s="251">
        <v>90194.627075761164</v>
      </c>
      <c r="BW12" s="249">
        <v>51.695999999999927</v>
      </c>
      <c r="BX12" s="250">
        <f t="shared" si="6"/>
        <v>3.531346381835828E-2</v>
      </c>
      <c r="BY12" s="251">
        <v>90607.205586505937</v>
      </c>
    </row>
    <row r="13" spans="1:77">
      <c r="A13" t="s">
        <v>129</v>
      </c>
      <c r="B13" s="249">
        <v>35.404799999999938</v>
      </c>
      <c r="C13" s="250">
        <f t="shared" si="7"/>
        <v>2.8312079615121125E-2</v>
      </c>
      <c r="D13" s="251">
        <v>146666.13061541138</v>
      </c>
      <c r="E13" s="249">
        <v>16.439200000000007</v>
      </c>
      <c r="F13" s="250">
        <f t="shared" si="8"/>
        <v>1.2164032505169902E-2</v>
      </c>
      <c r="G13" s="251">
        <v>86510.355259164644</v>
      </c>
      <c r="H13" s="249">
        <v>9.5096000000000167</v>
      </c>
      <c r="I13" s="250">
        <f t="shared" si="9"/>
        <v>6.3538028215449488E-3</v>
      </c>
      <c r="J13" s="251">
        <v>119355.84275415825</v>
      </c>
      <c r="K13" s="249">
        <v>30.103999999999935</v>
      </c>
      <c r="L13" s="250">
        <f t="shared" si="10"/>
        <v>2.1301572353457945E-2</v>
      </c>
      <c r="M13" s="251">
        <v>115997.58975227571</v>
      </c>
      <c r="N13" s="249">
        <v>43.959791999999972</v>
      </c>
      <c r="O13" s="250">
        <f t="shared" si="11"/>
        <v>3.0018080236122964E-2</v>
      </c>
      <c r="P13" s="251">
        <v>116420.81884302576</v>
      </c>
      <c r="Q13" s="249">
        <v>12.604142400000015</v>
      </c>
      <c r="R13" s="250">
        <f t="shared" si="12"/>
        <v>8.6951590798717247E-3</v>
      </c>
      <c r="S13" s="251">
        <v>84561.643905021236</v>
      </c>
      <c r="T13" s="249">
        <v>19.635999999999989</v>
      </c>
      <c r="U13" s="250">
        <f t="shared" si="13"/>
        <v>1.3145674566615055E-2</v>
      </c>
      <c r="V13" s="251">
        <v>84349.481763233387</v>
      </c>
      <c r="W13" s="249">
        <v>12.438400000000021</v>
      </c>
      <c r="X13" s="250">
        <f t="shared" si="14"/>
        <v>9.4255825651335685E-3</v>
      </c>
      <c r="Y13" s="251">
        <v>84329.913366894529</v>
      </c>
      <c r="Z13" s="249">
        <v>20.998400000000043</v>
      </c>
      <c r="AA13" s="250">
        <f t="shared" si="15"/>
        <v>1.8552734166876798E-2</v>
      </c>
      <c r="AB13" s="251">
        <v>84549.700929594532</v>
      </c>
      <c r="AC13" s="249">
        <v>58.204799999999956</v>
      </c>
      <c r="AD13" s="250">
        <f t="shared" si="16"/>
        <v>4.3604911355548059E-2</v>
      </c>
      <c r="AE13" s="251">
        <v>84456.374560173994</v>
      </c>
      <c r="AF13" s="249">
        <v>6.2640000000000029</v>
      </c>
      <c r="AG13" s="250">
        <f t="shared" si="17"/>
        <v>4.4302509908979038E-3</v>
      </c>
      <c r="AH13" s="251">
        <v>84006.580459770077</v>
      </c>
      <c r="AI13" s="261">
        <v>8.0380000000000162</v>
      </c>
      <c r="AJ13" s="250">
        <f t="shared" si="18"/>
        <v>5.0373961224827396E-3</v>
      </c>
      <c r="AK13" s="261">
        <v>83958.457327693235</v>
      </c>
      <c r="AL13" s="249">
        <v>273.60113439999856</v>
      </c>
      <c r="AM13" s="250">
        <f t="shared" si="19"/>
        <v>1.6368128865909909E-2</v>
      </c>
      <c r="AN13" s="251">
        <v>102422.79005710997</v>
      </c>
      <c r="AO13" s="303"/>
      <c r="AP13" s="249">
        <v>17.18</v>
      </c>
      <c r="AQ13" s="250">
        <f t="shared" si="20"/>
        <v>8.6840351464875579E-3</v>
      </c>
      <c r="AR13" s="251">
        <v>84178.525029103417</v>
      </c>
      <c r="AS13" s="249">
        <v>7.5376000000000065</v>
      </c>
      <c r="AT13" s="250">
        <f t="shared" si="21"/>
        <v>3.6682655410549968E-3</v>
      </c>
      <c r="AU13" s="251">
        <v>84076.139620038142</v>
      </c>
      <c r="AV13" s="249">
        <v>15.76800000000001</v>
      </c>
      <c r="AW13" s="250">
        <f t="shared" si="22"/>
        <v>7.4625377410818044E-3</v>
      </c>
      <c r="AX13" s="251">
        <v>84115.592338914183</v>
      </c>
      <c r="AY13" s="249">
        <v>10.957600000000022</v>
      </c>
      <c r="AZ13" s="250">
        <f t="shared" si="23"/>
        <v>7.1705533622159149E-3</v>
      </c>
      <c r="BA13" s="251">
        <v>84286.089107103529</v>
      </c>
      <c r="BB13" s="249">
        <v>43.555200000000021</v>
      </c>
      <c r="BC13" s="250">
        <f t="shared" si="24"/>
        <v>2.5489297876283099E-2</v>
      </c>
      <c r="BD13" s="251">
        <v>84431.978500844925</v>
      </c>
      <c r="BE13" s="249">
        <v>16.193600000000004</v>
      </c>
      <c r="BF13" s="250">
        <f t="shared" si="0"/>
        <v>1.0336038483194077E-2</v>
      </c>
      <c r="BG13" s="251">
        <v>84029.335663471866</v>
      </c>
      <c r="BH13" s="249">
        <v>14.972800000000015</v>
      </c>
      <c r="BI13" s="250">
        <f t="shared" si="1"/>
        <v>1.5115216547967207E-2</v>
      </c>
      <c r="BJ13" s="251">
        <v>83802.111161572946</v>
      </c>
      <c r="BK13" s="249">
        <v>9.9176096000000218</v>
      </c>
      <c r="BL13" s="250">
        <f t="shared" si="2"/>
        <v>9.0817046166720861E-3</v>
      </c>
      <c r="BM13" s="251">
        <v>83688.37486807286</v>
      </c>
      <c r="BN13" s="249">
        <v>16.84800000000002</v>
      </c>
      <c r="BO13" s="250">
        <f t="shared" si="3"/>
        <v>1.2170776759336945E-2</v>
      </c>
      <c r="BP13" s="251">
        <v>83752.381885090144</v>
      </c>
      <c r="BQ13" s="373">
        <v>25.772863999999945</v>
      </c>
      <c r="BR13" s="250">
        <f t="shared" si="4"/>
        <v>2.0851052719880733E-2</v>
      </c>
      <c r="BS13" s="251">
        <v>84011.486267106608</v>
      </c>
      <c r="BT13" s="373">
        <v>21.304800000000011</v>
      </c>
      <c r="BU13" s="250">
        <f t="shared" si="5"/>
        <v>1.5472698106165072E-2</v>
      </c>
      <c r="BV13" s="251">
        <v>84119.520953024592</v>
      </c>
      <c r="BW13" s="373">
        <v>17.297587200000006</v>
      </c>
      <c r="BX13" s="250">
        <f t="shared" si="6"/>
        <v>1.1815957128831987E-2</v>
      </c>
      <c r="BY13" s="251">
        <v>84594.201669930029</v>
      </c>
    </row>
    <row r="14" spans="1:77">
      <c r="A14" t="s">
        <v>130</v>
      </c>
      <c r="B14" s="249">
        <v>40.059629999999956</v>
      </c>
      <c r="C14" s="250">
        <f t="shared" si="7"/>
        <v>3.2034397423860481E-2</v>
      </c>
      <c r="D14" s="251">
        <v>106018.28566692308</v>
      </c>
      <c r="E14" s="249">
        <v>35.461334999999977</v>
      </c>
      <c r="F14" s="250">
        <f t="shared" si="8"/>
        <v>2.6239283640123529E-2</v>
      </c>
      <c r="G14" s="251">
        <v>105937.19956270485</v>
      </c>
      <c r="H14" s="249">
        <v>35.489999999999952</v>
      </c>
      <c r="I14" s="250">
        <f t="shared" si="9"/>
        <v>2.3712507585663914E-2</v>
      </c>
      <c r="J14" s="251">
        <v>105952.3312838852</v>
      </c>
      <c r="K14" s="249">
        <v>26.970839999999992</v>
      </c>
      <c r="L14" s="250">
        <f t="shared" si="10"/>
        <v>1.908455021570352E-2</v>
      </c>
      <c r="M14" s="251">
        <v>103763.9849072067</v>
      </c>
      <c r="N14" s="249">
        <v>30.003479999999989</v>
      </c>
      <c r="O14" s="250">
        <f t="shared" si="11"/>
        <v>2.0487969324397868E-2</v>
      </c>
      <c r="P14" s="251">
        <v>103709.42795012238</v>
      </c>
      <c r="Q14" s="249">
        <v>32.069700000000005</v>
      </c>
      <c r="R14" s="250">
        <f t="shared" si="12"/>
        <v>2.2123769653995814E-2</v>
      </c>
      <c r="S14" s="251">
        <v>103745.1031489592</v>
      </c>
      <c r="T14" s="249">
        <v>37.248119999999993</v>
      </c>
      <c r="U14" s="250">
        <f t="shared" si="13"/>
        <v>2.4936426142708586E-2</v>
      </c>
      <c r="V14" s="251">
        <v>103683.00035570936</v>
      </c>
      <c r="W14" s="249">
        <v>27.194829999999985</v>
      </c>
      <c r="X14" s="250">
        <f t="shared" si="14"/>
        <v>2.0607724105171948E-2</v>
      </c>
      <c r="Y14" s="251">
        <v>103795.84103113295</v>
      </c>
      <c r="Z14" s="249">
        <v>33.99083999999997</v>
      </c>
      <c r="AA14" s="250">
        <f t="shared" si="15"/>
        <v>3.0031955702760245E-2</v>
      </c>
      <c r="AB14" s="251">
        <v>103740.58893513668</v>
      </c>
      <c r="AC14" s="249">
        <v>27.743039999999972</v>
      </c>
      <c r="AD14" s="250">
        <f t="shared" si="16"/>
        <v>2.0784072790103629E-2</v>
      </c>
      <c r="AE14" s="251">
        <v>103816.525514147</v>
      </c>
      <c r="AF14" s="249">
        <v>32.993869999999966</v>
      </c>
      <c r="AG14" s="250">
        <f t="shared" si="17"/>
        <v>2.3335109396720368E-2</v>
      </c>
      <c r="AH14" s="251">
        <v>103763.02961731987</v>
      </c>
      <c r="AI14" s="261">
        <v>22.871809999999993</v>
      </c>
      <c r="AJ14" s="250">
        <f t="shared" si="18"/>
        <v>1.433371074995791E-2</v>
      </c>
      <c r="AK14" s="261">
        <v>103881.19130055736</v>
      </c>
      <c r="AL14" s="249">
        <v>382.09749500000015</v>
      </c>
      <c r="AM14" s="250">
        <f t="shared" si="19"/>
        <v>2.2858900242562014E-2</v>
      </c>
      <c r="AN14" s="251">
        <v>104402.4474020523</v>
      </c>
      <c r="AO14" s="303"/>
      <c r="AP14" s="249">
        <v>46.556639999999987</v>
      </c>
      <c r="AQ14" s="250">
        <f t="shared" si="20"/>
        <v>2.3533148897693153E-2</v>
      </c>
      <c r="AR14" s="251">
        <v>103780.5039195267</v>
      </c>
      <c r="AS14" s="249">
        <v>42.846569999999964</v>
      </c>
      <c r="AT14" s="250">
        <f t="shared" si="21"/>
        <v>2.0851809101491259E-2</v>
      </c>
      <c r="AU14" s="251">
        <v>103735.9391895314</v>
      </c>
      <c r="AV14" s="249">
        <v>37.599119999999957</v>
      </c>
      <c r="AW14" s="250">
        <f t="shared" si="22"/>
        <v>1.7794574583426131E-2</v>
      </c>
      <c r="AX14" s="251">
        <v>103730.66577090106</v>
      </c>
      <c r="AY14" s="249">
        <v>20.367684999999991</v>
      </c>
      <c r="AZ14" s="250">
        <f t="shared" si="23"/>
        <v>1.3328427042172035E-2</v>
      </c>
      <c r="BA14" s="251">
        <v>103702.49932675219</v>
      </c>
      <c r="BB14" s="249">
        <v>41.909399999999991</v>
      </c>
      <c r="BC14" s="250">
        <f t="shared" si="24"/>
        <v>2.452614568217568E-2</v>
      </c>
      <c r="BD14" s="251">
        <v>103755.42193398131</v>
      </c>
      <c r="BE14" s="249">
        <v>44.675279999999972</v>
      </c>
      <c r="BF14" s="250">
        <f t="shared" si="0"/>
        <v>2.8515303164674332E-2</v>
      </c>
      <c r="BG14" s="251">
        <v>103679.66781629571</v>
      </c>
      <c r="BH14" s="249">
        <v>20.105279999999979</v>
      </c>
      <c r="BI14" s="250">
        <f t="shared" si="1"/>
        <v>2.0296515077842053E-2</v>
      </c>
      <c r="BJ14" s="251">
        <v>103793.44928297443</v>
      </c>
      <c r="BK14" s="249">
        <v>16.061755319999985</v>
      </c>
      <c r="BL14" s="250">
        <f t="shared" si="2"/>
        <v>1.4707991474225903E-2</v>
      </c>
      <c r="BM14" s="251">
        <v>103884.65935116733</v>
      </c>
      <c r="BN14" s="249">
        <v>55.989959999999989</v>
      </c>
      <c r="BO14" s="250">
        <f t="shared" si="3"/>
        <v>4.0446421173089046E-2</v>
      </c>
      <c r="BP14" s="251">
        <v>103586.3097598212</v>
      </c>
      <c r="BQ14" s="373">
        <v>14.292719999999992</v>
      </c>
      <c r="BR14" s="250">
        <f t="shared" si="4"/>
        <v>1.1563257317094996E-2</v>
      </c>
      <c r="BS14" s="251">
        <v>103858.68260205198</v>
      </c>
      <c r="BT14" s="373">
        <v>14.138279999999996</v>
      </c>
      <c r="BU14" s="250">
        <f t="shared" si="5"/>
        <v>1.0267983655346745E-2</v>
      </c>
      <c r="BV14" s="251">
        <v>103905.84286065918</v>
      </c>
      <c r="BW14" s="249">
        <v>2.14812</v>
      </c>
      <c r="BX14" s="250">
        <f t="shared" si="6"/>
        <v>1.4673777061569927E-3</v>
      </c>
      <c r="BY14" s="251">
        <v>103905.83859374709</v>
      </c>
    </row>
    <row r="15" spans="1:77">
      <c r="A15" t="s">
        <v>260</v>
      </c>
      <c r="B15" s="249"/>
      <c r="C15" s="250"/>
      <c r="D15" s="251"/>
      <c r="E15" s="249"/>
      <c r="F15" s="250"/>
      <c r="G15" s="251"/>
      <c r="H15" s="249"/>
      <c r="I15" s="250"/>
      <c r="J15" s="251"/>
      <c r="K15" s="249"/>
      <c r="L15" s="250"/>
      <c r="M15" s="251"/>
      <c r="N15" s="249"/>
      <c r="O15" s="250"/>
      <c r="P15" s="251"/>
      <c r="Q15" s="249"/>
      <c r="R15" s="250"/>
      <c r="S15" s="251"/>
      <c r="T15" s="249"/>
      <c r="U15" s="250"/>
      <c r="V15" s="251"/>
      <c r="W15" s="249"/>
      <c r="X15" s="250"/>
      <c r="Y15" s="251"/>
      <c r="Z15" s="249"/>
      <c r="AA15" s="250"/>
      <c r="AB15" s="251"/>
      <c r="AC15" s="249"/>
      <c r="AD15" s="250"/>
      <c r="AE15" s="251"/>
      <c r="AF15" s="249"/>
      <c r="AG15" s="250"/>
      <c r="AH15" s="251"/>
      <c r="AI15" s="261"/>
      <c r="AJ15" s="250"/>
      <c r="AK15" s="261"/>
      <c r="AL15" s="249"/>
      <c r="AM15" s="250"/>
      <c r="AN15" s="251"/>
      <c r="AO15" s="303"/>
      <c r="AP15" s="249"/>
      <c r="AQ15" s="250"/>
      <c r="AR15" s="251"/>
      <c r="AS15" s="249"/>
      <c r="AT15" s="250"/>
      <c r="AU15" s="251"/>
      <c r="AV15" s="249"/>
      <c r="AW15" s="250"/>
      <c r="AX15" s="251"/>
      <c r="AY15" s="249"/>
      <c r="AZ15" s="250"/>
      <c r="BA15" s="251"/>
      <c r="BB15" s="249"/>
      <c r="BC15" s="250"/>
      <c r="BD15" s="251"/>
      <c r="BE15" s="249"/>
      <c r="BF15" s="250"/>
      <c r="BG15" s="251"/>
      <c r="BH15" s="249"/>
      <c r="BI15" s="250"/>
      <c r="BJ15" s="251"/>
      <c r="BK15" s="249"/>
      <c r="BL15" s="250"/>
      <c r="BM15" s="251"/>
      <c r="BN15" s="249"/>
      <c r="BO15" s="250"/>
      <c r="BP15" s="251"/>
      <c r="BQ15" s="373">
        <v>8.6399999999999988</v>
      </c>
      <c r="BR15" s="250">
        <f t="shared" si="4"/>
        <v>6.9900301146108516E-3</v>
      </c>
      <c r="BS15" s="251">
        <v>112564.66435185187</v>
      </c>
      <c r="BT15" s="373">
        <v>17.092799999999997</v>
      </c>
      <c r="BU15" s="250">
        <f t="shared" si="5"/>
        <v>1.2413715885108433E-2</v>
      </c>
      <c r="BV15" s="251">
        <v>112340.15491903025</v>
      </c>
      <c r="BW15" s="249">
        <v>36.158399999999993</v>
      </c>
      <c r="BX15" s="250">
        <f t="shared" si="6"/>
        <v>2.4699751433954805E-2</v>
      </c>
      <c r="BY15" s="251">
        <v>112395.80346475515</v>
      </c>
    </row>
    <row r="16" spans="1:77">
      <c r="A16" t="s">
        <v>131</v>
      </c>
      <c r="B16" s="249">
        <v>51.285000000000053</v>
      </c>
      <c r="C16" s="250">
        <f t="shared" ref="C16:C25" si="25">B16/B$27</f>
        <v>4.1010964701438536E-2</v>
      </c>
      <c r="D16" s="251">
        <v>103743.77075910596</v>
      </c>
      <c r="E16" s="249">
        <v>102.63000000000025</v>
      </c>
      <c r="F16" s="250">
        <f t="shared" ref="F16:F25" si="26">E16/E$27</f>
        <v>7.5940109981360998E-2</v>
      </c>
      <c r="G16" s="251">
        <v>103960.06574178774</v>
      </c>
      <c r="H16" s="249">
        <v>150.13500000000022</v>
      </c>
      <c r="I16" s="250">
        <f t="shared" ref="I16:I25" si="27">H16/H$27</f>
        <v>0.10031212528525392</v>
      </c>
      <c r="J16" s="251">
        <v>104045.98356304754</v>
      </c>
      <c r="K16" s="249">
        <v>272.20499999999623</v>
      </c>
      <c r="L16" s="250">
        <f t="shared" ref="L16:L25" si="28">K16/K$27</f>
        <v>0.19261209482038771</v>
      </c>
      <c r="M16" s="251">
        <v>101529.78574707059</v>
      </c>
      <c r="N16" s="249">
        <v>212.24999999999966</v>
      </c>
      <c r="O16" s="250">
        <f t="shared" ref="O16:O25" si="29">N16/N$27</f>
        <v>0.14493557044394326</v>
      </c>
      <c r="P16" s="251">
        <v>101493.42520933926</v>
      </c>
      <c r="Q16" s="249">
        <v>241.10999999999925</v>
      </c>
      <c r="R16" s="250">
        <f t="shared" ref="R16:R25" si="30">Q16/Q$27</f>
        <v>0.16633339573725084</v>
      </c>
      <c r="S16" s="251">
        <v>101448.97941758393</v>
      </c>
      <c r="T16" s="249">
        <v>281.29499999999933</v>
      </c>
      <c r="U16" s="250">
        <f t="shared" ref="U16:U25" si="31">T16/T$27</f>
        <v>0.1883180142195954</v>
      </c>
      <c r="V16" s="251">
        <v>101348.38841160903</v>
      </c>
      <c r="W16" s="249">
        <v>214.43999999999951</v>
      </c>
      <c r="X16" s="250">
        <f t="shared" ref="X16:X25" si="32">W16/W$27</f>
        <v>0.16249854686030635</v>
      </c>
      <c r="Y16" s="251">
        <v>101471.91203268946</v>
      </c>
      <c r="Z16" s="249">
        <v>154.06500000000051</v>
      </c>
      <c r="AA16" s="250">
        <f t="shared" ref="AA16:AA25" si="33">Z16/Z$27</f>
        <v>0.13612118015752997</v>
      </c>
      <c r="AB16" s="251">
        <v>101497.08960503688</v>
      </c>
      <c r="AC16" s="249">
        <v>215.15999999999937</v>
      </c>
      <c r="AD16" s="250">
        <f t="shared" ref="AD16:AD25" si="34">AC16/AC$27</f>
        <v>0.16119001744288616</v>
      </c>
      <c r="AE16" s="251">
        <v>101325.28560141267</v>
      </c>
      <c r="AF16" s="249">
        <v>228.92999999999884</v>
      </c>
      <c r="AG16" s="250">
        <f t="shared" ref="AG16:AG25" si="35">AF16/AF$27</f>
        <v>0.16191209440393542</v>
      </c>
      <c r="AH16" s="251">
        <v>101382.61036124588</v>
      </c>
      <c r="AI16" s="261">
        <v>267.73949999999763</v>
      </c>
      <c r="AJ16" s="250">
        <f t="shared" ref="AJ16:AJ25" si="36">AI16/AI$27</f>
        <v>0.16779172917833451</v>
      </c>
      <c r="AK16" s="261">
        <v>101389.89062129469</v>
      </c>
      <c r="AL16" s="249">
        <v>2391.2445000000844</v>
      </c>
      <c r="AM16" s="250">
        <f t="shared" ref="AM16:AM25" si="37">AL16/AL$27</f>
        <v>0.1430556865626062</v>
      </c>
      <c r="AN16" s="251">
        <v>101751.39001243262</v>
      </c>
      <c r="AO16" s="303"/>
      <c r="AP16" s="249">
        <v>276.56999999999499</v>
      </c>
      <c r="AQ16" s="250">
        <f t="shared" ref="AQ16:AQ25" si="38">AP16/AP$27</f>
        <v>0.13979881259976837</v>
      </c>
      <c r="AR16" s="251">
        <v>101427.90501500688</v>
      </c>
      <c r="AS16" s="249">
        <v>294.53999999999695</v>
      </c>
      <c r="AT16" s="250">
        <f t="shared" ref="AT16:AT25" si="39">AS16/AS$27</f>
        <v>0.14334150558033412</v>
      </c>
      <c r="AU16" s="251">
        <v>101379.12015346043</v>
      </c>
      <c r="AV16" s="249">
        <v>304.70999999999447</v>
      </c>
      <c r="AW16" s="250">
        <f t="shared" ref="AW16:AW27" si="40">AV16/AV$27</f>
        <v>0.14421041825754655</v>
      </c>
      <c r="AX16" s="251">
        <v>101429.71300581085</v>
      </c>
      <c r="AY16" s="249">
        <v>248.26499999999825</v>
      </c>
      <c r="AZ16" s="250">
        <f t="shared" ref="AZ16:AZ27" si="41">AY16/AY$27</f>
        <v>0.16246234854991221</v>
      </c>
      <c r="BA16" s="251">
        <v>101325.84528628699</v>
      </c>
      <c r="BB16" s="249">
        <v>258.64049999999776</v>
      </c>
      <c r="BC16" s="250">
        <f t="shared" ref="BC16:BC27" si="42">BB16/BB$27</f>
        <v>0.15136114051527116</v>
      </c>
      <c r="BD16" s="251">
        <v>89261.141352572915</v>
      </c>
      <c r="BE16" s="249">
        <v>244.42149499999837</v>
      </c>
      <c r="BF16" s="250">
        <f t="shared" ref="BF16:BF27" si="43">BE16/BE$27</f>
        <v>0.15600916278281612</v>
      </c>
      <c r="BG16" s="251">
        <v>90143.761087788516</v>
      </c>
      <c r="BH16" s="249">
        <v>67.42500000000048</v>
      </c>
      <c r="BI16" s="250">
        <f>BH16/BH$27</f>
        <v>6.8066325319692728E-2</v>
      </c>
      <c r="BJ16" s="251">
        <v>93710.415572857761</v>
      </c>
      <c r="BK16" s="249">
        <v>171.67500000000015</v>
      </c>
      <c r="BL16" s="250">
        <f>BK16/BK$27</f>
        <v>0.15720538546578586</v>
      </c>
      <c r="BM16" s="251">
        <v>95152.063026066069</v>
      </c>
      <c r="BN16" s="249">
        <v>269.66999999999643</v>
      </c>
      <c r="BO16" s="250">
        <f>BN16/BN$27</f>
        <v>0.19480611162691994</v>
      </c>
      <c r="BP16" s="251">
        <v>95129.805985093815</v>
      </c>
      <c r="BQ16" s="373">
        <v>246.83999999999824</v>
      </c>
      <c r="BR16" s="250">
        <f t="shared" si="4"/>
        <v>0.19970127702436696</v>
      </c>
      <c r="BS16" s="251">
        <v>108063.23630692009</v>
      </c>
      <c r="BT16" s="373">
        <v>290.09099999999688</v>
      </c>
      <c r="BU16" s="250">
        <f t="shared" si="5"/>
        <v>0.21067977480734301</v>
      </c>
      <c r="BV16" s="251">
        <v>108064.09009586704</v>
      </c>
      <c r="BW16" s="249">
        <v>220.22249999999923</v>
      </c>
      <c r="BX16" s="250">
        <f t="shared" si="6"/>
        <v>0.15043367544371691</v>
      </c>
      <c r="BY16" s="251">
        <v>98734.694229699831</v>
      </c>
    </row>
    <row r="17" spans="1:77">
      <c r="A17" t="s">
        <v>132</v>
      </c>
      <c r="B17" s="249">
        <v>16.777799999999964</v>
      </c>
      <c r="C17" s="250">
        <f t="shared" si="25"/>
        <v>1.3416666931223422E-2</v>
      </c>
      <c r="D17" s="251">
        <v>106148.01038007515</v>
      </c>
      <c r="E17" s="249">
        <v>7.7650949999999961</v>
      </c>
      <c r="F17" s="250">
        <f t="shared" si="26"/>
        <v>5.745709522709877E-3</v>
      </c>
      <c r="G17" s="251">
        <v>106262.40492214652</v>
      </c>
      <c r="H17" s="249">
        <v>1.0615800000000004</v>
      </c>
      <c r="I17" s="250">
        <f t="shared" si="27"/>
        <v>7.0929061151843171E-4</v>
      </c>
      <c r="J17" s="251">
        <v>106372.64572040706</v>
      </c>
      <c r="K17" s="249">
        <v>0.96876000000000007</v>
      </c>
      <c r="L17" s="250">
        <f t="shared" si="28"/>
        <v>6.8549399525431713E-4</v>
      </c>
      <c r="M17" s="251">
        <v>104067.52177763004</v>
      </c>
      <c r="N17" s="249">
        <v>0.23868</v>
      </c>
      <c r="O17" s="250">
        <f t="shared" si="29"/>
        <v>1.6298337787307623E-4</v>
      </c>
      <c r="P17" s="251">
        <v>103905.8446237266</v>
      </c>
      <c r="Q17" s="249">
        <v>0.51948000000000005</v>
      </c>
      <c r="R17" s="250">
        <f t="shared" si="30"/>
        <v>3.5837116841934115E-4</v>
      </c>
      <c r="S17" s="251">
        <v>103905.84462372659</v>
      </c>
      <c r="T17" s="249"/>
      <c r="U17" s="250">
        <f t="shared" si="31"/>
        <v>0</v>
      </c>
      <c r="V17" s="251">
        <v>0</v>
      </c>
      <c r="W17" s="249">
        <v>2.8080000000000001E-2</v>
      </c>
      <c r="X17" s="250">
        <f t="shared" si="32"/>
        <v>2.1278489068445313E-5</v>
      </c>
      <c r="Y17" s="251">
        <v>105871.93895688678</v>
      </c>
      <c r="Z17" s="249"/>
      <c r="AA17" s="250">
        <f t="shared" si="33"/>
        <v>0</v>
      </c>
      <c r="AB17" s="251">
        <v>0</v>
      </c>
      <c r="AC17" s="249">
        <v>0.25272</v>
      </c>
      <c r="AD17" s="250">
        <f t="shared" si="34"/>
        <v>1.8932859829041786E-4</v>
      </c>
      <c r="AE17" s="251">
        <v>103905.86419753087</v>
      </c>
      <c r="AF17" s="249">
        <v>0.46332000000000001</v>
      </c>
      <c r="AG17" s="250">
        <f t="shared" si="35"/>
        <v>3.2768580605089652E-4</v>
      </c>
      <c r="AH17" s="251">
        <v>103905.85340585341</v>
      </c>
      <c r="AI17" s="261">
        <v>0.15365999999999999</v>
      </c>
      <c r="AJ17" s="250">
        <f t="shared" si="36"/>
        <v>9.6298368770925125E-5</v>
      </c>
      <c r="AK17" s="261">
        <v>104399.5834960302</v>
      </c>
      <c r="AL17" s="249">
        <v>28.229174999999962</v>
      </c>
      <c r="AM17" s="250">
        <f t="shared" si="37"/>
        <v>1.6888043070128593E-3</v>
      </c>
      <c r="AN17" s="251">
        <v>105989.64413769658</v>
      </c>
      <c r="AO17" s="303"/>
      <c r="AP17" s="249"/>
      <c r="AQ17" s="250">
        <f t="shared" si="38"/>
        <v>0</v>
      </c>
      <c r="AR17" s="251"/>
      <c r="AS17" s="249"/>
      <c r="AT17" s="250">
        <f t="shared" si="39"/>
        <v>0</v>
      </c>
      <c r="AU17" s="251"/>
      <c r="AV17" s="249"/>
      <c r="AW17" s="250">
        <f t="shared" si="40"/>
        <v>0</v>
      </c>
      <c r="AX17" s="251"/>
      <c r="AY17" s="249"/>
      <c r="AZ17" s="250">
        <f t="shared" si="41"/>
        <v>0</v>
      </c>
      <c r="BA17" s="251"/>
      <c r="BB17" s="249"/>
      <c r="BC17" s="250">
        <f t="shared" si="42"/>
        <v>0</v>
      </c>
      <c r="BD17" s="251"/>
      <c r="BE17" s="249"/>
      <c r="BF17" s="250">
        <f t="shared" si="43"/>
        <v>0</v>
      </c>
      <c r="BG17" s="251"/>
      <c r="BH17" s="249"/>
      <c r="BI17" s="250"/>
      <c r="BJ17" s="251"/>
      <c r="BK17" s="249"/>
      <c r="BL17" s="250"/>
      <c r="BM17" s="251"/>
      <c r="BN17" s="249"/>
      <c r="BO17" s="250"/>
      <c r="BP17" s="251"/>
      <c r="BQ17" s="249"/>
      <c r="BR17" s="250"/>
      <c r="BS17" s="251"/>
      <c r="BT17" s="249">
        <v>2.8080000000000001E-2</v>
      </c>
      <c r="BU17" s="250">
        <f t="shared" si="5"/>
        <v>2.0393214807044188E-5</v>
      </c>
      <c r="BV17" s="251">
        <v>103425.21367521367</v>
      </c>
      <c r="BW17" s="249"/>
      <c r="BX17" s="250">
        <f t="shared" si="6"/>
        <v>0</v>
      </c>
      <c r="BY17" s="251"/>
    </row>
    <row r="18" spans="1:77">
      <c r="A18" t="s">
        <v>133</v>
      </c>
      <c r="B18" s="249">
        <v>5.1386399999999988</v>
      </c>
      <c r="C18" s="250">
        <f t="shared" si="25"/>
        <v>4.1092051019479348E-3</v>
      </c>
      <c r="D18" s="251">
        <v>85302.502465535625</v>
      </c>
      <c r="E18" s="249">
        <v>4.7853000000000012</v>
      </c>
      <c r="F18" s="250">
        <f t="shared" si="26"/>
        <v>3.5408380424223518E-3</v>
      </c>
      <c r="G18" s="251">
        <v>85305.109510231909</v>
      </c>
      <c r="H18" s="249">
        <v>0.58733999999999997</v>
      </c>
      <c r="I18" s="250">
        <f t="shared" si="27"/>
        <v>3.9242897169241647E-4</v>
      </c>
      <c r="J18" s="251">
        <v>85386.353565350742</v>
      </c>
      <c r="K18" s="249">
        <v>5.6160000000000002E-2</v>
      </c>
      <c r="L18" s="250">
        <f t="shared" si="28"/>
        <v>3.9738782333583601E-5</v>
      </c>
      <c r="M18" s="251">
        <v>83512.700868349595</v>
      </c>
      <c r="N18" s="249">
        <v>1.3780000000000001E-2</v>
      </c>
      <c r="O18" s="250">
        <f t="shared" si="29"/>
        <v>9.4097157159837045E-6</v>
      </c>
      <c r="P18" s="251">
        <v>82147.68075387337</v>
      </c>
      <c r="Q18" s="249"/>
      <c r="R18" s="250">
        <f t="shared" si="30"/>
        <v>0</v>
      </c>
      <c r="S18" s="251">
        <v>0</v>
      </c>
      <c r="T18" s="249"/>
      <c r="U18" s="250">
        <f t="shared" si="31"/>
        <v>0</v>
      </c>
      <c r="V18" s="251">
        <v>0</v>
      </c>
      <c r="W18" s="249"/>
      <c r="X18" s="250">
        <f t="shared" si="32"/>
        <v>0</v>
      </c>
      <c r="Y18" s="251"/>
      <c r="Z18" s="249">
        <v>1.2740000000000001E-2</v>
      </c>
      <c r="AA18" s="250">
        <f t="shared" si="33"/>
        <v>1.1256183008515408E-5</v>
      </c>
      <c r="AB18" s="251">
        <v>84877.551020408151</v>
      </c>
      <c r="AC18" s="249">
        <v>7.0199999999999999E-2</v>
      </c>
      <c r="AD18" s="250">
        <f t="shared" si="34"/>
        <v>5.2591277302893848E-5</v>
      </c>
      <c r="AE18" s="251">
        <v>83512.820512820515</v>
      </c>
      <c r="AF18" s="249"/>
      <c r="AG18" s="250">
        <f t="shared" si="35"/>
        <v>0</v>
      </c>
      <c r="AH18" s="251">
        <v>0</v>
      </c>
      <c r="AI18" s="261">
        <v>0.29302</v>
      </c>
      <c r="AJ18" s="250">
        <f t="shared" si="36"/>
        <v>1.8363496041426839E-4</v>
      </c>
      <c r="AK18" s="261">
        <v>84387.482083134251</v>
      </c>
      <c r="AL18" s="249">
        <v>10.957179999999974</v>
      </c>
      <c r="AM18" s="250">
        <f t="shared" si="37"/>
        <v>6.5551093068483735E-4</v>
      </c>
      <c r="AN18" s="251">
        <v>85258.56479800849</v>
      </c>
      <c r="AO18" s="303"/>
      <c r="AP18" s="249"/>
      <c r="AQ18" s="250">
        <f t="shared" si="38"/>
        <v>0</v>
      </c>
      <c r="AR18" s="251"/>
      <c r="AS18" s="249"/>
      <c r="AT18" s="250">
        <f t="shared" si="39"/>
        <v>0</v>
      </c>
      <c r="AU18" s="251"/>
      <c r="AV18" s="249"/>
      <c r="AW18" s="250">
        <f t="shared" si="40"/>
        <v>0</v>
      </c>
      <c r="AX18" s="251"/>
      <c r="AY18" s="249"/>
      <c r="AZ18" s="250">
        <f t="shared" si="41"/>
        <v>0</v>
      </c>
      <c r="BA18" s="251"/>
      <c r="BB18" s="249">
        <v>-3.6659999999999998E-2</v>
      </c>
      <c r="BC18" s="250">
        <f t="shared" si="42"/>
        <v>-2.145410100618383E-5</v>
      </c>
      <c r="BD18" s="251">
        <v>77929.350791052915</v>
      </c>
      <c r="BE18" s="249"/>
      <c r="BF18" s="250">
        <f t="shared" si="43"/>
        <v>0</v>
      </c>
      <c r="BG18" s="251"/>
      <c r="BH18" s="249"/>
      <c r="BI18" s="250"/>
      <c r="BJ18" s="251"/>
      <c r="BK18" s="249"/>
      <c r="BL18" s="250"/>
      <c r="BM18" s="251"/>
      <c r="BN18" s="249"/>
      <c r="BO18" s="250"/>
      <c r="BP18" s="251"/>
      <c r="BQ18" s="249"/>
      <c r="BR18" s="250"/>
      <c r="BS18" s="251"/>
      <c r="BT18" s="249">
        <v>11.653200000000005</v>
      </c>
      <c r="BU18" s="250">
        <f t="shared" si="5"/>
        <v>8.463184144923341E-3</v>
      </c>
      <c r="BV18" s="251">
        <v>91416.050526893814</v>
      </c>
      <c r="BW18" s="249">
        <v>21.504599999999986</v>
      </c>
      <c r="BX18" s="250">
        <f t="shared" si="6"/>
        <v>1.4689761568172935E-2</v>
      </c>
      <c r="BY18" s="251">
        <v>91653.454609711407</v>
      </c>
    </row>
    <row r="19" spans="1:77">
      <c r="A19" t="s">
        <v>134</v>
      </c>
      <c r="B19" s="249">
        <v>0.82691000000000014</v>
      </c>
      <c r="C19" s="250">
        <f t="shared" si="25"/>
        <v>6.6125332594845485E-4</v>
      </c>
      <c r="D19" s="251">
        <v>108585.44572992179</v>
      </c>
      <c r="E19" s="249">
        <v>3.0080000000000107E-3</v>
      </c>
      <c r="F19" s="250">
        <f t="shared" si="26"/>
        <v>2.2257415066153573E-6</v>
      </c>
      <c r="G19" s="251">
        <v>97502.856716400056</v>
      </c>
      <c r="H19" s="249">
        <v>0.22060800000000003</v>
      </c>
      <c r="I19" s="250">
        <f t="shared" si="27"/>
        <v>1.4739839034821504E-4</v>
      </c>
      <c r="J19" s="251">
        <v>107960.12260211496</v>
      </c>
      <c r="K19" s="249">
        <v>9.216000000000002E-3</v>
      </c>
      <c r="L19" s="250">
        <f t="shared" si="28"/>
        <v>6.521236075254746E-6</v>
      </c>
      <c r="M19" s="251">
        <v>105529.37344597284</v>
      </c>
      <c r="N19" s="249"/>
      <c r="O19" s="250">
        <f t="shared" si="29"/>
        <v>0</v>
      </c>
      <c r="P19" s="251">
        <v>0</v>
      </c>
      <c r="Q19" s="249"/>
      <c r="R19" s="250">
        <f t="shared" si="30"/>
        <v>0</v>
      </c>
      <c r="S19" s="251">
        <v>0</v>
      </c>
      <c r="T19" s="249"/>
      <c r="U19" s="250">
        <f t="shared" si="31"/>
        <v>0</v>
      </c>
      <c r="V19" s="251">
        <v>0</v>
      </c>
      <c r="W19" s="249"/>
      <c r="X19" s="250">
        <f t="shared" si="32"/>
        <v>0</v>
      </c>
      <c r="Y19" s="251"/>
      <c r="Z19" s="249">
        <v>-1.5300000000000001E-2</v>
      </c>
      <c r="AA19" s="250">
        <f t="shared" si="33"/>
        <v>-1.3518021980399195E-5</v>
      </c>
      <c r="AB19" s="251">
        <v>92920.915032679739</v>
      </c>
      <c r="AC19" s="249"/>
      <c r="AD19" s="250">
        <f t="shared" si="34"/>
        <v>0</v>
      </c>
      <c r="AE19" s="251">
        <v>0</v>
      </c>
      <c r="AF19" s="249">
        <v>6.9119999999999997E-3</v>
      </c>
      <c r="AG19" s="250">
        <f t="shared" si="35"/>
        <v>4.8885528175425122E-6</v>
      </c>
      <c r="AH19" s="251">
        <v>105529.51388888889</v>
      </c>
      <c r="AI19" s="261">
        <v>-2.1068000000000003E-2</v>
      </c>
      <c r="AJ19" s="250">
        <f t="shared" si="36"/>
        <v>-1.320326716950313E-5</v>
      </c>
      <c r="AK19" s="261">
        <v>104312.22707423578</v>
      </c>
      <c r="AL19" s="249">
        <v>1.0302859999999998</v>
      </c>
      <c r="AM19" s="250">
        <f t="shared" si="37"/>
        <v>6.1636637778293303E-5</v>
      </c>
      <c r="AN19" s="251">
        <v>108691.35847154878</v>
      </c>
      <c r="AO19" s="303"/>
      <c r="AP19" s="249"/>
      <c r="AQ19" s="250">
        <f t="shared" si="38"/>
        <v>0</v>
      </c>
      <c r="AR19" s="251"/>
      <c r="AS19" s="249"/>
      <c r="AT19" s="250">
        <f t="shared" si="39"/>
        <v>0</v>
      </c>
      <c r="AU19" s="251"/>
      <c r="AV19" s="249"/>
      <c r="AW19" s="250">
        <f t="shared" si="40"/>
        <v>0</v>
      </c>
      <c r="AX19" s="251"/>
      <c r="AY19" s="249"/>
      <c r="AZ19" s="250">
        <f t="shared" si="41"/>
        <v>0</v>
      </c>
      <c r="BA19" s="251"/>
      <c r="BB19" s="249">
        <v>-1.0880000000000001E-2</v>
      </c>
      <c r="BC19" s="250">
        <f t="shared" si="42"/>
        <v>-6.36717454848009E-6</v>
      </c>
      <c r="BD19" s="251">
        <v>63318.01470588235</v>
      </c>
      <c r="BE19" s="249"/>
      <c r="BF19" s="250">
        <f t="shared" si="43"/>
        <v>0</v>
      </c>
      <c r="BG19" s="251"/>
      <c r="BH19" s="249"/>
      <c r="BI19" s="250"/>
      <c r="BJ19" s="251"/>
      <c r="BK19" s="249"/>
      <c r="BL19" s="250"/>
      <c r="BM19" s="251"/>
      <c r="BN19" s="249"/>
      <c r="BO19" s="250"/>
      <c r="BP19" s="251"/>
      <c r="BQ19" s="249"/>
      <c r="BR19" s="250"/>
      <c r="BS19" s="251"/>
      <c r="BT19" s="249"/>
      <c r="BU19" s="250"/>
      <c r="BV19" s="251"/>
      <c r="BW19" s="249"/>
      <c r="BX19" s="250"/>
      <c r="BY19" s="251"/>
    </row>
    <row r="20" spans="1:77">
      <c r="A20" t="s">
        <v>135</v>
      </c>
      <c r="B20" s="249">
        <v>0.49728000000000006</v>
      </c>
      <c r="C20" s="250">
        <f t="shared" si="25"/>
        <v>3.976588188891749E-4</v>
      </c>
      <c r="D20" s="251">
        <v>98776.903800766915</v>
      </c>
      <c r="E20" s="249">
        <v>0.33117000000000008</v>
      </c>
      <c r="F20" s="250">
        <f t="shared" si="26"/>
        <v>2.4504614851921723E-4</v>
      </c>
      <c r="G20" s="251">
        <v>99273.008166720479</v>
      </c>
      <c r="H20" s="249">
        <v>0.2016</v>
      </c>
      <c r="I20" s="250">
        <f t="shared" si="27"/>
        <v>1.3469826794223306E-4</v>
      </c>
      <c r="J20" s="251">
        <v>99260.171100532185</v>
      </c>
      <c r="K20" s="249">
        <v>0.12096</v>
      </c>
      <c r="L20" s="250">
        <f t="shared" si="28"/>
        <v>8.5591223487718526E-5</v>
      </c>
      <c r="M20" s="251">
        <v>97388.754808460799</v>
      </c>
      <c r="N20" s="249">
        <v>0.12096000000000001</v>
      </c>
      <c r="O20" s="250">
        <f t="shared" si="29"/>
        <v>8.2597910958301084E-5</v>
      </c>
      <c r="P20" s="251">
        <v>96834.299079298857</v>
      </c>
      <c r="Q20" s="249"/>
      <c r="R20" s="250">
        <f t="shared" si="30"/>
        <v>0</v>
      </c>
      <c r="S20" s="251">
        <v>0</v>
      </c>
      <c r="T20" s="249"/>
      <c r="U20" s="250">
        <f t="shared" si="31"/>
        <v>0</v>
      </c>
      <c r="V20" s="251">
        <v>0</v>
      </c>
      <c r="W20" s="249">
        <v>4.0320000000000002E-2</v>
      </c>
      <c r="X20" s="250">
        <f t="shared" si="32"/>
        <v>3.0553727893152244E-5</v>
      </c>
      <c r="Y20" s="251">
        <v>98309.657602823441</v>
      </c>
      <c r="Z20" s="249"/>
      <c r="AA20" s="250">
        <f t="shared" si="33"/>
        <v>0</v>
      </c>
      <c r="AB20" s="251">
        <v>0</v>
      </c>
      <c r="AC20" s="249"/>
      <c r="AD20" s="250">
        <f t="shared" si="34"/>
        <v>0</v>
      </c>
      <c r="AE20" s="251">
        <v>0</v>
      </c>
      <c r="AF20" s="249"/>
      <c r="AG20" s="250">
        <f t="shared" si="35"/>
        <v>0</v>
      </c>
      <c r="AH20" s="251">
        <v>0</v>
      </c>
      <c r="AI20" s="261">
        <v>-6.0899999999999996E-2</v>
      </c>
      <c r="AJ20" s="250">
        <f t="shared" si="36"/>
        <v>-3.8165890004876612E-5</v>
      </c>
      <c r="AK20" s="261">
        <v>96774.548440065686</v>
      </c>
      <c r="AL20" s="249">
        <v>1.2513899999999998</v>
      </c>
      <c r="AM20" s="250">
        <f t="shared" si="37"/>
        <v>7.4864136899247831E-5</v>
      </c>
      <c r="AN20" s="251">
        <v>98746.487764242018</v>
      </c>
      <c r="AO20" s="303"/>
      <c r="AP20" s="249"/>
      <c r="AQ20" s="250">
        <f t="shared" si="38"/>
        <v>0</v>
      </c>
      <c r="AR20" s="251"/>
      <c r="AS20" s="249"/>
      <c r="AT20" s="250">
        <f t="shared" si="39"/>
        <v>0</v>
      </c>
      <c r="AU20" s="251"/>
      <c r="AV20" s="249"/>
      <c r="AW20" s="250">
        <f t="shared" si="40"/>
        <v>0</v>
      </c>
      <c r="AX20" s="251"/>
      <c r="AY20" s="249"/>
      <c r="AZ20" s="250">
        <f t="shared" si="41"/>
        <v>0</v>
      </c>
      <c r="BA20" s="251"/>
      <c r="BB20" s="249">
        <v>0</v>
      </c>
      <c r="BC20" s="250">
        <f t="shared" si="42"/>
        <v>0</v>
      </c>
      <c r="BD20" s="251">
        <v>0</v>
      </c>
      <c r="BE20" s="249"/>
      <c r="BF20" s="250">
        <f t="shared" si="43"/>
        <v>0</v>
      </c>
      <c r="BG20" s="251"/>
      <c r="BH20" s="249"/>
      <c r="BI20" s="250"/>
      <c r="BJ20" s="251"/>
      <c r="BK20" s="249"/>
      <c r="BL20" s="250"/>
      <c r="BM20" s="251"/>
      <c r="BN20" s="249"/>
      <c r="BO20" s="250"/>
      <c r="BP20" s="251"/>
      <c r="BQ20" s="249"/>
      <c r="BR20" s="250"/>
      <c r="BS20" s="251"/>
      <c r="BT20" s="249"/>
      <c r="BU20" s="250"/>
      <c r="BV20" s="251"/>
      <c r="BW20" s="249"/>
      <c r="BX20" s="250"/>
      <c r="BY20" s="251"/>
    </row>
    <row r="21" spans="1:77">
      <c r="A21" t="s">
        <v>136</v>
      </c>
      <c r="B21" s="249"/>
      <c r="C21" s="250">
        <f t="shared" si="25"/>
        <v>0</v>
      </c>
      <c r="D21" s="251">
        <v>0</v>
      </c>
      <c r="E21" s="249">
        <v>-4.0499999999999998E-3</v>
      </c>
      <c r="F21" s="250">
        <f t="shared" si="26"/>
        <v>-2.9967596747979274E-6</v>
      </c>
      <c r="G21" s="251">
        <v>92411.044337663508</v>
      </c>
      <c r="H21" s="249"/>
      <c r="I21" s="250">
        <f t="shared" si="27"/>
        <v>0</v>
      </c>
      <c r="J21" s="251">
        <v>0</v>
      </c>
      <c r="K21" s="249"/>
      <c r="L21" s="250">
        <f t="shared" si="28"/>
        <v>0</v>
      </c>
      <c r="M21" s="251">
        <v>0</v>
      </c>
      <c r="N21" s="249"/>
      <c r="O21" s="250">
        <f t="shared" si="29"/>
        <v>0</v>
      </c>
      <c r="P21" s="251">
        <v>0</v>
      </c>
      <c r="Q21" s="249"/>
      <c r="R21" s="250">
        <f t="shared" si="30"/>
        <v>0</v>
      </c>
      <c r="S21" s="251">
        <v>0</v>
      </c>
      <c r="T21" s="249"/>
      <c r="U21" s="250">
        <f t="shared" si="31"/>
        <v>0</v>
      </c>
      <c r="V21" s="251">
        <v>0</v>
      </c>
      <c r="W21" s="249"/>
      <c r="X21" s="250">
        <f t="shared" si="32"/>
        <v>0</v>
      </c>
      <c r="Y21" s="251"/>
      <c r="Z21" s="249"/>
      <c r="AA21" s="250">
        <f t="shared" si="33"/>
        <v>0</v>
      </c>
      <c r="AB21" s="251">
        <v>0</v>
      </c>
      <c r="AC21" s="249"/>
      <c r="AD21" s="250">
        <f t="shared" si="34"/>
        <v>0</v>
      </c>
      <c r="AE21" s="251">
        <v>0</v>
      </c>
      <c r="AF21" s="249"/>
      <c r="AG21" s="250">
        <f t="shared" si="35"/>
        <v>0</v>
      </c>
      <c r="AH21" s="251">
        <v>0</v>
      </c>
      <c r="AI21" s="261">
        <v>-4.725E-3</v>
      </c>
      <c r="AJ21" s="250">
        <f t="shared" si="36"/>
        <v>-2.9611466383093927E-6</v>
      </c>
      <c r="AK21" s="261">
        <v>90471.957671957673</v>
      </c>
      <c r="AL21" s="249">
        <v>-8.7749999999999998E-3</v>
      </c>
      <c r="AM21" s="250">
        <f t="shared" si="37"/>
        <v>-5.2496248275189973E-7</v>
      </c>
      <c r="AN21" s="251">
        <v>91366.920748437289</v>
      </c>
      <c r="AO21" s="303"/>
      <c r="AP21" s="249"/>
      <c r="AQ21" s="250">
        <f t="shared" si="38"/>
        <v>0</v>
      </c>
      <c r="AR21" s="251"/>
      <c r="AS21" s="249"/>
      <c r="AT21" s="250">
        <f t="shared" si="39"/>
        <v>0</v>
      </c>
      <c r="AU21" s="251"/>
      <c r="AV21" s="249"/>
      <c r="AW21" s="250">
        <f t="shared" si="40"/>
        <v>0</v>
      </c>
      <c r="AX21" s="251"/>
      <c r="AY21" s="249"/>
      <c r="AZ21" s="250">
        <f t="shared" si="41"/>
        <v>0</v>
      </c>
      <c r="BA21" s="251"/>
      <c r="BB21" s="249">
        <v>0</v>
      </c>
      <c r="BC21" s="250">
        <f t="shared" si="42"/>
        <v>0</v>
      </c>
      <c r="BD21" s="251">
        <v>0</v>
      </c>
      <c r="BE21" s="249"/>
      <c r="BF21" s="250">
        <f t="shared" si="43"/>
        <v>0</v>
      </c>
      <c r="BG21" s="251"/>
      <c r="BH21" s="249"/>
      <c r="BI21" s="250"/>
      <c r="BJ21" s="251"/>
      <c r="BK21" s="249"/>
      <c r="BL21" s="250"/>
      <c r="BM21" s="251"/>
      <c r="BN21" s="249"/>
      <c r="BO21" s="250"/>
      <c r="BP21" s="251"/>
      <c r="BQ21" s="249"/>
      <c r="BR21" s="250"/>
      <c r="BS21" s="251"/>
      <c r="BT21" s="249"/>
      <c r="BU21" s="250"/>
      <c r="BV21" s="251"/>
      <c r="BW21" s="249"/>
      <c r="BX21" s="250"/>
      <c r="BY21" s="251"/>
    </row>
    <row r="22" spans="1:77">
      <c r="A22" t="s">
        <v>216</v>
      </c>
      <c r="B22" s="249"/>
      <c r="C22" s="250">
        <f t="shared" si="25"/>
        <v>0</v>
      </c>
      <c r="D22" s="251">
        <v>0</v>
      </c>
      <c r="E22" s="249">
        <v>-3.7400000000000003E-3</v>
      </c>
      <c r="F22" s="250">
        <f t="shared" si="26"/>
        <v>-2.7673780700603086E-6</v>
      </c>
      <c r="G22" s="251">
        <v>101923.94596065827</v>
      </c>
      <c r="H22" s="249"/>
      <c r="I22" s="250">
        <f t="shared" si="27"/>
        <v>0</v>
      </c>
      <c r="J22" s="251">
        <v>0</v>
      </c>
      <c r="K22" s="249"/>
      <c r="L22" s="250">
        <f t="shared" si="28"/>
        <v>0</v>
      </c>
      <c r="M22" s="251">
        <v>0</v>
      </c>
      <c r="N22" s="249"/>
      <c r="O22" s="250">
        <f t="shared" si="29"/>
        <v>0</v>
      </c>
      <c r="P22" s="251">
        <v>0</v>
      </c>
      <c r="Q22" s="249"/>
      <c r="R22" s="250">
        <f t="shared" si="30"/>
        <v>0</v>
      </c>
      <c r="S22" s="251">
        <v>0</v>
      </c>
      <c r="T22" s="249"/>
      <c r="U22" s="250">
        <f t="shared" si="31"/>
        <v>0</v>
      </c>
      <c r="V22" s="251">
        <v>0</v>
      </c>
      <c r="W22" s="249"/>
      <c r="X22" s="250">
        <f t="shared" si="32"/>
        <v>0</v>
      </c>
      <c r="Y22" s="251"/>
      <c r="Z22" s="249"/>
      <c r="AA22" s="250">
        <f t="shared" si="33"/>
        <v>0</v>
      </c>
      <c r="AB22" s="251">
        <v>0</v>
      </c>
      <c r="AC22" s="249"/>
      <c r="AD22" s="250">
        <f t="shared" si="34"/>
        <v>0</v>
      </c>
      <c r="AE22" s="251">
        <v>0</v>
      </c>
      <c r="AF22" s="249"/>
      <c r="AG22" s="250">
        <f t="shared" si="35"/>
        <v>0</v>
      </c>
      <c r="AH22" s="251">
        <v>0</v>
      </c>
      <c r="AI22" s="261">
        <v>-5.1680000000000004E-2</v>
      </c>
      <c r="AJ22" s="250">
        <f t="shared" si="36"/>
        <v>-3.2387737199540616E-5</v>
      </c>
      <c r="AK22" s="261">
        <v>100124.80650154798</v>
      </c>
      <c r="AL22" s="249">
        <v>-5.5420000000000004E-2</v>
      </c>
      <c r="AM22" s="250">
        <f t="shared" si="37"/>
        <v>-3.3154895491863574E-6</v>
      </c>
      <c r="AN22" s="251">
        <v>100246.22082087444</v>
      </c>
      <c r="AO22" s="303"/>
      <c r="AP22" s="249"/>
      <c r="AQ22" s="250">
        <f t="shared" si="38"/>
        <v>0</v>
      </c>
      <c r="AR22" s="251"/>
      <c r="AS22" s="249"/>
      <c r="AT22" s="250">
        <f t="shared" si="39"/>
        <v>0</v>
      </c>
      <c r="AU22" s="251"/>
      <c r="AV22" s="249"/>
      <c r="AW22" s="250">
        <f t="shared" si="40"/>
        <v>0</v>
      </c>
      <c r="AX22" s="251"/>
      <c r="AY22" s="249">
        <v>4.7484000000000011</v>
      </c>
      <c r="AZ22" s="250">
        <f t="shared" si="41"/>
        <v>3.1073095919860179E-3</v>
      </c>
      <c r="BA22" s="251">
        <v>84638.017016258091</v>
      </c>
      <c r="BB22" s="249">
        <v>14.961599999999997</v>
      </c>
      <c r="BC22" s="250">
        <f t="shared" si="42"/>
        <v>8.7558013533584264E-3</v>
      </c>
      <c r="BD22" s="251">
        <v>83954.405945888153</v>
      </c>
      <c r="BE22" s="249">
        <v>1.5875964</v>
      </c>
      <c r="BF22" s="250">
        <f t="shared" si="43"/>
        <v>1.013329802278701E-3</v>
      </c>
      <c r="BG22" s="251">
        <v>84354.247716863028</v>
      </c>
      <c r="BH22" s="249">
        <v>2.7971999999999992</v>
      </c>
      <c r="BI22" s="250">
        <f t="shared" ref="BI22:BI27" si="44">BH22/BH$27</f>
        <v>2.8238060835631155E-3</v>
      </c>
      <c r="BJ22" s="251">
        <v>83948.652223652243</v>
      </c>
      <c r="BK22" s="249">
        <v>0.89640000000000009</v>
      </c>
      <c r="BL22" s="250">
        <f t="shared" ref="BL22:BL27" si="45">BK22/BK$27</f>
        <v>8.2084699304808698E-4</v>
      </c>
      <c r="BM22" s="251">
        <v>84212.025881303009</v>
      </c>
      <c r="BN22" s="249">
        <v>3.4667999999999992</v>
      </c>
      <c r="BO22" s="250">
        <f t="shared" ref="BO22:BO27" si="46">BN22/BN$27</f>
        <v>2.504371371632791E-3</v>
      </c>
      <c r="BP22" s="251">
        <v>84041.308988115852</v>
      </c>
      <c r="BQ22" s="373">
        <v>4.1148000000000007</v>
      </c>
      <c r="BR22" s="250">
        <f t="shared" ref="BR22:BR27" si="47">BQ22/BQ$27</f>
        <v>3.3290018420834189E-3</v>
      </c>
      <c r="BS22" s="251">
        <v>84047.110430640576</v>
      </c>
      <c r="BT22" s="373">
        <v>4.2228000000000003</v>
      </c>
      <c r="BU22" s="250">
        <f t="shared" ref="BU22:BU27" si="48">BT22/BT$27</f>
        <v>3.0668257652131836E-3</v>
      </c>
      <c r="BV22" s="251">
        <v>84107.971014492738</v>
      </c>
      <c r="BW22" s="249">
        <v>3.9828000000000006</v>
      </c>
      <c r="BX22" s="250">
        <f t="shared" ref="BX22:BX27" si="49">BW22/BW$27</f>
        <v>2.7206449956622865E-3</v>
      </c>
      <c r="BY22" s="251">
        <v>84022.521843928902</v>
      </c>
    </row>
    <row r="23" spans="1:77">
      <c r="A23" t="s">
        <v>137</v>
      </c>
      <c r="B23" s="249"/>
      <c r="C23" s="250">
        <f t="shared" si="25"/>
        <v>0</v>
      </c>
      <c r="D23" s="251">
        <v>0</v>
      </c>
      <c r="E23" s="249"/>
      <c r="F23" s="250">
        <f t="shared" si="26"/>
        <v>0</v>
      </c>
      <c r="G23" s="251">
        <v>0</v>
      </c>
      <c r="H23" s="249">
        <v>25.228800000000028</v>
      </c>
      <c r="I23" s="250">
        <f t="shared" si="27"/>
        <v>1.6856526102485184E-2</v>
      </c>
      <c r="J23" s="251">
        <v>86635.354066559463</v>
      </c>
      <c r="K23" s="249">
        <v>12.038400000000001</v>
      </c>
      <c r="L23" s="250">
        <f t="shared" si="28"/>
        <v>8.5183646233015116E-3</v>
      </c>
      <c r="M23" s="251">
        <v>84817.586819417527</v>
      </c>
      <c r="N23" s="249">
        <v>49.259520000000002</v>
      </c>
      <c r="O23" s="250">
        <f t="shared" si="29"/>
        <v>3.3637015929304327E-2</v>
      </c>
      <c r="P23" s="251">
        <v>84817.586819417542</v>
      </c>
      <c r="Q23" s="249">
        <v>23.833280000000002</v>
      </c>
      <c r="R23" s="250">
        <f t="shared" si="30"/>
        <v>1.6441750213415946E-2</v>
      </c>
      <c r="S23" s="251">
        <v>84817.586819417527</v>
      </c>
      <c r="T23" s="249">
        <v>14.353920000000006</v>
      </c>
      <c r="U23" s="250">
        <f t="shared" si="31"/>
        <v>9.6094907860678012E-3</v>
      </c>
      <c r="V23" s="251">
        <v>84760.655959646116</v>
      </c>
      <c r="W23" s="249">
        <v>29.214720000000014</v>
      </c>
      <c r="X23" s="250">
        <f t="shared" si="32"/>
        <v>2.2138358267724038E-2</v>
      </c>
      <c r="Y23" s="251">
        <v>84791.169244240547</v>
      </c>
      <c r="Z23" s="249">
        <v>26.26560000000001</v>
      </c>
      <c r="AA23" s="250">
        <f t="shared" si="33"/>
        <v>2.3206467851527659E-2</v>
      </c>
      <c r="AB23" s="251">
        <v>84799.438048245574</v>
      </c>
      <c r="AC23" s="249">
        <v>37.082879999999996</v>
      </c>
      <c r="AD23" s="250">
        <f t="shared" si="34"/>
        <v>2.7781139961110202E-2</v>
      </c>
      <c r="AE23" s="251">
        <v>84792.857512685136</v>
      </c>
      <c r="AF23" s="249">
        <v>47.946240000000024</v>
      </c>
      <c r="AG23" s="250">
        <f t="shared" si="35"/>
        <v>3.3910261377686574E-2</v>
      </c>
      <c r="AH23" s="251">
        <v>84814.366882575137</v>
      </c>
      <c r="AI23" s="261">
        <v>52.738560000000014</v>
      </c>
      <c r="AJ23" s="250">
        <f t="shared" si="36"/>
        <v>3.3051134318154124E-2</v>
      </c>
      <c r="AK23" s="261">
        <v>84774.546366074486</v>
      </c>
      <c r="AL23" s="249">
        <v>317.96191999999979</v>
      </c>
      <c r="AM23" s="250">
        <f t="shared" si="37"/>
        <v>1.902200329843428E-2</v>
      </c>
      <c r="AN23" s="251">
        <v>84944.813141306338</v>
      </c>
      <c r="AO23" s="303"/>
      <c r="AP23" s="249">
        <v>99.475199999999958</v>
      </c>
      <c r="AQ23" s="250">
        <f t="shared" si="38"/>
        <v>5.0282079918735664E-2</v>
      </c>
      <c r="AR23" s="251">
        <v>84446.500936917015</v>
      </c>
      <c r="AS23" s="249">
        <v>186.31295999999983</v>
      </c>
      <c r="AT23" s="250">
        <f t="shared" si="39"/>
        <v>9.0671488407444906E-2</v>
      </c>
      <c r="AU23" s="251">
        <v>84469.602168308586</v>
      </c>
      <c r="AV23" s="249">
        <v>41.333759999999998</v>
      </c>
      <c r="AW23" s="250">
        <f t="shared" si="40"/>
        <v>1.9562071536074154E-2</v>
      </c>
      <c r="AX23" s="251">
        <v>84485.557568438147</v>
      </c>
      <c r="AY23" s="249">
        <v>22.014720000000029</v>
      </c>
      <c r="AZ23" s="250">
        <f t="shared" si="41"/>
        <v>1.4406231703497283E-2</v>
      </c>
      <c r="BA23" s="251">
        <v>84448.041583086146</v>
      </c>
      <c r="BB23" s="249">
        <v>28.21672000000002</v>
      </c>
      <c r="BC23" s="250">
        <f t="shared" si="42"/>
        <v>1.6512939469263715E-2</v>
      </c>
      <c r="BD23" s="251">
        <v>84446.024555653581</v>
      </c>
      <c r="BE23" s="249">
        <v>25.20576000000003</v>
      </c>
      <c r="BF23" s="250">
        <f t="shared" si="43"/>
        <v>1.6088312997613513E-2</v>
      </c>
      <c r="BG23" s="251">
        <v>84475.371502386668</v>
      </c>
      <c r="BH23" s="249">
        <v>13.121280000000008</v>
      </c>
      <c r="BI23" s="250">
        <f t="shared" si="44"/>
        <v>1.3246085474093762E-2</v>
      </c>
      <c r="BJ23" s="251">
        <v>84476.781990781354</v>
      </c>
      <c r="BK23" s="249">
        <v>38.436720000000008</v>
      </c>
      <c r="BL23" s="250">
        <f t="shared" si="45"/>
        <v>3.5197083929753757E-2</v>
      </c>
      <c r="BM23" s="251">
        <v>84451.728971670876</v>
      </c>
      <c r="BN23" s="249">
        <v>2.1439999999999997</v>
      </c>
      <c r="BO23" s="250">
        <f t="shared" si="46"/>
        <v>1.5487978022328097E-3</v>
      </c>
      <c r="BP23" s="251">
        <v>84491.263992537337</v>
      </c>
      <c r="BQ23" s="373">
        <v>0.46079999999999999</v>
      </c>
      <c r="BR23" s="250">
        <f t="shared" si="47"/>
        <v>3.7280160611257877E-4</v>
      </c>
      <c r="BS23" s="251">
        <v>84817.599826388891</v>
      </c>
      <c r="BT23" s="373">
        <v>0.39167999999999997</v>
      </c>
      <c r="BU23" s="250">
        <f t="shared" si="48"/>
        <v>2.8445920141107785E-4</v>
      </c>
      <c r="BV23" s="251">
        <v>84817.63174019607</v>
      </c>
      <c r="BW23" s="249">
        <v>0.20735999999999999</v>
      </c>
      <c r="BX23" s="250">
        <f t="shared" si="49"/>
        <v>1.4164732005135373E-4</v>
      </c>
      <c r="BY23" s="251">
        <v>84817.563657407401</v>
      </c>
    </row>
    <row r="24" spans="1:77">
      <c r="A24" t="s">
        <v>138</v>
      </c>
      <c r="B24" s="249"/>
      <c r="C24" s="250">
        <f t="shared" si="25"/>
        <v>0</v>
      </c>
      <c r="D24" s="251">
        <v>0</v>
      </c>
      <c r="E24" s="249"/>
      <c r="F24" s="250">
        <f t="shared" si="26"/>
        <v>0</v>
      </c>
      <c r="G24" s="251">
        <v>0</v>
      </c>
      <c r="H24" s="249">
        <v>16.309999999999999</v>
      </c>
      <c r="I24" s="250">
        <f t="shared" si="27"/>
        <v>1.0897464038382048E-2</v>
      </c>
      <c r="J24" s="251">
        <v>94489.995792051894</v>
      </c>
      <c r="K24" s="249">
        <v>158.97</v>
      </c>
      <c r="L24" s="250">
        <f t="shared" si="28"/>
        <v>0.11248707670174118</v>
      </c>
      <c r="M24" s="251">
        <v>92308.745446756235</v>
      </c>
      <c r="N24" s="249">
        <v>156.78049999999973</v>
      </c>
      <c r="O24" s="250">
        <f t="shared" si="29"/>
        <v>0.10705805042160962</v>
      </c>
      <c r="P24" s="251">
        <v>92276.536579555061</v>
      </c>
      <c r="Q24" s="249">
        <v>157.72399999999939</v>
      </c>
      <c r="R24" s="250">
        <f t="shared" si="30"/>
        <v>0.10880829708125807</v>
      </c>
      <c r="S24" s="251">
        <v>92204.191530074444</v>
      </c>
      <c r="T24" s="249">
        <v>185.90199999999928</v>
      </c>
      <c r="U24" s="250">
        <f t="shared" si="31"/>
        <v>0.12445544883290201</v>
      </c>
      <c r="V24" s="251">
        <v>92300.286988520835</v>
      </c>
      <c r="W24" s="249">
        <v>192.6279999999995</v>
      </c>
      <c r="X24" s="250">
        <f t="shared" si="32"/>
        <v>0.14596982878477469</v>
      </c>
      <c r="Y24" s="251">
        <v>92320.20368155271</v>
      </c>
      <c r="Z24" s="249">
        <v>170.84799399999986</v>
      </c>
      <c r="AA24" s="250">
        <f t="shared" si="33"/>
        <v>0.150949473084909</v>
      </c>
      <c r="AB24" s="251">
        <v>92285.230401944311</v>
      </c>
      <c r="AC24" s="249">
        <v>170.1244999999997</v>
      </c>
      <c r="AD24" s="250">
        <f t="shared" si="34"/>
        <v>0.12745106489339245</v>
      </c>
      <c r="AE24" s="251">
        <v>92332.52670838144</v>
      </c>
      <c r="AF24" s="249">
        <v>175.08248999999941</v>
      </c>
      <c r="AG24" s="250">
        <f t="shared" si="35"/>
        <v>0.12382812496988654</v>
      </c>
      <c r="AH24" s="251">
        <v>92274.909101418423</v>
      </c>
      <c r="AI24" s="261">
        <v>245.07800999999949</v>
      </c>
      <c r="AJ24" s="250">
        <f t="shared" si="36"/>
        <v>0.15358982548890035</v>
      </c>
      <c r="AK24" s="261">
        <v>92675.014824871701</v>
      </c>
      <c r="AL24" s="249">
        <v>1629.447493999897</v>
      </c>
      <c r="AM24" s="250">
        <f t="shared" si="37"/>
        <v>9.7481344953167764E-2</v>
      </c>
      <c r="AN24" s="251">
        <v>92369.219464792841</v>
      </c>
      <c r="AO24" s="303"/>
      <c r="AP24" s="249">
        <v>292.08949400000091</v>
      </c>
      <c r="AQ24" s="250">
        <f t="shared" si="38"/>
        <v>0.14764350592641295</v>
      </c>
      <c r="AR24" s="251">
        <v>92215.286558713356</v>
      </c>
      <c r="AS24" s="249">
        <v>267.87799799999999</v>
      </c>
      <c r="AT24" s="250">
        <f t="shared" si="39"/>
        <v>0.13036611511226365</v>
      </c>
      <c r="AU24" s="251">
        <v>92198.201025826507</v>
      </c>
      <c r="AV24" s="249">
        <v>290.30149800000129</v>
      </c>
      <c r="AW24" s="250">
        <f t="shared" si="40"/>
        <v>0.13739129154728516</v>
      </c>
      <c r="AX24" s="251">
        <v>92178.936396669684</v>
      </c>
      <c r="AY24" s="249">
        <v>236.8850020000001</v>
      </c>
      <c r="AZ24" s="250">
        <f t="shared" si="41"/>
        <v>0.15501538179433644</v>
      </c>
      <c r="BA24" s="251">
        <v>92203.942822855446</v>
      </c>
      <c r="BB24" s="249">
        <v>185.14749200000017</v>
      </c>
      <c r="BC24" s="250">
        <f t="shared" si="42"/>
        <v>0.10835169106409211</v>
      </c>
      <c r="BD24" s="251">
        <v>92235.121337749355</v>
      </c>
      <c r="BE24" s="249">
        <v>25.699993999999947</v>
      </c>
      <c r="BF24" s="250">
        <f t="shared" si="43"/>
        <v>1.6403772292872262E-2</v>
      </c>
      <c r="BG24" s="251">
        <v>92113.13784742498</v>
      </c>
      <c r="BH24" s="249">
        <v>5.4240099999999911</v>
      </c>
      <c r="BI24" s="250">
        <f t="shared" si="44"/>
        <v>5.4756014712237788E-3</v>
      </c>
      <c r="BJ24" s="251">
        <v>92091.847175798088</v>
      </c>
      <c r="BK24" s="249">
        <v>4.2835079999999985</v>
      </c>
      <c r="BL24" s="250">
        <f t="shared" si="45"/>
        <v>3.9224728486138144E-3</v>
      </c>
      <c r="BM24" s="251">
        <v>91936.426872554046</v>
      </c>
      <c r="BN24" s="249">
        <v>2.1295000000000002</v>
      </c>
      <c r="BO24" s="250">
        <f t="shared" si="46"/>
        <v>1.5383231902307691E-3</v>
      </c>
      <c r="BP24" s="251">
        <v>92238.440948579519</v>
      </c>
      <c r="BQ24" s="373">
        <v>0.77000000000000024</v>
      </c>
      <c r="BR24" s="250">
        <f t="shared" si="47"/>
        <v>6.2295407271416184E-4</v>
      </c>
      <c r="BS24" s="251">
        <v>91884.064935064918</v>
      </c>
      <c r="BT24" s="373">
        <v>0.17050000000000001</v>
      </c>
      <c r="BU24" s="250">
        <f t="shared" si="48"/>
        <v>1.2382632210117644E-4</v>
      </c>
      <c r="BV24" s="251">
        <v>91552.375366568915</v>
      </c>
      <c r="BW24" s="249">
        <v>0.29400000000000004</v>
      </c>
      <c r="BX24" s="250">
        <f t="shared" si="49"/>
        <v>2.0083098039688467E-4</v>
      </c>
      <c r="BY24" s="251">
        <v>91508.741496598639</v>
      </c>
    </row>
    <row r="25" spans="1:77">
      <c r="A25" t="s">
        <v>139</v>
      </c>
      <c r="B25" s="249"/>
      <c r="C25" s="250">
        <f t="shared" si="25"/>
        <v>0</v>
      </c>
      <c r="D25" s="251">
        <v>0</v>
      </c>
      <c r="E25" s="249"/>
      <c r="F25" s="250">
        <f t="shared" si="26"/>
        <v>0</v>
      </c>
      <c r="G25" s="251">
        <v>0</v>
      </c>
      <c r="H25" s="249">
        <v>4.7735999999999992</v>
      </c>
      <c r="I25" s="250">
        <f t="shared" si="27"/>
        <v>3.1894625587750177E-3</v>
      </c>
      <c r="J25" s="251">
        <v>110276.27843640196</v>
      </c>
      <c r="K25" s="249">
        <v>1.3284000000000005</v>
      </c>
      <c r="L25" s="250">
        <f t="shared" si="28"/>
        <v>9.3997504365976624E-4</v>
      </c>
      <c r="M25" s="251">
        <v>108105.09185092131</v>
      </c>
      <c r="N25" s="249">
        <v>10.821599999999997</v>
      </c>
      <c r="O25" s="250">
        <f t="shared" si="29"/>
        <v>7.3895631053765764E-3</v>
      </c>
      <c r="P25" s="251">
        <v>108080.38443584518</v>
      </c>
      <c r="Q25" s="249">
        <v>1.6092</v>
      </c>
      <c r="R25" s="250">
        <f t="shared" si="30"/>
        <v>1.1101310622553394E-3</v>
      </c>
      <c r="S25" s="251">
        <v>107746.81418744943</v>
      </c>
      <c r="T25" s="249">
        <v>14.581800000000014</v>
      </c>
      <c r="U25" s="250">
        <f t="shared" si="31"/>
        <v>9.7620491645685325E-3</v>
      </c>
      <c r="V25" s="251">
        <v>109346.61462443338</v>
      </c>
      <c r="W25" s="249">
        <v>6.2423999999999991</v>
      </c>
      <c r="X25" s="250">
        <f t="shared" si="32"/>
        <v>4.7303718006005344E-3</v>
      </c>
      <c r="Y25" s="251">
        <v>108590.72353273859</v>
      </c>
      <c r="Z25" s="249">
        <v>10.884600000000002</v>
      </c>
      <c r="AA25" s="250">
        <f t="shared" si="33"/>
        <v>9.6168798724086992E-3</v>
      </c>
      <c r="AB25" s="251">
        <v>109438.22097275048</v>
      </c>
      <c r="AC25" s="249">
        <v>25.328399999999963</v>
      </c>
      <c r="AD25" s="250">
        <f t="shared" si="34"/>
        <v>1.8975112650122715E-2</v>
      </c>
      <c r="AE25" s="251">
        <v>108995.26815748331</v>
      </c>
      <c r="AF25" s="249">
        <v>31.580999999999985</v>
      </c>
      <c r="AG25" s="250">
        <f t="shared" si="35"/>
        <v>2.2335848745776911E-2</v>
      </c>
      <c r="AH25" s="251">
        <v>109791.06773059757</v>
      </c>
      <c r="AI25" s="261">
        <v>81.886200000000031</v>
      </c>
      <c r="AJ25" s="250">
        <f t="shared" si="36"/>
        <v>5.131789330241919E-2</v>
      </c>
      <c r="AK25" s="261">
        <v>109528.63620487947</v>
      </c>
      <c r="AL25" s="249">
        <v>189.03720000000095</v>
      </c>
      <c r="AM25" s="250">
        <f t="shared" si="37"/>
        <v>1.1309109725865291E-2</v>
      </c>
      <c r="AN25" s="251">
        <v>109361.59780229162</v>
      </c>
      <c r="AO25" s="303"/>
      <c r="AP25" s="249">
        <v>79.930800000000076</v>
      </c>
      <c r="AQ25" s="250">
        <f t="shared" si="38"/>
        <v>4.040290317152901E-2</v>
      </c>
      <c r="AR25" s="251">
        <v>108769.32346479701</v>
      </c>
      <c r="AS25" s="249">
        <v>27.17039999999999</v>
      </c>
      <c r="AT25" s="250">
        <f t="shared" si="39"/>
        <v>1.3222808593807121E-2</v>
      </c>
      <c r="AU25" s="251">
        <v>108182.03081294351</v>
      </c>
      <c r="AV25" s="249">
        <v>46.072800000000029</v>
      </c>
      <c r="AW25" s="250">
        <f t="shared" si="40"/>
        <v>2.1804921920174643E-2</v>
      </c>
      <c r="AX25" s="251">
        <v>108761.95217134617</v>
      </c>
      <c r="AY25" s="249">
        <v>59.162400000000041</v>
      </c>
      <c r="AZ25" s="250">
        <f t="shared" si="41"/>
        <v>3.8715334218876601E-2</v>
      </c>
      <c r="BA25" s="251">
        <v>109022.06807026076</v>
      </c>
      <c r="BB25" s="249">
        <v>78.861600000000024</v>
      </c>
      <c r="BC25" s="250">
        <f t="shared" si="42"/>
        <v>4.6151247460700144E-2</v>
      </c>
      <c r="BD25" s="251">
        <v>108941.89034967587</v>
      </c>
      <c r="BE25" s="249">
        <v>22.583999999999985</v>
      </c>
      <c r="BF25" s="250">
        <f t="shared" si="43"/>
        <v>1.4414898052592063E-2</v>
      </c>
      <c r="BG25" s="251">
        <v>107814.84900814736</v>
      </c>
      <c r="BH25" s="249">
        <v>47.20680000000003</v>
      </c>
      <c r="BI25" s="250">
        <f t="shared" si="44"/>
        <v>4.7655816182449379E-2</v>
      </c>
      <c r="BJ25" s="251">
        <v>108167.42354914955</v>
      </c>
      <c r="BK25" s="249">
        <v>53.694000000000017</v>
      </c>
      <c r="BL25" s="250">
        <f t="shared" si="45"/>
        <v>4.916840522615349E-2</v>
      </c>
      <c r="BM25" s="251">
        <v>108484.07457071546</v>
      </c>
      <c r="BN25" s="249">
        <v>66.402000000000072</v>
      </c>
      <c r="BO25" s="250">
        <f t="shared" si="46"/>
        <v>4.7967943873070504E-2</v>
      </c>
      <c r="BP25" s="251">
        <v>108480.54576669358</v>
      </c>
      <c r="BQ25" s="373">
        <v>70.78320000000015</v>
      </c>
      <c r="BR25" s="250">
        <f t="shared" si="47"/>
        <v>5.7265821713949533E-2</v>
      </c>
      <c r="BS25" s="251">
        <v>108284.51129646567</v>
      </c>
      <c r="BT25" s="373">
        <v>65.534400000000048</v>
      </c>
      <c r="BU25" s="250">
        <f t="shared" si="48"/>
        <v>4.7594625941978545E-2</v>
      </c>
      <c r="BV25" s="251">
        <v>109850.89067726255</v>
      </c>
      <c r="BW25" s="249">
        <v>69.401998800000101</v>
      </c>
      <c r="BX25" s="250">
        <f t="shared" si="49"/>
        <v>4.7408406328256568E-2</v>
      </c>
      <c r="BY25" s="251">
        <v>111827.66251971394</v>
      </c>
    </row>
    <row r="26" spans="1:77" ht="15.75" thickBot="1">
      <c r="A26" t="s">
        <v>205</v>
      </c>
      <c r="B26" s="249"/>
      <c r="C26" s="250"/>
      <c r="D26" s="251"/>
      <c r="E26" s="249"/>
      <c r="F26" s="250"/>
      <c r="G26" s="251"/>
      <c r="H26" s="249"/>
      <c r="I26" s="250"/>
      <c r="J26" s="251"/>
      <c r="K26" s="249"/>
      <c r="L26" s="250"/>
      <c r="M26" s="251"/>
      <c r="N26" s="249"/>
      <c r="O26" s="250"/>
      <c r="P26" s="251"/>
      <c r="Q26" s="249"/>
      <c r="R26" s="250"/>
      <c r="S26" s="251"/>
      <c r="T26" s="249"/>
      <c r="U26" s="250"/>
      <c r="V26" s="251"/>
      <c r="W26" s="249"/>
      <c r="X26" s="250"/>
      <c r="Y26" s="251"/>
      <c r="Z26" s="249"/>
      <c r="AA26" s="250"/>
      <c r="AB26" s="251"/>
      <c r="AC26" s="249"/>
      <c r="AD26" s="250"/>
      <c r="AE26" s="251"/>
      <c r="AF26" s="249"/>
      <c r="AG26" s="250"/>
      <c r="AH26" s="251"/>
      <c r="AI26" s="261"/>
      <c r="AJ26" s="250"/>
      <c r="AK26" s="261"/>
      <c r="AL26" s="249"/>
      <c r="AM26" s="250"/>
      <c r="AN26" s="251"/>
      <c r="AO26" s="303"/>
      <c r="AP26" s="262"/>
      <c r="AQ26" s="263"/>
      <c r="AR26" s="265"/>
      <c r="AS26" s="262"/>
      <c r="AT26" s="263"/>
      <c r="AU26" s="265"/>
      <c r="AV26" s="262">
        <v>3.9300000000000006</v>
      </c>
      <c r="AW26" s="263">
        <f t="shared" si="40"/>
        <v>1.8599551828038735E-3</v>
      </c>
      <c r="AX26" s="265">
        <v>135077.59287531808</v>
      </c>
      <c r="AY26" s="249">
        <v>1.1391250000000002</v>
      </c>
      <c r="AZ26" s="250">
        <f t="shared" si="41"/>
        <v>7.4543299616103786E-4</v>
      </c>
      <c r="BA26" s="251">
        <v>134975.34511137937</v>
      </c>
      <c r="BB26" s="249">
        <v>1.3349999999999997</v>
      </c>
      <c r="BC26" s="250">
        <f t="shared" si="42"/>
        <v>7.8126636233648143E-4</v>
      </c>
      <c r="BD26" s="251">
        <v>118868.24719101125</v>
      </c>
      <c r="BE26" s="249">
        <v>0.88500000000000012</v>
      </c>
      <c r="BF26" s="250">
        <f t="shared" si="43"/>
        <v>5.6487711550407297E-4</v>
      </c>
      <c r="BG26" s="251">
        <v>118832.79096045197</v>
      </c>
      <c r="BH26" s="249">
        <v>1.02</v>
      </c>
      <c r="BI26" s="250">
        <f t="shared" si="44"/>
        <v>1.0297019180732084E-3</v>
      </c>
      <c r="BJ26" s="251">
        <v>118868.24509803923</v>
      </c>
      <c r="BK26" s="249">
        <v>0.48000000000000004</v>
      </c>
      <c r="BL26" s="250">
        <f t="shared" si="45"/>
        <v>4.3954323590259003E-4</v>
      </c>
      <c r="BM26" s="251">
        <v>118868.25000000001</v>
      </c>
      <c r="BN26" s="249">
        <v>14.178749999999992</v>
      </c>
      <c r="BO26" s="250">
        <f t="shared" si="46"/>
        <v>1.0242545167168117E-2</v>
      </c>
      <c r="BP26" s="251">
        <v>118664.74548179503</v>
      </c>
      <c r="BQ26" s="373">
        <v>3.1612500000000003</v>
      </c>
      <c r="BR26" s="250">
        <f t="shared" si="47"/>
        <v>2.5575500809969396E-3</v>
      </c>
      <c r="BS26" s="251">
        <v>135077.58639778566</v>
      </c>
      <c r="BT26" s="373">
        <v>4.5599999999999996</v>
      </c>
      <c r="BU26" s="250">
        <f t="shared" si="48"/>
        <v>3.3117186438789701E-3</v>
      </c>
      <c r="BV26" s="251">
        <v>134504.69736842104</v>
      </c>
      <c r="BW26" s="249">
        <v>-2.5000000000000001E-4</v>
      </c>
      <c r="BX26" s="250">
        <f t="shared" si="49"/>
        <v>-1.707746431946298E-7</v>
      </c>
      <c r="BY26" s="251">
        <v>545360</v>
      </c>
    </row>
    <row r="27" spans="1:77" s="110" customFormat="1" ht="15.75" thickBot="1">
      <c r="A27" s="252" t="s">
        <v>140</v>
      </c>
      <c r="B27" s="253">
        <f>SUM(B6:B26)</f>
        <v>1250.519229999999</v>
      </c>
      <c r="C27" s="254">
        <f>B27/B$27</f>
        <v>1</v>
      </c>
      <c r="D27" s="255">
        <v>99405.853572721418</v>
      </c>
      <c r="E27" s="253">
        <f>SUM(E6:E26)</f>
        <v>1351.4597230000077</v>
      </c>
      <c r="F27" s="254">
        <f>E27/E$27</f>
        <v>1</v>
      </c>
      <c r="G27" s="255">
        <v>96309.663909980649</v>
      </c>
      <c r="H27" s="253">
        <f>SUM(H6:H26)</f>
        <v>1496.6784879999982</v>
      </c>
      <c r="I27" s="254">
        <f>H27/H$27</f>
        <v>1</v>
      </c>
      <c r="J27" s="255">
        <v>94229.68221915196</v>
      </c>
      <c r="K27" s="253">
        <f>SUM(K6:K26)</f>
        <v>1413.2290095999917</v>
      </c>
      <c r="L27" s="254">
        <f>K27/K$27</f>
        <v>1</v>
      </c>
      <c r="M27" s="255">
        <v>91626.664560720441</v>
      </c>
      <c r="N27" s="253">
        <f>SUM(N6:N26)</f>
        <v>1464.4438169999933</v>
      </c>
      <c r="O27" s="254">
        <f>N27/N$27</f>
        <v>1</v>
      </c>
      <c r="P27" s="255">
        <v>91584.563896253356</v>
      </c>
      <c r="Q27" s="253">
        <f>SUM(Q6:Q26)</f>
        <v>1449.5585743999932</v>
      </c>
      <c r="R27" s="254">
        <f>Q27/Q$27</f>
        <v>1</v>
      </c>
      <c r="S27" s="255">
        <v>89600.96503624467</v>
      </c>
      <c r="T27" s="253">
        <f>SUM(T6:T26)</f>
        <v>1493.7232699999936</v>
      </c>
      <c r="U27" s="254">
        <f>T27/T$27</f>
        <v>1</v>
      </c>
      <c r="V27" s="255">
        <v>89451.618971170305</v>
      </c>
      <c r="W27" s="253">
        <f>SUM(W6:W26)</f>
        <v>1319.6425699999963</v>
      </c>
      <c r="X27" s="254">
        <f>W27/W$27</f>
        <v>1</v>
      </c>
      <c r="Y27" s="255">
        <v>89070.447852172627</v>
      </c>
      <c r="Z27" s="253">
        <f>SUM(Z6:Z26)</f>
        <v>1131.8223939999973</v>
      </c>
      <c r="AA27" s="254">
        <f>Z27/Z$27</f>
        <v>1</v>
      </c>
      <c r="AB27" s="255">
        <v>87655.831825228626</v>
      </c>
      <c r="AC27" s="253">
        <f>SUM(AC6:AC26)</f>
        <v>1334.8221149999949</v>
      </c>
      <c r="AD27" s="254">
        <f>AC27/AC$27</f>
        <v>1</v>
      </c>
      <c r="AE27" s="255">
        <v>88198.370215043324</v>
      </c>
      <c r="AF27" s="253">
        <f>SUM(AF6:AF26)</f>
        <v>1413.9153769999932</v>
      </c>
      <c r="AG27" s="254">
        <f>AF27/AF$27</f>
        <v>1</v>
      </c>
      <c r="AH27" s="255">
        <v>88754.605014810018</v>
      </c>
      <c r="AI27" s="253">
        <f>SUM(AI6:AI26)</f>
        <v>1595.6656583199961</v>
      </c>
      <c r="AJ27" s="254">
        <f>AI27/AI$27</f>
        <v>1</v>
      </c>
      <c r="AK27" s="287">
        <v>90055.40623961958</v>
      </c>
      <c r="AL27" s="253">
        <f>SUM(AL6:AL26)</f>
        <v>16715.480226321459</v>
      </c>
      <c r="AM27" s="254">
        <f>AL27/AL$27</f>
        <v>1</v>
      </c>
      <c r="AN27" s="255">
        <v>91309.243131416457</v>
      </c>
      <c r="AP27" s="253">
        <f>SUM(AP6:AP26)</f>
        <v>1978.3429834399985</v>
      </c>
      <c r="AQ27" s="254">
        <f>AP27/AP$27</f>
        <v>1</v>
      </c>
      <c r="AR27" s="268">
        <v>88905.77097211135</v>
      </c>
      <c r="AS27" s="253">
        <f>SUM(AS6:AS26)</f>
        <v>2054.8130759999958</v>
      </c>
      <c r="AT27" s="254">
        <f>AS27/AS$27</f>
        <v>1</v>
      </c>
      <c r="AU27" s="268">
        <v>87851.72188090808</v>
      </c>
      <c r="AV27" s="253">
        <f>SUM(AV6:AV26)</f>
        <v>2112.9541380000051</v>
      </c>
      <c r="AW27" s="254">
        <f t="shared" si="40"/>
        <v>1</v>
      </c>
      <c r="AX27" s="268">
        <v>88514.889562098251</v>
      </c>
      <c r="AY27" s="253">
        <f>SUM(AY6:AY26)</f>
        <v>1528.1386869999942</v>
      </c>
      <c r="AZ27" s="254">
        <f t="shared" si="41"/>
        <v>1</v>
      </c>
      <c r="BA27" s="255">
        <v>88724.884658436757</v>
      </c>
      <c r="BB27" s="253">
        <f>SUM(BB6:BB26)</f>
        <v>1708.7642119999944</v>
      </c>
      <c r="BC27" s="254">
        <f t="shared" si="42"/>
        <v>1</v>
      </c>
      <c r="BD27" s="255">
        <f>SUMPRODUCT(BB6:BB26,BD6:BD26)/BB27</f>
        <v>88036.332264898898</v>
      </c>
      <c r="BE27" s="253">
        <f>SUM(BE6:BE26)</f>
        <v>1566.7124330399943</v>
      </c>
      <c r="BF27" s="254">
        <f t="shared" si="43"/>
        <v>1</v>
      </c>
      <c r="BG27" s="255">
        <f>SUMPRODUCT(BE6:BE26,BG6:BG26)/BE27</f>
        <v>88031.896595332961</v>
      </c>
      <c r="BH27" s="253">
        <f>SUM(BH6:BH26)</f>
        <v>990.57793531999744</v>
      </c>
      <c r="BI27" s="254">
        <f t="shared" si="44"/>
        <v>1</v>
      </c>
      <c r="BJ27" s="255">
        <f>SUMPRODUCT(BH6:BH26,BJ6:BJ26)/BH27</f>
        <v>91311.440195546471</v>
      </c>
      <c r="BK27" s="253">
        <f>SUM(BK6:BK26)</f>
        <v>1092.0427407199957</v>
      </c>
      <c r="BL27" s="254">
        <f t="shared" si="45"/>
        <v>1</v>
      </c>
      <c r="BM27" s="255">
        <f>SUMPRODUCT(BK6:BK26,BM6:BM26)/BK27</f>
        <v>92155.188462356731</v>
      </c>
      <c r="BN27" s="253">
        <f>SUM(BN6:BN26)</f>
        <v>1384.2994849999932</v>
      </c>
      <c r="BO27" s="254">
        <f t="shared" si="46"/>
        <v>1</v>
      </c>
      <c r="BP27" s="255">
        <f>SUMPRODUCT(BN6:BN26,BP6:BP26)/BN27</f>
        <v>93950.079306719126</v>
      </c>
      <c r="BQ27" s="253">
        <f>SUM(BQ6:BQ26)</f>
        <v>1236.0461769599979</v>
      </c>
      <c r="BR27" s="254">
        <f t="shared" si="47"/>
        <v>1</v>
      </c>
      <c r="BS27" s="255">
        <f>SUMPRODUCT(BQ6:BQ26,BS6:BS26)/BQ27</f>
        <v>98355.770881475008</v>
      </c>
      <c r="BT27" s="253">
        <f>SUM(BT6:BT26)</f>
        <v>1376.9285649999949</v>
      </c>
      <c r="BU27" s="254">
        <f t="shared" si="48"/>
        <v>1</v>
      </c>
      <c r="BV27" s="255">
        <f>SUMPRODUCT(BT6:BT26,BV6:BV26)/BT27</f>
        <v>100293.38019434625</v>
      </c>
      <c r="BW27" s="253">
        <f>SUM(BW6:BW26)</f>
        <v>1463.9175659999946</v>
      </c>
      <c r="BX27" s="254">
        <f t="shared" si="49"/>
        <v>1</v>
      </c>
      <c r="BY27" s="255">
        <f>SUMPRODUCT(BW6:BW26,BY6:BY26)/BW27</f>
        <v>97742.309575083826</v>
      </c>
    </row>
    <row r="28" spans="1:77">
      <c r="B28"/>
      <c r="AU28" s="95"/>
      <c r="AX28" s="95"/>
      <c r="BA28" s="95"/>
      <c r="BD28" s="95"/>
      <c r="BG28" s="95"/>
      <c r="BJ28" s="95"/>
      <c r="BM28" s="95"/>
      <c r="BP28" s="95"/>
      <c r="BS28" s="95"/>
    </row>
    <row r="29" spans="1:77">
      <c r="B29"/>
      <c r="D29" s="260">
        <f>SUMPRODUCT(B6:B26,D6:D26)/B27</f>
        <v>99405.85357272267</v>
      </c>
      <c r="G29" s="260">
        <f>SUMPRODUCT(E6:E26,G6:G26)/E27</f>
        <v>96309.45375635587</v>
      </c>
      <c r="J29" s="260">
        <f>SUMPRODUCT(H6:H26,J6:J26)/H27</f>
        <v>94229.682219154754</v>
      </c>
      <c r="M29" s="260">
        <f>SUMPRODUCT(K6:K26,M6:M26)/K27</f>
        <v>91626.664560721852</v>
      </c>
      <c r="P29" s="260">
        <f>SUMPRODUCT(N6:N26,P6:P26)/N27</f>
        <v>91584.556545971107</v>
      </c>
      <c r="S29" s="260">
        <f>SUMPRODUCT(Q6:Q26,S6:S26)/Q27</f>
        <v>89600.965036246402</v>
      </c>
      <c r="T29" s="260"/>
      <c r="U29" s="260"/>
      <c r="V29" s="260"/>
      <c r="W29" s="260"/>
      <c r="X29" s="260"/>
      <c r="Y29" s="260"/>
      <c r="Z29" s="260"/>
      <c r="AA29" s="260"/>
      <c r="AB29" s="260"/>
      <c r="AC29" s="260"/>
      <c r="AD29" s="260"/>
      <c r="AE29" s="260"/>
      <c r="AF29" s="260"/>
      <c r="AG29" s="260"/>
      <c r="AH29" s="260">
        <f>SUMPRODUCT(AF6:AF26,AH6:AH26)/AF27</f>
        <v>88754.605014809582</v>
      </c>
      <c r="AI29" s="260">
        <v>-4.725E-3</v>
      </c>
      <c r="AJ29" s="260"/>
      <c r="AK29" s="260">
        <f>SUMPRODUCT(AI6:AI26,AK6:AK26)/AI27</f>
        <v>90054.534564146714</v>
      </c>
      <c r="AN29" s="260">
        <f>SUMPRODUCT(AL6:AL26,AN6:AN26)/AL27</f>
        <v>91309.133491043613</v>
      </c>
      <c r="AP29" s="260"/>
      <c r="AQ29" s="260"/>
      <c r="AR29" s="260">
        <f>SUMPRODUCT(AP6:AP26,AR6:AR26)/AP27</f>
        <v>88905.77097211135</v>
      </c>
      <c r="AU29" s="260">
        <f>SUMPRODUCT(AS6:AS26,AU6:AU26)/AS27</f>
        <v>87851.72188090533</v>
      </c>
      <c r="AX29" s="260">
        <f>SUMPRODUCT(AV6:AV26,AX6:AX26)/AV27</f>
        <v>88514.799098776537</v>
      </c>
      <c r="BA29" s="260">
        <f>SUMPRODUCT(AY6:AY26,BA6:BA26)/AY27</f>
        <v>88726.332212804322</v>
      </c>
      <c r="BD29" s="260">
        <f>SUMPRODUCT(BB6:BB26,BD6:BD26)/BB27</f>
        <v>88036.332264898898</v>
      </c>
      <c r="BG29" s="260">
        <f>SUMPRODUCT(BE6:BE26,BG6:BG26)/BE27</f>
        <v>88031.896595332961</v>
      </c>
      <c r="BJ29" s="260">
        <f>SUMPRODUCT(BH6:BH26,BJ6:BJ26)/BH27</f>
        <v>91311.440195546471</v>
      </c>
      <c r="BM29" s="260">
        <f>SUMPRODUCT(BK6:BK26,BM6:BM26)/BK27</f>
        <v>92155.188462356731</v>
      </c>
      <c r="BP29" s="260">
        <f>SUMPRODUCT(BN6:BN26,BP6:BP26)/BN27</f>
        <v>93950.079306719126</v>
      </c>
      <c r="BS29" s="260">
        <f>SUMPRODUCT(BQ6:BQ26,BS6:BS26)/BQ27</f>
        <v>98355.770881475008</v>
      </c>
      <c r="BV29" s="260">
        <f>SUMPRODUCT(BT6:BT26,BV6:BV26)/BT27</f>
        <v>100293.38019434625</v>
      </c>
      <c r="BY29" s="260">
        <f>SUMPRODUCT(BW6:BW26,BY6:BY26)/BW27</f>
        <v>97742.309575083826</v>
      </c>
    </row>
    <row r="30" spans="1:77">
      <c r="B30"/>
    </row>
    <row r="31" spans="1:77">
      <c r="B31"/>
    </row>
    <row r="32" spans="1:77">
      <c r="A32" s="426" t="s">
        <v>173</v>
      </c>
      <c r="B32" s="426"/>
      <c r="C32" s="426"/>
      <c r="D32" s="426"/>
    </row>
    <row r="33" spans="1:77" ht="15.75" thickBot="1">
      <c r="B33"/>
    </row>
    <row r="34" spans="1:77" s="110" customFormat="1" ht="15.75" thickBot="1">
      <c r="A34" s="129" t="s">
        <v>142</v>
      </c>
      <c r="B34" s="425" t="s">
        <v>80</v>
      </c>
      <c r="C34" s="420"/>
      <c r="D34" s="421"/>
      <c r="E34" s="425" t="s">
        <v>81</v>
      </c>
      <c r="F34" s="420"/>
      <c r="G34" s="421"/>
      <c r="H34" s="425" t="s">
        <v>82</v>
      </c>
      <c r="I34" s="420"/>
      <c r="J34" s="421"/>
      <c r="K34" s="425" t="s">
        <v>83</v>
      </c>
      <c r="L34" s="420"/>
      <c r="M34" s="421"/>
      <c r="N34" s="425" t="s">
        <v>119</v>
      </c>
      <c r="O34" s="420"/>
      <c r="P34" s="421"/>
      <c r="Q34" s="425" t="s">
        <v>143</v>
      </c>
      <c r="R34" s="420"/>
      <c r="S34" s="421"/>
      <c r="T34" s="425" t="s">
        <v>146</v>
      </c>
      <c r="U34" s="420"/>
      <c r="V34" s="421"/>
      <c r="W34" s="425" t="s">
        <v>156</v>
      </c>
      <c r="X34" s="420"/>
      <c r="Y34" s="421"/>
      <c r="Z34" s="425" t="s">
        <v>157</v>
      </c>
      <c r="AA34" s="420"/>
      <c r="AB34" s="421"/>
      <c r="AC34" s="425" t="s">
        <v>158</v>
      </c>
      <c r="AD34" s="420"/>
      <c r="AE34" s="421"/>
      <c r="AF34" s="425" t="s">
        <v>160</v>
      </c>
      <c r="AG34" s="420"/>
      <c r="AH34" s="421"/>
      <c r="AI34" s="425" t="s">
        <v>161</v>
      </c>
      <c r="AJ34" s="420"/>
      <c r="AK34" s="421"/>
      <c r="AL34" s="257" t="s">
        <v>147</v>
      </c>
      <c r="AM34" s="258" t="s">
        <v>120</v>
      </c>
      <c r="AN34" s="259" t="s">
        <v>121</v>
      </c>
      <c r="AP34" s="425" t="s">
        <v>80</v>
      </c>
      <c r="AQ34" s="420"/>
      <c r="AR34" s="421"/>
      <c r="AS34" s="425" t="str">
        <f>AS4</f>
        <v>MAY</v>
      </c>
      <c r="AT34" s="420"/>
      <c r="AU34" s="421"/>
      <c r="AV34" s="425" t="str">
        <f>AV4</f>
        <v>JUNE</v>
      </c>
      <c r="AW34" s="420"/>
      <c r="AX34" s="421"/>
      <c r="AY34" s="425" t="str">
        <f>AY4</f>
        <v>JULY</v>
      </c>
      <c r="AZ34" s="420"/>
      <c r="BA34" s="421"/>
      <c r="BB34" s="425" t="str">
        <f>BB4</f>
        <v>AUGUST</v>
      </c>
      <c r="BC34" s="420"/>
      <c r="BD34" s="421"/>
      <c r="BE34" s="425" t="str">
        <f>BE4</f>
        <v>SEPTEMBER</v>
      </c>
      <c r="BF34" s="420"/>
      <c r="BG34" s="421"/>
      <c r="BH34" s="425" t="str">
        <f>BH4</f>
        <v>OCTOBER</v>
      </c>
      <c r="BI34" s="420"/>
      <c r="BJ34" s="421"/>
      <c r="BK34" s="425" t="str">
        <f>BK4</f>
        <v>NOVEMBER</v>
      </c>
      <c r="BL34" s="420"/>
      <c r="BM34" s="421"/>
      <c r="BN34" s="425" t="str">
        <f>BN4</f>
        <v>DECEMBER</v>
      </c>
      <c r="BO34" s="420"/>
      <c r="BP34" s="421"/>
      <c r="BQ34" s="425" t="str">
        <f>BQ4</f>
        <v>JANUARY 17</v>
      </c>
      <c r="BR34" s="420"/>
      <c r="BS34" s="421"/>
      <c r="BT34" s="422" t="str">
        <f>BT4</f>
        <v>FEBRUARY 17</v>
      </c>
      <c r="BU34" s="423"/>
      <c r="BV34" s="424"/>
      <c r="BW34" s="422" t="str">
        <f>BW4</f>
        <v>MARCH 17</v>
      </c>
      <c r="BX34" s="423"/>
      <c r="BY34" s="424"/>
    </row>
    <row r="35" spans="1:77">
      <c r="A35" t="s">
        <v>144</v>
      </c>
      <c r="B35" s="247" t="s">
        <v>122</v>
      </c>
      <c r="C35" s="104" t="s">
        <v>123</v>
      </c>
      <c r="D35" s="248" t="s">
        <v>108</v>
      </c>
      <c r="E35" s="247" t="s">
        <v>122</v>
      </c>
      <c r="F35" s="104" t="s">
        <v>123</v>
      </c>
      <c r="G35" s="248" t="s">
        <v>108</v>
      </c>
      <c r="H35" s="247" t="s">
        <v>122</v>
      </c>
      <c r="I35" s="104" t="s">
        <v>123</v>
      </c>
      <c r="J35" s="248" t="s">
        <v>108</v>
      </c>
      <c r="K35" s="247" t="s">
        <v>122</v>
      </c>
      <c r="L35" s="104" t="s">
        <v>123</v>
      </c>
      <c r="M35" s="248" t="s">
        <v>108</v>
      </c>
      <c r="N35" s="247" t="s">
        <v>122</v>
      </c>
      <c r="O35" s="104" t="s">
        <v>123</v>
      </c>
      <c r="P35" s="248" t="s">
        <v>108</v>
      </c>
      <c r="Q35" s="247" t="s">
        <v>122</v>
      </c>
      <c r="R35" s="104" t="s">
        <v>123</v>
      </c>
      <c r="S35" s="248" t="s">
        <v>108</v>
      </c>
      <c r="T35" s="247" t="s">
        <v>122</v>
      </c>
      <c r="U35" s="104" t="s">
        <v>123</v>
      </c>
      <c r="V35" s="248" t="s">
        <v>108</v>
      </c>
      <c r="W35" s="247" t="s">
        <v>122</v>
      </c>
      <c r="X35" s="104" t="s">
        <v>123</v>
      </c>
      <c r="Y35" s="248" t="s">
        <v>108</v>
      </c>
      <c r="Z35" s="247" t="s">
        <v>122</v>
      </c>
      <c r="AA35" s="104" t="s">
        <v>123</v>
      </c>
      <c r="AB35" s="248" t="s">
        <v>108</v>
      </c>
      <c r="AC35" s="247" t="s">
        <v>122</v>
      </c>
      <c r="AD35" s="104" t="s">
        <v>123</v>
      </c>
      <c r="AE35" s="248" t="s">
        <v>108</v>
      </c>
      <c r="AF35" s="247" t="s">
        <v>122</v>
      </c>
      <c r="AG35" s="104" t="s">
        <v>123</v>
      </c>
      <c r="AH35" s="248" t="s">
        <v>108</v>
      </c>
      <c r="AI35" s="247" t="s">
        <v>122</v>
      </c>
      <c r="AJ35" s="104" t="s">
        <v>123</v>
      </c>
      <c r="AK35" s="248" t="s">
        <v>108</v>
      </c>
      <c r="AL35" s="247" t="s">
        <v>122</v>
      </c>
      <c r="AM35" s="104" t="s">
        <v>123</v>
      </c>
      <c r="AN35" s="248" t="s">
        <v>108</v>
      </c>
      <c r="AO35" s="282"/>
      <c r="AP35" s="247" t="s">
        <v>122</v>
      </c>
      <c r="AQ35" s="104" t="s">
        <v>123</v>
      </c>
      <c r="AR35" s="248" t="s">
        <v>108</v>
      </c>
      <c r="AS35" s="247" t="s">
        <v>122</v>
      </c>
      <c r="AT35" s="104" t="s">
        <v>123</v>
      </c>
      <c r="AU35" s="248" t="s">
        <v>108</v>
      </c>
      <c r="AV35" s="247" t="s">
        <v>122</v>
      </c>
      <c r="AW35" s="104" t="s">
        <v>123</v>
      </c>
      <c r="AX35" s="248" t="s">
        <v>108</v>
      </c>
      <c r="AY35" s="247" t="s">
        <v>122</v>
      </c>
      <c r="AZ35" s="104" t="s">
        <v>123</v>
      </c>
      <c r="BA35" s="248" t="s">
        <v>108</v>
      </c>
      <c r="BB35" s="247" t="s">
        <v>122</v>
      </c>
      <c r="BC35" s="104" t="s">
        <v>123</v>
      </c>
      <c r="BD35" s="248" t="s">
        <v>108</v>
      </c>
      <c r="BE35" s="247" t="s">
        <v>122</v>
      </c>
      <c r="BF35" s="104" t="s">
        <v>123</v>
      </c>
      <c r="BG35" s="248" t="s">
        <v>108</v>
      </c>
      <c r="BH35" s="247" t="s">
        <v>122</v>
      </c>
      <c r="BI35" s="104" t="s">
        <v>123</v>
      </c>
      <c r="BJ35" s="248" t="s">
        <v>108</v>
      </c>
      <c r="BK35" s="247" t="s">
        <v>122</v>
      </c>
      <c r="BL35" s="104" t="s">
        <v>123</v>
      </c>
      <c r="BM35" s="248" t="s">
        <v>108</v>
      </c>
      <c r="BN35" s="247" t="s">
        <v>122</v>
      </c>
      <c r="BO35" s="104" t="s">
        <v>123</v>
      </c>
      <c r="BP35" s="248" t="s">
        <v>108</v>
      </c>
      <c r="BQ35" s="247" t="s">
        <v>122</v>
      </c>
      <c r="BR35" s="104" t="s">
        <v>123</v>
      </c>
      <c r="BS35" s="104" t="s">
        <v>108</v>
      </c>
      <c r="BT35" s="377" t="s">
        <v>122</v>
      </c>
      <c r="BU35" s="378" t="s">
        <v>123</v>
      </c>
      <c r="BV35" s="379" t="s">
        <v>108</v>
      </c>
      <c r="BW35" s="377" t="s">
        <v>122</v>
      </c>
      <c r="BX35" s="378" t="s">
        <v>123</v>
      </c>
      <c r="BY35" s="379" t="s">
        <v>108</v>
      </c>
    </row>
    <row r="36" spans="1:77">
      <c r="A36" t="s">
        <v>174</v>
      </c>
      <c r="B36" s="249">
        <v>12.931199999999858</v>
      </c>
      <c r="C36" s="250">
        <f t="shared" ref="C36:C54" si="50">B36/B$65</f>
        <v>0.14028867710724127</v>
      </c>
      <c r="D36" s="251">
        <v>143649.50603286174</v>
      </c>
      <c r="E36" s="249">
        <v>5.8672000000000155</v>
      </c>
      <c r="F36" s="250">
        <f t="shared" ref="F36:F54" si="51">E36/E$65</f>
        <v>8.2730740500901484E-2</v>
      </c>
      <c r="G36" s="251">
        <v>143586.97873249216</v>
      </c>
      <c r="H36" s="249">
        <v>7.912800000000014</v>
      </c>
      <c r="I36" s="250">
        <f t="shared" ref="I36:I54" si="52">H36/H$65</f>
        <v>8.9860257691846787E-2</v>
      </c>
      <c r="J36" s="251">
        <v>143640.40395044969</v>
      </c>
      <c r="K36" s="304">
        <v>4.0824000000000096</v>
      </c>
      <c r="L36" s="250">
        <f t="shared" ref="L36:L54" si="53">K36/K$65</f>
        <v>4.5880901164555649E-2</v>
      </c>
      <c r="M36" s="251">
        <v>138672.6065042121</v>
      </c>
      <c r="N36" s="249">
        <v>7.0218000000000105</v>
      </c>
      <c r="O36" s="250">
        <f t="shared" ref="O36:O54" si="54">N36/N$65</f>
        <v>7.7540262702453275E-2</v>
      </c>
      <c r="P36" s="251">
        <v>138706.09854368214</v>
      </c>
      <c r="Q36" s="249">
        <v>4.9920000000000107</v>
      </c>
      <c r="R36" s="250">
        <f t="shared" ref="R36:R54" si="55">Q36/Q$65</f>
        <v>4.8274709648994163E-2</v>
      </c>
      <c r="S36" s="251">
        <v>138918.47362772314</v>
      </c>
      <c r="T36" s="249">
        <v>1.0295999999999998</v>
      </c>
      <c r="U36" s="250">
        <f t="shared" ref="U36:U54" si="56">T36/T$65</f>
        <v>6.3091927254320893E-3</v>
      </c>
      <c r="V36" s="251">
        <v>138523.45368654322</v>
      </c>
      <c r="W36" s="249">
        <v>0.8351999999999995</v>
      </c>
      <c r="X36" s="250">
        <f t="shared" ref="X36:X54" si="57">W36/W$65</f>
        <v>3.6195240246167278E-3</v>
      </c>
      <c r="Y36" s="251">
        <v>138514.72718096134</v>
      </c>
      <c r="Z36" s="249">
        <v>0.6742499999999999</v>
      </c>
      <c r="AA36" s="250">
        <f t="shared" ref="AA36:AA54" si="58">Z36/Z$65</f>
        <v>3.3184501398252262E-3</v>
      </c>
      <c r="AB36" s="251">
        <v>138451.58324063773</v>
      </c>
      <c r="AC36" s="249">
        <v>0.8495999999999998</v>
      </c>
      <c r="AD36" s="250">
        <f t="shared" ref="AD36:AD54" si="59">AC36/AC$65</f>
        <v>4.6434089048678741E-3</v>
      </c>
      <c r="AE36" s="251">
        <v>138276.98917137476</v>
      </c>
      <c r="AF36" s="249">
        <v>1.286697600000001</v>
      </c>
      <c r="AG36" s="250">
        <f t="shared" ref="AG36:AG54" si="60">AF36/AF$65</f>
        <v>1.6545212382673327E-2</v>
      </c>
      <c r="AH36" s="251">
        <v>138111.78321930478</v>
      </c>
      <c r="AI36" s="261">
        <v>2.5266500000000023</v>
      </c>
      <c r="AJ36" s="250">
        <f t="shared" ref="AJ36:AJ54" si="61">AI36/AI$65</f>
        <v>3.0731284524271131E-2</v>
      </c>
      <c r="AK36" s="261">
        <v>138006.81930619583</v>
      </c>
      <c r="AL36" s="249">
        <v>50.009397599999488</v>
      </c>
      <c r="AM36" s="250">
        <f t="shared" ref="AM36:AM54" si="62">AL36/AL$65</f>
        <v>3.3923739171283093E-2</v>
      </c>
      <c r="AN36" s="251">
        <v>141287.87950775569</v>
      </c>
      <c r="AO36" s="303"/>
      <c r="AP36" s="249">
        <v>3.7549999999999999</v>
      </c>
      <c r="AQ36" s="250">
        <f t="shared" ref="AQ36:AQ57" si="63">AP36/AP$65</f>
        <v>4.8474818267841689E-2</v>
      </c>
      <c r="AR36" s="251">
        <v>152958.52996005327</v>
      </c>
      <c r="AS36" s="297">
        <v>3.4920000000000031</v>
      </c>
      <c r="AT36" s="298">
        <f t="shared" ref="AT36:AT57" si="64">AS36/AS$65</f>
        <v>4.0077929306985782E-2</v>
      </c>
      <c r="AU36" s="300">
        <v>138214.72222222222</v>
      </c>
      <c r="AV36" s="297">
        <v>10.200899999999997</v>
      </c>
      <c r="AW36" s="298">
        <f t="shared" ref="AW36:AW60" si="65">AV36/AV$65</f>
        <v>7.7596716153282785E-2</v>
      </c>
      <c r="AX36" s="300">
        <v>138507.1611328412</v>
      </c>
      <c r="AY36" s="249">
        <v>1.3248</v>
      </c>
      <c r="AZ36" s="250">
        <f t="shared" ref="AZ36:AZ60" si="66">AY36/AY$65</f>
        <v>1.0589041405206072E-2</v>
      </c>
      <c r="BA36" s="251">
        <v>138947.08635265692</v>
      </c>
      <c r="BB36" s="249">
        <v>0.50399999999999989</v>
      </c>
      <c r="BC36" s="250">
        <f t="shared" ref="BC36:BC60" si="67">BB36/BB$65</f>
        <v>4.3998580521985558E-3</v>
      </c>
      <c r="BD36" s="251">
        <v>137963.31349206355</v>
      </c>
      <c r="BE36" s="249">
        <v>0.31679999999999992</v>
      </c>
      <c r="BF36" s="250">
        <f t="shared" ref="BF36:BF60" si="68">BE36/BE$65</f>
        <v>2.918734256984969E-3</v>
      </c>
      <c r="BG36" s="251">
        <v>138017.29797979802</v>
      </c>
      <c r="BH36" s="249">
        <v>0.1152</v>
      </c>
      <c r="BI36" s="250">
        <f t="shared" ref="BI36:BI48" si="69">BH36/BH$65</f>
        <v>6.2570067137084561E-4</v>
      </c>
      <c r="BJ36" s="251">
        <v>137972.48263888891</v>
      </c>
      <c r="BK36" s="249">
        <v>0.20880240000000003</v>
      </c>
      <c r="BL36" s="250">
        <f t="shared" ref="BL36:BL60" si="70">BK36/BK$65</f>
        <v>1.0150848045137196E-3</v>
      </c>
      <c r="BM36" s="251">
        <v>137642.86234257845</v>
      </c>
      <c r="BN36" s="249">
        <v>0.19440000000000002</v>
      </c>
      <c r="BO36" s="250">
        <f t="shared" ref="BO36:BO60" si="71">BN36/BN$65</f>
        <v>9.4639274179080977E-4</v>
      </c>
      <c r="BP36" s="251">
        <v>137755.76131687243</v>
      </c>
      <c r="BQ36" s="372">
        <v>0.10079999999999999</v>
      </c>
      <c r="BR36" s="250">
        <f t="shared" ref="BR36:BR60" si="72">BQ36/BQ$65</f>
        <v>4.8771481224721598E-4</v>
      </c>
      <c r="BS36" s="261">
        <v>138064.88095238095</v>
      </c>
      <c r="BT36" s="372">
        <v>0.45360000000000017</v>
      </c>
      <c r="BU36" s="250">
        <f>BT36/BT$65</f>
        <v>3.3955865011063738E-3</v>
      </c>
      <c r="BV36" s="380">
        <v>137982.82627865963</v>
      </c>
      <c r="BW36" s="249">
        <v>0.49680000000000002</v>
      </c>
      <c r="BX36" s="250">
        <f>BW36/BW$65</f>
        <v>4.3830604242993121E-3</v>
      </c>
      <c r="BY36" s="94">
        <v>137972.48389694042</v>
      </c>
    </row>
    <row r="37" spans="1:77">
      <c r="A37" t="s">
        <v>175</v>
      </c>
      <c r="B37" s="249">
        <v>16.819200000000052</v>
      </c>
      <c r="C37" s="250">
        <f t="shared" si="50"/>
        <v>0.18246901432211596</v>
      </c>
      <c r="D37" s="251">
        <v>163146.73982324608</v>
      </c>
      <c r="E37" s="249">
        <v>14.955825000000047</v>
      </c>
      <c r="F37" s="250">
        <f t="shared" si="51"/>
        <v>0.21088534173914228</v>
      </c>
      <c r="G37" s="251">
        <v>163875.15686959066</v>
      </c>
      <c r="H37" s="249">
        <v>16.353525000000062</v>
      </c>
      <c r="I37" s="250">
        <f t="shared" si="52"/>
        <v>0.18571579853781994</v>
      </c>
      <c r="J37" s="251">
        <v>164168.87983380642</v>
      </c>
      <c r="K37" s="304">
        <v>15.048000000000075</v>
      </c>
      <c r="L37" s="250">
        <f t="shared" si="53"/>
        <v>0.16912007660303627</v>
      </c>
      <c r="M37" s="251">
        <v>157644.68050377653</v>
      </c>
      <c r="N37" s="249">
        <v>12.458625000000051</v>
      </c>
      <c r="O37" s="250">
        <f t="shared" si="54"/>
        <v>0.13757797935164123</v>
      </c>
      <c r="P37" s="251">
        <v>158164.7374286413</v>
      </c>
      <c r="Q37" s="249">
        <v>26.337670199999845</v>
      </c>
      <c r="R37" s="250">
        <f t="shared" si="55"/>
        <v>0.25469619025159373</v>
      </c>
      <c r="S37" s="251">
        <v>158412.62298944272</v>
      </c>
      <c r="T37" s="249">
        <v>26.404049999999984</v>
      </c>
      <c r="U37" s="250">
        <f t="shared" si="56"/>
        <v>0.16179899007570422</v>
      </c>
      <c r="V37" s="251">
        <v>138871.46741376404</v>
      </c>
      <c r="W37" s="249">
        <v>45.198971999999948</v>
      </c>
      <c r="X37" s="250">
        <f t="shared" si="57"/>
        <v>0.19587974741616224</v>
      </c>
      <c r="Y37" s="251">
        <v>138055.39787495125</v>
      </c>
      <c r="Z37" s="249">
        <v>42.633899999999919</v>
      </c>
      <c r="AA37" s="250">
        <f t="shared" si="58"/>
        <v>0.20983088085471926</v>
      </c>
      <c r="AB37" s="251">
        <v>142429.95597400208</v>
      </c>
      <c r="AC37" s="249">
        <v>19.915275000000062</v>
      </c>
      <c r="AD37" s="250">
        <f t="shared" si="59"/>
        <v>0.10884506270938425</v>
      </c>
      <c r="AE37" s="251">
        <v>137306.8687226261</v>
      </c>
      <c r="AF37" s="249">
        <v>14.679378000000096</v>
      </c>
      <c r="AG37" s="250">
        <f t="shared" si="60"/>
        <v>0.18875719256454959</v>
      </c>
      <c r="AH37" s="251">
        <v>136597.64603105027</v>
      </c>
      <c r="AI37" s="261">
        <v>12.432600000000072</v>
      </c>
      <c r="AJ37" s="250">
        <f t="shared" si="61"/>
        <v>0.15121594521459447</v>
      </c>
      <c r="AK37" s="261">
        <v>137009.28687482825</v>
      </c>
      <c r="AL37" s="249">
        <v>263.23702019999945</v>
      </c>
      <c r="AM37" s="250">
        <f t="shared" si="62"/>
        <v>0.17856611841072551</v>
      </c>
      <c r="AN37" s="251">
        <v>147459.22633359954</v>
      </c>
      <c r="AO37" s="303"/>
      <c r="AP37" s="249">
        <v>1.5615000000000014</v>
      </c>
      <c r="AQ37" s="250">
        <f t="shared" si="63"/>
        <v>2.0158036944137116E-2</v>
      </c>
      <c r="AR37" s="251">
        <v>138129.01056676256</v>
      </c>
      <c r="AS37" s="297">
        <v>14.837550000000078</v>
      </c>
      <c r="AT37" s="298">
        <f t="shared" si="64"/>
        <v>0.17029160366233376</v>
      </c>
      <c r="AU37" s="300">
        <v>139993.1558781596</v>
      </c>
      <c r="AV37" s="297">
        <v>13.124850000000075</v>
      </c>
      <c r="AW37" s="298">
        <f t="shared" si="65"/>
        <v>9.9838765207424796E-2</v>
      </c>
      <c r="AX37" s="300">
        <v>151259.14886646255</v>
      </c>
      <c r="AY37" s="249">
        <v>16.820875000000026</v>
      </c>
      <c r="AZ37" s="250">
        <f t="shared" si="66"/>
        <v>0.13444817470319745</v>
      </c>
      <c r="BA37" s="251">
        <v>157681.75080071625</v>
      </c>
      <c r="BB37" s="249">
        <v>11.335575000000031</v>
      </c>
      <c r="BC37" s="250">
        <f t="shared" si="67"/>
        <v>9.8958176468354739E-2</v>
      </c>
      <c r="BD37" s="251">
        <v>159065.42985247751</v>
      </c>
      <c r="BE37" s="249">
        <v>9.5149500000000256</v>
      </c>
      <c r="BF37" s="250">
        <f t="shared" si="68"/>
        <v>8.7662911990212158E-2</v>
      </c>
      <c r="BG37" s="251">
        <v>158697.66104919062</v>
      </c>
      <c r="BH37" s="249">
        <v>29.281349999999897</v>
      </c>
      <c r="BI37" s="250">
        <f t="shared" si="69"/>
        <v>0.15903958640316532</v>
      </c>
      <c r="BJ37" s="251">
        <v>158292.34854267325</v>
      </c>
      <c r="BK37" s="249">
        <v>31.900283999999925</v>
      </c>
      <c r="BL37" s="250">
        <f t="shared" si="70"/>
        <v>0.1550819988087879</v>
      </c>
      <c r="BM37" s="251">
        <v>158271.11695933493</v>
      </c>
      <c r="BN37" s="249">
        <v>22.979999999999915</v>
      </c>
      <c r="BO37" s="250">
        <f t="shared" si="71"/>
        <v>0.11187296916848111</v>
      </c>
      <c r="BP37" s="251">
        <v>158382.28241949531</v>
      </c>
      <c r="BQ37" s="372">
        <v>18.262799999999935</v>
      </c>
      <c r="BR37" s="250">
        <f t="shared" si="72"/>
        <v>8.8363472947504212E-2</v>
      </c>
      <c r="BS37" s="261">
        <v>158613.41962897289</v>
      </c>
      <c r="BT37" s="372">
        <v>9.3070500000000287</v>
      </c>
      <c r="BU37" s="250">
        <f t="shared" ref="BU37:BU63" si="73">BT37/BT$65</f>
        <v>6.9671281625048861E-2</v>
      </c>
      <c r="BV37" s="380">
        <v>158963.86287814032</v>
      </c>
      <c r="BW37" s="249">
        <v>7.773150000000026</v>
      </c>
      <c r="BX37" s="250">
        <f t="shared" ref="BX37:BX63" si="74">BW37/BW$65</f>
        <v>6.8579279664135087E-2</v>
      </c>
      <c r="BY37" s="251">
        <v>159020.54636794559</v>
      </c>
    </row>
    <row r="38" spans="1:77">
      <c r="A38" t="s">
        <v>176</v>
      </c>
      <c r="B38" s="249">
        <v>8.5491000000000437</v>
      </c>
      <c r="C38" s="250">
        <f t="shared" si="50"/>
        <v>9.2747922037980671E-2</v>
      </c>
      <c r="D38" s="251">
        <v>164780.31395629139</v>
      </c>
      <c r="E38" s="249">
        <v>4.7088000000000125</v>
      </c>
      <c r="F38" s="250">
        <f t="shared" si="51"/>
        <v>6.6396664656163909E-2</v>
      </c>
      <c r="G38" s="251">
        <v>164829.01697957062</v>
      </c>
      <c r="H38" s="249">
        <v>1.9871999999999981</v>
      </c>
      <c r="I38" s="250">
        <f t="shared" si="52"/>
        <v>2.2567271267470105E-2</v>
      </c>
      <c r="J38" s="251">
        <v>165342.00936972257</v>
      </c>
      <c r="K38" s="304">
        <v>1.569599999999999</v>
      </c>
      <c r="L38" s="250">
        <f t="shared" si="53"/>
        <v>1.7640275932756792E-2</v>
      </c>
      <c r="M38" s="251">
        <v>159257.12569422627</v>
      </c>
      <c r="N38" s="249">
        <v>0.80640000000000012</v>
      </c>
      <c r="O38" s="250">
        <f t="shared" si="54"/>
        <v>8.9049058422709607E-3</v>
      </c>
      <c r="P38" s="251">
        <v>159591.71747551748</v>
      </c>
      <c r="Q38" s="249">
        <v>3.1596000000000073</v>
      </c>
      <c r="R38" s="250">
        <f t="shared" si="55"/>
        <v>3.0554641948510014E-2</v>
      </c>
      <c r="S38" s="251">
        <v>158881.52952183061</v>
      </c>
      <c r="T38" s="249">
        <v>2.0687999999999991</v>
      </c>
      <c r="U38" s="250">
        <f t="shared" si="56"/>
        <v>1.2677212422663075E-2</v>
      </c>
      <c r="V38" s="251">
        <v>158804.71855201124</v>
      </c>
      <c r="W38" s="249">
        <v>0.70799999999999996</v>
      </c>
      <c r="X38" s="250">
        <f t="shared" si="57"/>
        <v>3.068274676040044E-3</v>
      </c>
      <c r="Y38" s="251">
        <v>159142.89077909701</v>
      </c>
      <c r="Z38" s="249">
        <v>0.69000000000000006</v>
      </c>
      <c r="AA38" s="250">
        <f t="shared" si="58"/>
        <v>3.3959667726798765E-3</v>
      </c>
      <c r="AB38" s="251">
        <v>158810.33333333337</v>
      </c>
      <c r="AC38" s="249">
        <v>1.1870999999999998</v>
      </c>
      <c r="AD38" s="250">
        <f t="shared" si="59"/>
        <v>6.487983416865177E-3</v>
      </c>
      <c r="AE38" s="251">
        <v>158667.80389183728</v>
      </c>
      <c r="AF38" s="249">
        <v>0.27990000000000004</v>
      </c>
      <c r="AG38" s="250">
        <f t="shared" si="60"/>
        <v>3.5991401133492916E-3</v>
      </c>
      <c r="AH38" s="251">
        <v>159092.96177206145</v>
      </c>
      <c r="AI38" s="261">
        <v>1.9092</v>
      </c>
      <c r="AJ38" s="250">
        <f t="shared" si="61"/>
        <v>2.3221328008920267E-2</v>
      </c>
      <c r="AK38" s="261">
        <v>158530.19065577205</v>
      </c>
      <c r="AL38" s="249">
        <v>27.623699999999843</v>
      </c>
      <c r="AM38" s="250">
        <f t="shared" si="62"/>
        <v>1.8738461943516336E-2</v>
      </c>
      <c r="AN38" s="251">
        <v>162195.60496123877</v>
      </c>
      <c r="AO38" s="303"/>
      <c r="AP38" s="249">
        <v>0.41010000000000008</v>
      </c>
      <c r="AQ38" s="250">
        <f t="shared" si="63"/>
        <v>5.294147262754163E-3</v>
      </c>
      <c r="AR38" s="251">
        <v>159167.95903438181</v>
      </c>
      <c r="AS38" s="297">
        <v>1.0322999999999996</v>
      </c>
      <c r="AT38" s="298">
        <f t="shared" si="64"/>
        <v>1.184777961729707E-2</v>
      </c>
      <c r="AU38" s="300">
        <v>159119.73263586179</v>
      </c>
      <c r="AV38" s="297">
        <v>12.762300000000002</v>
      </c>
      <c r="AW38" s="298">
        <f t="shared" si="65"/>
        <v>9.7080901740340675E-2</v>
      </c>
      <c r="AX38" s="300">
        <v>158777.07544878274</v>
      </c>
      <c r="AY38" s="249">
        <v>0.59939999999999993</v>
      </c>
      <c r="AZ38" s="250">
        <f t="shared" si="66"/>
        <v>4.7909657444750297E-3</v>
      </c>
      <c r="BA38" s="251">
        <v>159327.67767767774</v>
      </c>
      <c r="BB38" s="249">
        <v>0.93900000000000006</v>
      </c>
      <c r="BC38" s="250">
        <f t="shared" si="67"/>
        <v>8.197354585346121E-3</v>
      </c>
      <c r="BD38" s="251">
        <v>158668.37060702874</v>
      </c>
      <c r="BE38" s="249">
        <v>2.8799999999999999E-2</v>
      </c>
      <c r="BF38" s="250">
        <f t="shared" si="68"/>
        <v>2.6533947790772453E-4</v>
      </c>
      <c r="BG38" s="251">
        <v>158301.04166666666</v>
      </c>
      <c r="BH38" s="249">
        <v>7.2000000000000008E-2</v>
      </c>
      <c r="BI38" s="250">
        <f t="shared" si="69"/>
        <v>3.9106291960677855E-4</v>
      </c>
      <c r="BJ38" s="251">
        <v>158668.33333333331</v>
      </c>
      <c r="BK38" s="249">
        <v>2.7E-2</v>
      </c>
      <c r="BL38" s="250">
        <f t="shared" si="70"/>
        <v>1.3125945737151691E-4</v>
      </c>
      <c r="BM38" s="251">
        <v>158668.14814814815</v>
      </c>
      <c r="BN38" s="249">
        <v>0</v>
      </c>
      <c r="BO38" s="250">
        <f t="shared" si="71"/>
        <v>0</v>
      </c>
      <c r="BP38" s="251">
        <v>0</v>
      </c>
      <c r="BQ38" s="372">
        <v>0</v>
      </c>
      <c r="BR38" s="250">
        <f t="shared" si="72"/>
        <v>0</v>
      </c>
      <c r="BS38" s="261">
        <v>0</v>
      </c>
      <c r="BT38" s="372">
        <v>1.44E-2</v>
      </c>
      <c r="BU38" s="250">
        <f t="shared" si="73"/>
        <v>1.0779639686051977E-4</v>
      </c>
      <c r="BV38" s="380">
        <v>157934.02777777778</v>
      </c>
      <c r="BW38" s="372"/>
      <c r="BX38" s="250">
        <f t="shared" si="74"/>
        <v>0</v>
      </c>
      <c r="BY38" s="380"/>
    </row>
    <row r="39" spans="1:77">
      <c r="A39" t="s">
        <v>177</v>
      </c>
      <c r="B39" s="249">
        <v>15.025250000000002</v>
      </c>
      <c r="C39" s="250">
        <f t="shared" si="50"/>
        <v>0.1630067159819352</v>
      </c>
      <c r="D39" s="251">
        <v>169392.80342489347</v>
      </c>
      <c r="E39" s="249">
        <v>9.9843749999999964</v>
      </c>
      <c r="F39" s="250">
        <f t="shared" si="51"/>
        <v>0.14078516791462467</v>
      </c>
      <c r="G39" s="251">
        <v>173415.429717875</v>
      </c>
      <c r="H39" s="249">
        <v>17.268750000000018</v>
      </c>
      <c r="I39" s="250">
        <f t="shared" si="52"/>
        <v>0.19610938290062657</v>
      </c>
      <c r="J39" s="251">
        <v>171457.00441148243</v>
      </c>
      <c r="K39" s="304">
        <v>13.117500000000016</v>
      </c>
      <c r="L39" s="250">
        <f t="shared" si="53"/>
        <v>0.14742375098619881</v>
      </c>
      <c r="M39" s="251">
        <v>159693.61499290154</v>
      </c>
      <c r="N39" s="249">
        <v>13.981750000000009</v>
      </c>
      <c r="O39" s="250">
        <f t="shared" si="54"/>
        <v>0.15439752884445943</v>
      </c>
      <c r="P39" s="251">
        <v>165027.03118118198</v>
      </c>
      <c r="Q39" s="249">
        <v>11.797000000000018</v>
      </c>
      <c r="R39" s="250">
        <f t="shared" si="55"/>
        <v>0.11408188095536535</v>
      </c>
      <c r="S39" s="251">
        <v>162641.59447041678</v>
      </c>
      <c r="T39" s="249">
        <v>31.542500000000103</v>
      </c>
      <c r="U39" s="250">
        <f t="shared" si="56"/>
        <v>0.19328643312154464</v>
      </c>
      <c r="V39" s="251">
        <v>150746.95410334342</v>
      </c>
      <c r="W39" s="249">
        <v>43.089000000000155</v>
      </c>
      <c r="X39" s="250">
        <f t="shared" si="57"/>
        <v>0.18673571683035303</v>
      </c>
      <c r="Y39" s="251">
        <v>142387.42312845495</v>
      </c>
      <c r="Z39" s="249">
        <v>34.349500000000127</v>
      </c>
      <c r="AA39" s="250">
        <f t="shared" si="58"/>
        <v>0.16905762414227221</v>
      </c>
      <c r="AB39" s="251">
        <v>141809.07640576959</v>
      </c>
      <c r="AC39" s="249">
        <v>22.114500000000067</v>
      </c>
      <c r="AD39" s="250">
        <f t="shared" si="59"/>
        <v>0.12086472013500582</v>
      </c>
      <c r="AE39" s="251">
        <v>142973.71679214961</v>
      </c>
      <c r="AF39" s="249">
        <v>18.963000000000051</v>
      </c>
      <c r="AG39" s="250">
        <f t="shared" si="60"/>
        <v>0.24383884947996709</v>
      </c>
      <c r="AH39" s="251">
        <v>146338.00400780429</v>
      </c>
      <c r="AI39" s="261">
        <v>17.723875000000028</v>
      </c>
      <c r="AJ39" s="250">
        <f t="shared" si="61"/>
        <v>0.21557297033527253</v>
      </c>
      <c r="AK39" s="261">
        <v>145740.71979180598</v>
      </c>
      <c r="AL39" s="249">
        <v>248.9569999999907</v>
      </c>
      <c r="AM39" s="250">
        <f t="shared" si="62"/>
        <v>0.16887930545407923</v>
      </c>
      <c r="AN39" s="251">
        <v>151992.19583511411</v>
      </c>
      <c r="AO39" s="303"/>
      <c r="AP39" s="293">
        <v>8.8049999999999962</v>
      </c>
      <c r="AQ39" s="250">
        <f t="shared" si="63"/>
        <v>0.11366731687039838</v>
      </c>
      <c r="AR39" s="251">
        <v>148528.8074957412</v>
      </c>
      <c r="AS39" s="297">
        <v>17.168000000000024</v>
      </c>
      <c r="AT39" s="298">
        <f t="shared" si="64"/>
        <v>0.19703834202243192</v>
      </c>
      <c r="AU39" s="300">
        <v>152116.81616961767</v>
      </c>
      <c r="AV39" s="297">
        <v>17.921625000000059</v>
      </c>
      <c r="AW39" s="298">
        <f t="shared" si="65"/>
        <v>0.13632711311066489</v>
      </c>
      <c r="AX39" s="300">
        <v>153606.74771400428</v>
      </c>
      <c r="AY39" s="249">
        <v>19.000000000000046</v>
      </c>
      <c r="AZ39" s="250">
        <f t="shared" si="66"/>
        <v>0.15186578102273238</v>
      </c>
      <c r="BA39" s="251">
        <v>152239.68473684174</v>
      </c>
      <c r="BB39" s="249">
        <v>14.380875000000001</v>
      </c>
      <c r="BC39" s="250">
        <f t="shared" si="67"/>
        <v>0.12554327116351374</v>
      </c>
      <c r="BD39" s="251">
        <v>153889.89543404002</v>
      </c>
      <c r="BE39" s="249">
        <v>16.455000000000027</v>
      </c>
      <c r="BF39" s="250">
        <f t="shared" si="68"/>
        <v>0.15160281628373659</v>
      </c>
      <c r="BG39" s="251">
        <v>146135.10179276776</v>
      </c>
      <c r="BH39" s="249">
        <v>36.104375000000097</v>
      </c>
      <c r="BI39" s="250">
        <f t="shared" si="69"/>
        <v>0.19609836525108362</v>
      </c>
      <c r="BJ39" s="251">
        <v>149667.2303564313</v>
      </c>
      <c r="BK39" s="249">
        <v>38.140375000000056</v>
      </c>
      <c r="BL39" s="250">
        <f t="shared" si="70"/>
        <v>0.18541796023874729</v>
      </c>
      <c r="BM39" s="251">
        <v>160955.80077542429</v>
      </c>
      <c r="BN39" s="249">
        <v>34.363250000000065</v>
      </c>
      <c r="BO39" s="250">
        <f t="shared" si="71"/>
        <v>0.16728976535155918</v>
      </c>
      <c r="BP39" s="251">
        <v>163553.36238568704</v>
      </c>
      <c r="BQ39" s="372">
        <v>29.924500000000034</v>
      </c>
      <c r="BR39" s="250">
        <f t="shared" si="72"/>
        <v>0.14478791566559357</v>
      </c>
      <c r="BS39" s="261">
        <v>163258.49187120851</v>
      </c>
      <c r="BT39" s="372">
        <v>18.915000000000013</v>
      </c>
      <c r="BU39" s="250">
        <f t="shared" si="73"/>
        <v>0.14159505879282866</v>
      </c>
      <c r="BV39" s="380">
        <v>161953.85567010273</v>
      </c>
      <c r="BW39" s="249">
        <v>14.578999999999983</v>
      </c>
      <c r="BX39" s="250">
        <f t="shared" si="74"/>
        <v>0.1286244724755628</v>
      </c>
      <c r="BY39" s="251">
        <v>164475.20131696275</v>
      </c>
    </row>
    <row r="40" spans="1:77">
      <c r="A40" t="s">
        <v>178</v>
      </c>
      <c r="B40" s="249">
        <v>5.8392000000000222</v>
      </c>
      <c r="C40" s="250">
        <f t="shared" si="50"/>
        <v>6.3348617557892187E-2</v>
      </c>
      <c r="D40" s="251">
        <v>143662.62910328817</v>
      </c>
      <c r="E40" s="249">
        <v>6.9976500000000215</v>
      </c>
      <c r="F40" s="250">
        <f t="shared" si="51"/>
        <v>9.8670706003908773E-2</v>
      </c>
      <c r="G40" s="251">
        <v>143699.64432639212</v>
      </c>
      <c r="H40" s="249">
        <v>7.2432000000000176</v>
      </c>
      <c r="I40" s="250">
        <f t="shared" si="52"/>
        <v>8.2256068460416665E-2</v>
      </c>
      <c r="J40" s="251">
        <v>143852.99180507657</v>
      </c>
      <c r="K40" s="304">
        <v>8.575199999999997</v>
      </c>
      <c r="L40" s="250">
        <f t="shared" si="53"/>
        <v>9.6374168054648379E-2</v>
      </c>
      <c r="M40" s="251">
        <v>138845.92604799932</v>
      </c>
      <c r="N40" s="249">
        <v>5.1408000000000111</v>
      </c>
      <c r="O40" s="250">
        <f t="shared" si="54"/>
        <v>5.6768774744477495E-2</v>
      </c>
      <c r="P40" s="251">
        <v>138793.32732877095</v>
      </c>
      <c r="Q40" s="249">
        <v>8.1011500000000183</v>
      </c>
      <c r="R40" s="250">
        <f t="shared" si="55"/>
        <v>7.8341479181279872E-2</v>
      </c>
      <c r="S40" s="251">
        <v>138724.93279576403</v>
      </c>
      <c r="T40" s="249">
        <v>8.4024000000000143</v>
      </c>
      <c r="U40" s="250">
        <f t="shared" si="56"/>
        <v>5.1488307066987843E-2</v>
      </c>
      <c r="V40" s="251">
        <v>138499.96603873043</v>
      </c>
      <c r="W40" s="249">
        <v>12.592799999999979</v>
      </c>
      <c r="X40" s="250">
        <f t="shared" si="57"/>
        <v>5.4573685509091814E-2</v>
      </c>
      <c r="Y40" s="251">
        <v>138453.46327300699</v>
      </c>
      <c r="Z40" s="249">
        <v>12.448799999999984</v>
      </c>
      <c r="AA40" s="250">
        <f t="shared" si="58"/>
        <v>6.1269146608314763E-2</v>
      </c>
      <c r="AB40" s="251">
        <v>138428.93612235723</v>
      </c>
      <c r="AC40" s="249">
        <v>8.9765999999999977</v>
      </c>
      <c r="AD40" s="250">
        <f t="shared" si="59"/>
        <v>4.9060763153762899E-2</v>
      </c>
      <c r="AE40" s="251">
        <v>138156.19388187063</v>
      </c>
      <c r="AF40" s="249">
        <v>6.2496000000000125</v>
      </c>
      <c r="AG40" s="250">
        <f t="shared" si="60"/>
        <v>8.03615078684808E-2</v>
      </c>
      <c r="AH40" s="251">
        <v>138212.27758576555</v>
      </c>
      <c r="AI40" s="261">
        <v>7.8777500000000096</v>
      </c>
      <c r="AJ40" s="250">
        <f t="shared" si="61"/>
        <v>9.5815952609612329E-2</v>
      </c>
      <c r="AK40" s="261">
        <v>138187.91913934809</v>
      </c>
      <c r="AL40" s="249">
        <v>98.44514999999771</v>
      </c>
      <c r="AM40" s="250">
        <f t="shared" si="62"/>
        <v>6.6780000390922453E-2</v>
      </c>
      <c r="AN40" s="251">
        <v>139544.09829908735</v>
      </c>
      <c r="AO40" s="303"/>
      <c r="AP40" s="249">
        <v>5.6592000000000109</v>
      </c>
      <c r="AQ40" s="250">
        <f t="shared" si="63"/>
        <v>7.3056908532988074E-2</v>
      </c>
      <c r="AR40" s="251">
        <v>138102.33601922524</v>
      </c>
      <c r="AS40" s="297">
        <v>6.3264000000000156</v>
      </c>
      <c r="AT40" s="298">
        <f t="shared" si="64"/>
        <v>7.260853721870425E-2</v>
      </c>
      <c r="AU40" s="300">
        <v>138182.98400354054</v>
      </c>
      <c r="AV40" s="297">
        <v>7.5240000000000151</v>
      </c>
      <c r="AW40" s="298">
        <f t="shared" si="65"/>
        <v>5.7233939391357722E-2</v>
      </c>
      <c r="AX40" s="300">
        <v>138215.95029239764</v>
      </c>
      <c r="AY40" s="249">
        <v>5.3912000000000129</v>
      </c>
      <c r="AZ40" s="250">
        <f t="shared" si="66"/>
        <v>4.3091515718408149E-2</v>
      </c>
      <c r="BA40" s="251">
        <v>138227.72295592821</v>
      </c>
      <c r="BB40" s="249">
        <v>7.236000000000014</v>
      </c>
      <c r="BC40" s="250">
        <f t="shared" si="67"/>
        <v>6.316939060656511E-2</v>
      </c>
      <c r="BD40" s="251">
        <v>138079.0409065781</v>
      </c>
      <c r="BE40" s="249">
        <v>5.6360000000000063</v>
      </c>
      <c r="BF40" s="250">
        <f t="shared" si="68"/>
        <v>5.1925461718331151E-2</v>
      </c>
      <c r="BG40" s="251">
        <v>137954.05251951737</v>
      </c>
      <c r="BH40" s="249">
        <v>4.701600000000008</v>
      </c>
      <c r="BI40" s="250">
        <f t="shared" si="69"/>
        <v>2.5536408650322681E-2</v>
      </c>
      <c r="BJ40" s="251">
        <v>137886.53649821307</v>
      </c>
      <c r="BK40" s="249">
        <v>6.1334000000000071</v>
      </c>
      <c r="BL40" s="250">
        <f t="shared" si="70"/>
        <v>2.9817287253424547E-2</v>
      </c>
      <c r="BM40" s="251">
        <v>137667.91176182849</v>
      </c>
      <c r="BN40" s="249">
        <v>17.186399999999967</v>
      </c>
      <c r="BO40" s="250">
        <f t="shared" si="71"/>
        <v>8.3668128690913279E-2</v>
      </c>
      <c r="BP40" s="251">
        <v>137867.3672205933</v>
      </c>
      <c r="BQ40" s="372">
        <v>9.1799999999999944</v>
      </c>
      <c r="BR40" s="250">
        <f t="shared" si="72"/>
        <v>4.4416884686800003E-2</v>
      </c>
      <c r="BS40" s="261">
        <v>137949.49128540297</v>
      </c>
      <c r="BT40" s="372">
        <v>2.1160500000000013</v>
      </c>
      <c r="BU40" s="250">
        <f t="shared" si="73"/>
        <v>1.5840455942826598E-2</v>
      </c>
      <c r="BV40" s="380">
        <v>138021.28494128195</v>
      </c>
      <c r="BW40" s="249">
        <v>11.462399999999977</v>
      </c>
      <c r="BX40" s="250">
        <f t="shared" si="74"/>
        <v>0.10112800283310858</v>
      </c>
      <c r="BY40" s="94">
        <v>137989.79882049168</v>
      </c>
    </row>
    <row r="41" spans="1:77">
      <c r="A41" t="s">
        <v>179</v>
      </c>
      <c r="B41" s="249">
        <v>7.1054999999999904</v>
      </c>
      <c r="C41" s="250">
        <f t="shared" si="50"/>
        <v>7.7086519053569086E-2</v>
      </c>
      <c r="D41" s="251">
        <v>157067.57907018979</v>
      </c>
      <c r="E41" s="249">
        <v>4.8279999999999923</v>
      </c>
      <c r="F41" s="250">
        <f t="shared" si="51"/>
        <v>6.8077450084938415E-2</v>
      </c>
      <c r="G41" s="251">
        <v>157627.12645715656</v>
      </c>
      <c r="H41" s="249">
        <v>6.9179999999999966</v>
      </c>
      <c r="I41" s="250">
        <f t="shared" si="52"/>
        <v>7.8562994478843726E-2</v>
      </c>
      <c r="J41" s="251">
        <v>158102.14631543637</v>
      </c>
      <c r="K41" s="304">
        <v>4.4849999999999941</v>
      </c>
      <c r="L41" s="250">
        <f t="shared" si="53"/>
        <v>5.0405604968408617E-2</v>
      </c>
      <c r="M41" s="251">
        <v>152671.72866705179</v>
      </c>
      <c r="N41" s="249">
        <v>2.1329999999999987</v>
      </c>
      <c r="O41" s="250">
        <f t="shared" si="54"/>
        <v>2.3554271033685448E-2</v>
      </c>
      <c r="P41" s="251">
        <v>152676.41602912481</v>
      </c>
      <c r="Q41" s="249">
        <v>1.3949999999999996</v>
      </c>
      <c r="R41" s="250">
        <f t="shared" si="55"/>
        <v>1.3490228357441245E-2</v>
      </c>
      <c r="S41" s="251">
        <v>152190.78991984631</v>
      </c>
      <c r="T41" s="249">
        <v>3.0005000000000011</v>
      </c>
      <c r="U41" s="250">
        <f t="shared" si="56"/>
        <v>1.8386492591937639E-2</v>
      </c>
      <c r="V41" s="251">
        <v>152552.49988787281</v>
      </c>
      <c r="W41" s="249">
        <v>1.2195</v>
      </c>
      <c r="X41" s="250">
        <f t="shared" si="57"/>
        <v>5.2849731178401613E-3</v>
      </c>
      <c r="Y41" s="251">
        <v>151752.60343102281</v>
      </c>
      <c r="Z41" s="249">
        <v>2.3095000000000008</v>
      </c>
      <c r="AA41" s="250">
        <f t="shared" si="58"/>
        <v>1.1366645306527793E-2</v>
      </c>
      <c r="AB41" s="251">
        <v>153855.30201342283</v>
      </c>
      <c r="AC41" s="249">
        <v>2.4564999999999997</v>
      </c>
      <c r="AD41" s="250">
        <f t="shared" si="59"/>
        <v>1.3425769744359621E-2</v>
      </c>
      <c r="AE41" s="251">
        <v>152942.99613270923</v>
      </c>
      <c r="AF41" s="249">
        <v>1.6369999999999998</v>
      </c>
      <c r="AG41" s="250">
        <f t="shared" si="60"/>
        <v>2.1049633317444763E-2</v>
      </c>
      <c r="AH41" s="251">
        <v>152676.51191203421</v>
      </c>
      <c r="AI41" s="261">
        <v>4.7650000000000006</v>
      </c>
      <c r="AJ41" s="250">
        <f t="shared" si="61"/>
        <v>5.7956017160331594E-2</v>
      </c>
      <c r="AK41" s="261">
        <v>152452.55613850997</v>
      </c>
      <c r="AL41" s="249">
        <v>42.252500000000467</v>
      </c>
      <c r="AM41" s="250">
        <f t="shared" si="62"/>
        <v>2.8661868731141633E-2</v>
      </c>
      <c r="AN41" s="251">
        <v>154871.61692269627</v>
      </c>
      <c r="AO41" s="303"/>
      <c r="AP41" s="249">
        <v>3.924300000000005</v>
      </c>
      <c r="AQ41" s="250">
        <f t="shared" si="63"/>
        <v>5.0660380646735392E-2</v>
      </c>
      <c r="AR41" s="251">
        <v>157861.04528196086</v>
      </c>
      <c r="AS41" s="297">
        <v>1.9349999999999987</v>
      </c>
      <c r="AT41" s="298">
        <f t="shared" si="64"/>
        <v>2.2208130930417343E-2</v>
      </c>
      <c r="AU41" s="300">
        <v>153634.30490956077</v>
      </c>
      <c r="AV41" s="297">
        <v>4.1399999999999988</v>
      </c>
      <c r="AW41" s="298">
        <f t="shared" si="65"/>
        <v>3.1492358995244607E-2</v>
      </c>
      <c r="AX41" s="300">
        <v>152094.57971014499</v>
      </c>
      <c r="AY41" s="249">
        <v>3.0299999999999989</v>
      </c>
      <c r="AZ41" s="250">
        <f t="shared" si="66"/>
        <v>2.4218595605204098E-2</v>
      </c>
      <c r="BA41" s="251">
        <v>152657.49834983508</v>
      </c>
      <c r="BB41" s="249">
        <v>1.3949999999999998</v>
      </c>
      <c r="BC41" s="250">
        <f t="shared" si="67"/>
        <v>1.2178178537335289E-2</v>
      </c>
      <c r="BD41" s="251">
        <v>151871.9641577061</v>
      </c>
      <c r="BE41" s="249">
        <v>0.58500000000000008</v>
      </c>
      <c r="BF41" s="250">
        <f t="shared" si="68"/>
        <v>5.3897081450006547E-3</v>
      </c>
      <c r="BG41" s="251">
        <v>152198.42735042734</v>
      </c>
      <c r="BH41" s="249">
        <v>0.21000000000000002</v>
      </c>
      <c r="BI41" s="250">
        <f t="shared" si="69"/>
        <v>1.1406001821864375E-3</v>
      </c>
      <c r="BJ41" s="251">
        <v>152394.28571428568</v>
      </c>
      <c r="BK41" s="249">
        <v>0.15000000000000002</v>
      </c>
      <c r="BL41" s="250">
        <f t="shared" si="70"/>
        <v>7.2921920761953856E-4</v>
      </c>
      <c r="BM41" s="251">
        <v>152056.93333333329</v>
      </c>
      <c r="BN41" s="249">
        <v>0</v>
      </c>
      <c r="BO41" s="250">
        <f t="shared" si="71"/>
        <v>0</v>
      </c>
      <c r="BP41" s="251">
        <v>0</v>
      </c>
      <c r="BQ41" s="372">
        <v>2.1279999999999997</v>
      </c>
      <c r="BR41" s="250">
        <f t="shared" si="72"/>
        <v>1.029620159188567E-2</v>
      </c>
      <c r="BS41" s="261">
        <v>151269.94830827072</v>
      </c>
      <c r="BT41" s="372">
        <v>1.125</v>
      </c>
      <c r="BU41" s="250">
        <f t="shared" si="73"/>
        <v>8.4215935047281063E-3</v>
      </c>
      <c r="BV41" s="380">
        <v>151367.12</v>
      </c>
      <c r="BW41" s="249">
        <v>1.3950000000000002</v>
      </c>
      <c r="BX41" s="250">
        <f t="shared" si="74"/>
        <v>1.2307506626202782E-2</v>
      </c>
      <c r="BY41" s="251">
        <v>151343.79928315413</v>
      </c>
    </row>
    <row r="42" spans="1:77">
      <c r="A42" t="s">
        <v>180</v>
      </c>
      <c r="B42" s="249">
        <v>4.4496000000000109</v>
      </c>
      <c r="C42" s="250">
        <f t="shared" si="50"/>
        <v>4.8273052590354276E-2</v>
      </c>
      <c r="D42" s="251">
        <v>165047.16321862084</v>
      </c>
      <c r="E42" s="249">
        <v>0.77422499999999983</v>
      </c>
      <c r="F42" s="250">
        <f t="shared" si="51"/>
        <v>1.0916997471419122E-2</v>
      </c>
      <c r="G42" s="251">
        <v>167299.50743342901</v>
      </c>
      <c r="H42" s="249">
        <v>0.27359999999999995</v>
      </c>
      <c r="I42" s="250">
        <f t="shared" si="52"/>
        <v>3.1070880730574807E-3</v>
      </c>
      <c r="J42" s="251">
        <v>164871.58285383982</v>
      </c>
      <c r="K42" s="304">
        <v>8.6399999999999991E-2</v>
      </c>
      <c r="L42" s="250">
        <f t="shared" si="53"/>
        <v>9.7102436327101669E-4</v>
      </c>
      <c r="M42" s="251">
        <v>159418.30930936386</v>
      </c>
      <c r="N42" s="249">
        <v>9.2700000000000005E-2</v>
      </c>
      <c r="O42" s="250">
        <f t="shared" si="54"/>
        <v>1.0236666314217735E-3</v>
      </c>
      <c r="P42" s="251">
        <v>160232.323998281</v>
      </c>
      <c r="Q42" s="249">
        <v>7.1999999999999995E-2</v>
      </c>
      <c r="R42" s="250">
        <f t="shared" si="55"/>
        <v>6.9626985070664511E-4</v>
      </c>
      <c r="S42" s="251">
        <v>154850.79503185654</v>
      </c>
      <c r="T42" s="249">
        <v>7.1999999999999995E-2</v>
      </c>
      <c r="U42" s="250">
        <f t="shared" si="56"/>
        <v>4.4120228849175454E-4</v>
      </c>
      <c r="V42" s="251">
        <v>151309.85501901925</v>
      </c>
      <c r="W42" s="249">
        <v>2.8799999999999999E-2</v>
      </c>
      <c r="X42" s="250">
        <f t="shared" si="57"/>
        <v>1.2481117326264586E-4</v>
      </c>
      <c r="Y42" s="251">
        <v>149470.22152334722</v>
      </c>
      <c r="Z42" s="249">
        <v>-5.9999999999999995E-4</v>
      </c>
      <c r="AA42" s="250">
        <f t="shared" si="58"/>
        <v>-2.9530145849390223E-6</v>
      </c>
      <c r="AB42" s="251">
        <v>103466.66666666667</v>
      </c>
      <c r="AC42" s="249"/>
      <c r="AD42" s="250">
        <f t="shared" si="59"/>
        <v>0</v>
      </c>
      <c r="AE42" s="251">
        <v>0</v>
      </c>
      <c r="AF42" s="249">
        <v>4.3200000000000002E-2</v>
      </c>
      <c r="AG42" s="250">
        <f t="shared" si="60"/>
        <v>5.5549429402175553E-4</v>
      </c>
      <c r="AH42" s="251">
        <v>157970.13888888888</v>
      </c>
      <c r="AI42" s="261">
        <v>-0.19462499999999994</v>
      </c>
      <c r="AJ42" s="250">
        <f t="shared" si="61"/>
        <v>-2.3671961888414549E-3</v>
      </c>
      <c r="AK42" s="261">
        <v>126710.34039820175</v>
      </c>
      <c r="AL42" s="249">
        <v>5.6973000000000242</v>
      </c>
      <c r="AM42" s="250">
        <f t="shared" si="62"/>
        <v>3.8647479964956421E-3</v>
      </c>
      <c r="AN42" s="251">
        <v>166062.34553411894</v>
      </c>
      <c r="AO42" s="303"/>
      <c r="AP42" s="249">
        <v>1.8449999999999995</v>
      </c>
      <c r="AQ42" s="250">
        <f t="shared" si="63"/>
        <v>2.3817853449844981E-2</v>
      </c>
      <c r="AR42" s="251">
        <v>151583.82113821141</v>
      </c>
      <c r="AS42" s="297"/>
      <c r="AT42" s="298">
        <f t="shared" si="64"/>
        <v>0</v>
      </c>
      <c r="AU42" s="300"/>
      <c r="AV42" s="297">
        <v>-1.9200000000000002E-2</v>
      </c>
      <c r="AW42" s="298">
        <f t="shared" si="65"/>
        <v>-1.4605151997794605E-4</v>
      </c>
      <c r="AX42" s="300">
        <v>124175.52083333333</v>
      </c>
      <c r="AY42" s="249"/>
      <c r="AZ42" s="250">
        <f t="shared" si="66"/>
        <v>0</v>
      </c>
      <c r="BA42" s="251"/>
      <c r="BB42" s="249"/>
      <c r="BC42" s="250">
        <f t="shared" si="67"/>
        <v>0</v>
      </c>
      <c r="BD42" s="251"/>
      <c r="BE42" s="249">
        <v>-6.0000000000000001E-3</v>
      </c>
      <c r="BF42" s="250">
        <f t="shared" si="68"/>
        <v>-5.5279057897442608E-5</v>
      </c>
      <c r="BG42" s="251">
        <v>144870</v>
      </c>
      <c r="BH42" s="249">
        <v>1.1999999999999997E-3</v>
      </c>
      <c r="BI42" s="250">
        <f t="shared" si="69"/>
        <v>6.5177153267796398E-6</v>
      </c>
      <c r="BJ42" s="251">
        <v>479450.00000000023</v>
      </c>
      <c r="BK42" s="249">
        <v>-2.64E-2</v>
      </c>
      <c r="BL42" s="250">
        <f t="shared" si="70"/>
        <v>-1.2834258054103876E-4</v>
      </c>
      <c r="BM42" s="251">
        <v>114453.0303030303</v>
      </c>
      <c r="BN42" s="249">
        <v>0.28800000000000003</v>
      </c>
      <c r="BO42" s="250">
        <f t="shared" si="71"/>
        <v>1.4020633211715701E-3</v>
      </c>
      <c r="BP42" s="251">
        <v>153704.27083333331</v>
      </c>
      <c r="BQ42" s="372">
        <v>0</v>
      </c>
      <c r="BR42" s="250">
        <f t="shared" si="72"/>
        <v>0</v>
      </c>
      <c r="BS42" s="261">
        <v>0</v>
      </c>
      <c r="BT42" s="372">
        <v>0</v>
      </c>
      <c r="BU42" s="250">
        <f t="shared" si="73"/>
        <v>0</v>
      </c>
      <c r="BV42" s="380">
        <v>0</v>
      </c>
      <c r="BW42" s="372"/>
      <c r="BX42" s="250">
        <f t="shared" si="74"/>
        <v>0</v>
      </c>
      <c r="BY42" s="380"/>
    </row>
    <row r="43" spans="1:77">
      <c r="A43" t="s">
        <v>181</v>
      </c>
      <c r="B43" s="249">
        <v>6.1649999999999956</v>
      </c>
      <c r="C43" s="250">
        <f t="shared" si="50"/>
        <v>6.6883173593027048E-2</v>
      </c>
      <c r="D43" s="251">
        <v>167860.08165805225</v>
      </c>
      <c r="E43" s="249">
        <v>3.5066249999999997</v>
      </c>
      <c r="F43" s="250">
        <f t="shared" si="51"/>
        <v>4.9445337283367342E-2</v>
      </c>
      <c r="G43" s="251">
        <v>167959.57352022818</v>
      </c>
      <c r="H43" s="249">
        <v>0.94500000000000051</v>
      </c>
      <c r="I43" s="250">
        <f t="shared" si="52"/>
        <v>1.0731718673389332E-2</v>
      </c>
      <c r="J43" s="251">
        <v>166956.84252382832</v>
      </c>
      <c r="K43" s="304">
        <v>1.0500000000000003</v>
      </c>
      <c r="L43" s="250">
        <f t="shared" si="53"/>
        <v>1.1800643303640833E-2</v>
      </c>
      <c r="M43" s="251">
        <v>154582.13364501149</v>
      </c>
      <c r="N43" s="249">
        <v>0.37400000000000017</v>
      </c>
      <c r="O43" s="250">
        <f t="shared" si="54"/>
        <v>4.1300034536326151E-3</v>
      </c>
      <c r="P43" s="251">
        <v>165543.42473464608</v>
      </c>
      <c r="Q43" s="249">
        <v>0.42850000000000021</v>
      </c>
      <c r="R43" s="250">
        <f t="shared" si="55"/>
        <v>4.1437726531638559E-3</v>
      </c>
      <c r="S43" s="251">
        <v>157691.10310686691</v>
      </c>
      <c r="T43" s="249">
        <v>0.36050000000000004</v>
      </c>
      <c r="U43" s="250">
        <f t="shared" si="56"/>
        <v>2.209075347239966E-3</v>
      </c>
      <c r="V43" s="251">
        <v>170864.72802354305</v>
      </c>
      <c r="W43" s="249">
        <v>0.18000000000000005</v>
      </c>
      <c r="X43" s="250">
        <f t="shared" si="57"/>
        <v>7.8006983289153687E-4</v>
      </c>
      <c r="Y43" s="251">
        <v>168286.60728298657</v>
      </c>
      <c r="Z43" s="249">
        <v>7.4499999999999997E-2</v>
      </c>
      <c r="AA43" s="250">
        <f t="shared" si="58"/>
        <v>3.6666597762992863E-4</v>
      </c>
      <c r="AB43" s="251">
        <v>173662.81879194631</v>
      </c>
      <c r="AC43" s="249"/>
      <c r="AD43" s="250">
        <f t="shared" si="59"/>
        <v>0</v>
      </c>
      <c r="AE43" s="251">
        <v>0</v>
      </c>
      <c r="AF43" s="249"/>
      <c r="AG43" s="250">
        <f t="shared" si="60"/>
        <v>0</v>
      </c>
      <c r="AH43" s="251">
        <v>0</v>
      </c>
      <c r="AI43" s="261">
        <v>-2.1999999999999999E-2</v>
      </c>
      <c r="AJ43" s="250">
        <f t="shared" si="61"/>
        <v>-2.6758287041496221E-4</v>
      </c>
      <c r="AK43" s="261">
        <v>94759.545454545485</v>
      </c>
      <c r="AL43" s="249">
        <v>13.062125000000034</v>
      </c>
      <c r="AM43" s="250">
        <f t="shared" si="62"/>
        <v>8.8606570522397551E-3</v>
      </c>
      <c r="AN43" s="251">
        <v>166599.1920705871</v>
      </c>
      <c r="AO43" s="303"/>
      <c r="AP43" s="249">
        <v>1.8135000000000012</v>
      </c>
      <c r="AQ43" s="250">
        <f t="shared" si="63"/>
        <v>2.3411207171433013E-2</v>
      </c>
      <c r="AR43" s="251">
        <v>138127.90736145558</v>
      </c>
      <c r="AS43" s="297">
        <v>0</v>
      </c>
      <c r="AT43" s="298">
        <f t="shared" si="64"/>
        <v>0</v>
      </c>
      <c r="AU43" s="300">
        <v>0</v>
      </c>
      <c r="AV43" s="297">
        <v>-1.7500000000000002E-2</v>
      </c>
      <c r="AW43" s="298">
        <f t="shared" si="65"/>
        <v>-1.3311987497989877E-4</v>
      </c>
      <c r="AX43" s="300">
        <v>66226.857142857145</v>
      </c>
      <c r="AY43" s="249">
        <v>0</v>
      </c>
      <c r="AZ43" s="250">
        <f t="shared" si="66"/>
        <v>0</v>
      </c>
      <c r="BA43" s="251">
        <v>0</v>
      </c>
      <c r="BB43" s="249">
        <v>-5.0000000000000001E-4</v>
      </c>
      <c r="BC43" s="250">
        <f t="shared" si="67"/>
        <v>-4.3649385438477742E-6</v>
      </c>
      <c r="BD43" s="251">
        <v>136600</v>
      </c>
      <c r="BE43" s="249">
        <v>0</v>
      </c>
      <c r="BF43" s="250">
        <f t="shared" si="68"/>
        <v>0</v>
      </c>
      <c r="BG43" s="251">
        <v>0</v>
      </c>
      <c r="BH43" s="249">
        <v>-1.5E-3</v>
      </c>
      <c r="BI43" s="250">
        <f t="shared" si="69"/>
        <v>-8.1471441584745525E-6</v>
      </c>
      <c r="BJ43" s="251">
        <v>137873.33333333334</v>
      </c>
      <c r="BK43" s="249">
        <v>-4.1250000000000002E-3</v>
      </c>
      <c r="BL43" s="250">
        <f t="shared" si="70"/>
        <v>-2.0053528209537307E-5</v>
      </c>
      <c r="BM43" s="251">
        <v>116307.8787878788</v>
      </c>
      <c r="BN43" s="249">
        <v>-1.4999999999999999E-2</v>
      </c>
      <c r="BO43" s="250">
        <f t="shared" si="71"/>
        <v>-7.3024131311019266E-5</v>
      </c>
      <c r="BP43" s="251">
        <v>192268</v>
      </c>
      <c r="BQ43" s="372">
        <v>0</v>
      </c>
      <c r="BR43" s="250">
        <f t="shared" si="72"/>
        <v>0</v>
      </c>
      <c r="BS43" s="261">
        <v>0</v>
      </c>
      <c r="BT43" s="372">
        <v>0</v>
      </c>
      <c r="BU43" s="250">
        <f t="shared" si="73"/>
        <v>0</v>
      </c>
      <c r="BV43" s="380">
        <v>0</v>
      </c>
      <c r="BW43" s="249">
        <v>-5.0000000000000001E-4</v>
      </c>
      <c r="BX43" s="250">
        <f t="shared" si="74"/>
        <v>-4.4112926975637204E-6</v>
      </c>
      <c r="BY43" s="380">
        <v>618559.99999999988</v>
      </c>
    </row>
    <row r="44" spans="1:77">
      <c r="A44" t="s">
        <v>182</v>
      </c>
      <c r="B44" s="249">
        <v>4.4064000000000103</v>
      </c>
      <c r="C44" s="250">
        <f t="shared" si="50"/>
        <v>4.7804382176855682E-2</v>
      </c>
      <c r="D44" s="251">
        <v>143534.03837142445</v>
      </c>
      <c r="E44" s="249">
        <v>6.4224000000000157</v>
      </c>
      <c r="F44" s="250">
        <f t="shared" si="51"/>
        <v>9.0559365249691437E-2</v>
      </c>
      <c r="G44" s="251">
        <v>143568.66609712286</v>
      </c>
      <c r="H44" s="249">
        <v>8.0784000000000091</v>
      </c>
      <c r="I44" s="250">
        <f t="shared" si="52"/>
        <v>9.1740863630802569E-2</v>
      </c>
      <c r="J44" s="251">
        <v>143709.05694429256</v>
      </c>
      <c r="K44" s="304">
        <v>7.1784000000000106</v>
      </c>
      <c r="L44" s="250">
        <f t="shared" si="53"/>
        <v>8.0675940848433769E-2</v>
      </c>
      <c r="M44" s="251">
        <v>138763.03448335646</v>
      </c>
      <c r="N44" s="249">
        <v>4.2192000000000078</v>
      </c>
      <c r="O44" s="250">
        <f t="shared" si="54"/>
        <v>4.6591739496167787E-2</v>
      </c>
      <c r="P44" s="251">
        <v>138450.35263574537</v>
      </c>
      <c r="Q44" s="249">
        <v>6.3288000000000135</v>
      </c>
      <c r="R44" s="250">
        <f t="shared" si="55"/>
        <v>6.1202119877114242E-2</v>
      </c>
      <c r="S44" s="251">
        <v>138531.81772035663</v>
      </c>
      <c r="T44" s="249">
        <v>5.8536000000000143</v>
      </c>
      <c r="U44" s="250">
        <f t="shared" si="56"/>
        <v>3.5869746054379731E-2</v>
      </c>
      <c r="V44" s="251">
        <v>138763.41009970877</v>
      </c>
      <c r="W44" s="249">
        <v>5.7960000000000171</v>
      </c>
      <c r="X44" s="250">
        <f t="shared" si="57"/>
        <v>2.5118248619107553E-2</v>
      </c>
      <c r="Y44" s="251">
        <v>138460.43035831698</v>
      </c>
      <c r="Z44" s="249">
        <v>5.9904000000000135</v>
      </c>
      <c r="AA44" s="250">
        <f t="shared" si="58"/>
        <v>2.9482897616031269E-2</v>
      </c>
      <c r="AB44" s="251">
        <v>138399.36064369648</v>
      </c>
      <c r="AC44" s="249">
        <v>9.9322499999999838</v>
      </c>
      <c r="AD44" s="250">
        <f t="shared" si="59"/>
        <v>5.4283778360844963E-2</v>
      </c>
      <c r="AE44" s="251">
        <v>138395.78846686322</v>
      </c>
      <c r="AF44" s="249">
        <v>9.31679999999999</v>
      </c>
      <c r="AG44" s="250">
        <f t="shared" si="60"/>
        <v>0.11980160274402515</v>
      </c>
      <c r="AH44" s="251">
        <v>138194.61188390883</v>
      </c>
      <c r="AI44" s="261">
        <v>6.2617000000000109</v>
      </c>
      <c r="AJ44" s="250">
        <f t="shared" si="61"/>
        <v>7.616016634897145E-2</v>
      </c>
      <c r="AK44" s="261">
        <v>138099.70615008695</v>
      </c>
      <c r="AL44" s="249">
        <v>79.784349999998796</v>
      </c>
      <c r="AM44" s="250">
        <f t="shared" si="62"/>
        <v>5.4121497343338272E-2</v>
      </c>
      <c r="AN44" s="251">
        <v>139665.87730202891</v>
      </c>
      <c r="AO44" s="303"/>
      <c r="AP44" s="249">
        <v>23.715000000000032</v>
      </c>
      <c r="AQ44" s="250">
        <f t="shared" si="63"/>
        <v>0.30614655531873963</v>
      </c>
      <c r="AR44" s="251">
        <v>147600.91924942003</v>
      </c>
      <c r="AS44" s="297">
        <v>5.6952000000000176</v>
      </c>
      <c r="AT44" s="298">
        <f t="shared" si="64"/>
        <v>6.5364210477991389E-2</v>
      </c>
      <c r="AU44" s="300">
        <v>138150.00175586433</v>
      </c>
      <c r="AV44" s="297">
        <v>5.4504000000000161</v>
      </c>
      <c r="AW44" s="298">
        <f t="shared" si="65"/>
        <v>4.1460375233739556E-2</v>
      </c>
      <c r="AX44" s="300">
        <v>138182.96271833242</v>
      </c>
      <c r="AY44" s="249">
        <v>5.0328000000000106</v>
      </c>
      <c r="AZ44" s="250">
        <f t="shared" si="66"/>
        <v>4.0226847512168804E-2</v>
      </c>
      <c r="BA44" s="251">
        <v>138101.3769670958</v>
      </c>
      <c r="BB44" s="249">
        <v>5.0918500000000115</v>
      </c>
      <c r="BC44" s="250">
        <f t="shared" si="67"/>
        <v>4.4451224648982678E-2</v>
      </c>
      <c r="BD44" s="251">
        <v>138053.58170409553</v>
      </c>
      <c r="BE44" s="249">
        <v>3.9240000000000061</v>
      </c>
      <c r="BF44" s="250">
        <f t="shared" si="68"/>
        <v>3.6152503864927521E-2</v>
      </c>
      <c r="BG44" s="251">
        <v>137914.2125382261</v>
      </c>
      <c r="BH44" s="249">
        <v>3.448800000000007</v>
      </c>
      <c r="BI44" s="250">
        <f t="shared" si="69"/>
        <v>1.8731913849164727E-2</v>
      </c>
      <c r="BJ44" s="251">
        <v>137871.32915796776</v>
      </c>
      <c r="BK44" s="249">
        <v>1.7064000000000019</v>
      </c>
      <c r="BL44" s="250">
        <f t="shared" si="70"/>
        <v>8.2955977058798789E-3</v>
      </c>
      <c r="BM44" s="251">
        <v>137926.14861697113</v>
      </c>
      <c r="BN44" s="249">
        <v>5.0760000000000067</v>
      </c>
      <c r="BO44" s="250">
        <f t="shared" si="71"/>
        <v>2.4711366035648951E-2</v>
      </c>
      <c r="BP44" s="251">
        <v>137745.58313632768</v>
      </c>
      <c r="BQ44" s="372">
        <v>4.4064000000000085</v>
      </c>
      <c r="BR44" s="250">
        <f t="shared" si="72"/>
        <v>2.1320104649664055E-2</v>
      </c>
      <c r="BS44" s="261">
        <v>137941.38525780657</v>
      </c>
      <c r="BT44" s="372">
        <v>4.8168000000000069</v>
      </c>
      <c r="BU44" s="250">
        <f t="shared" si="73"/>
        <v>3.6057894749843916E-2</v>
      </c>
      <c r="BV44" s="380">
        <v>137858.36655040682</v>
      </c>
      <c r="BW44" s="249">
        <v>4.658400000000011</v>
      </c>
      <c r="BX44" s="250">
        <f t="shared" si="74"/>
        <v>4.1099131804661765E-2</v>
      </c>
      <c r="BY44" s="380">
        <v>137971.5309977672</v>
      </c>
    </row>
    <row r="45" spans="1:77">
      <c r="A45" t="s">
        <v>183</v>
      </c>
      <c r="B45" s="249">
        <v>2.8224000000000058</v>
      </c>
      <c r="C45" s="250">
        <f t="shared" si="50"/>
        <v>3.0619800348574221E-2</v>
      </c>
      <c r="D45" s="251">
        <v>143821.54523567515</v>
      </c>
      <c r="E45" s="249">
        <v>0.51119999999999988</v>
      </c>
      <c r="F45" s="250">
        <f t="shared" si="51"/>
        <v>7.2082005972287835E-3</v>
      </c>
      <c r="G45" s="251">
        <v>143445.03120068074</v>
      </c>
      <c r="H45" s="249">
        <v>0.16560000000000002</v>
      </c>
      <c r="I45" s="250">
        <f t="shared" si="52"/>
        <v>1.8806059389558441E-3</v>
      </c>
      <c r="J45" s="251">
        <v>143363.47594099276</v>
      </c>
      <c r="K45" s="304">
        <v>0.2016</v>
      </c>
      <c r="L45" s="250">
        <f t="shared" si="53"/>
        <v>2.265723514299039E-3</v>
      </c>
      <c r="M45" s="251">
        <v>138601.8057565848</v>
      </c>
      <c r="N45" s="249">
        <v>7.0199999999999999E-2</v>
      </c>
      <c r="O45" s="250">
        <f t="shared" si="54"/>
        <v>7.7520385680483804E-4</v>
      </c>
      <c r="P45" s="251">
        <v>138550.50965202373</v>
      </c>
      <c r="Q45" s="249">
        <v>7.1999999999999998E-3</v>
      </c>
      <c r="R45" s="250">
        <f t="shared" si="55"/>
        <v>6.9626985070664511E-5</v>
      </c>
      <c r="S45" s="251">
        <v>139757.41409907717</v>
      </c>
      <c r="T45" s="249"/>
      <c r="U45" s="250">
        <f t="shared" si="56"/>
        <v>0</v>
      </c>
      <c r="V45" s="251">
        <v>0</v>
      </c>
      <c r="W45" s="249"/>
      <c r="X45" s="250">
        <f t="shared" si="57"/>
        <v>0</v>
      </c>
      <c r="Y45" s="251">
        <v>0</v>
      </c>
      <c r="Z45" s="249"/>
      <c r="AA45" s="250">
        <f t="shared" si="58"/>
        <v>0</v>
      </c>
      <c r="AB45" s="251">
        <v>0</v>
      </c>
      <c r="AC45" s="249"/>
      <c r="AD45" s="250">
        <f t="shared" si="59"/>
        <v>0</v>
      </c>
      <c r="AE45" s="251">
        <v>0</v>
      </c>
      <c r="AF45" s="249"/>
      <c r="AG45" s="250">
        <f t="shared" si="60"/>
        <v>0</v>
      </c>
      <c r="AH45" s="251">
        <v>0</v>
      </c>
      <c r="AI45" s="261">
        <v>-2.5499999999999997E-3</v>
      </c>
      <c r="AJ45" s="250">
        <f t="shared" si="61"/>
        <v>-3.1015287252643344E-5</v>
      </c>
      <c r="AK45" s="261">
        <v>140580.39215686277</v>
      </c>
      <c r="AL45" s="249">
        <v>3.7756500000000117</v>
      </c>
      <c r="AM45" s="250">
        <f t="shared" si="62"/>
        <v>2.5612019330154205E-3</v>
      </c>
      <c r="AN45" s="251">
        <v>143368.20521986915</v>
      </c>
      <c r="AO45" s="303"/>
      <c r="AP45" s="249">
        <v>6.6168000000000147</v>
      </c>
      <c r="AQ45" s="250">
        <f t="shared" si="63"/>
        <v>8.5418955396712556E-2</v>
      </c>
      <c r="AR45" s="251">
        <v>138212.75843307943</v>
      </c>
      <c r="AS45" s="297"/>
      <c r="AT45" s="298">
        <f t="shared" si="64"/>
        <v>0</v>
      </c>
      <c r="AU45" s="300"/>
      <c r="AV45" s="297"/>
      <c r="AW45" s="298">
        <f t="shared" si="65"/>
        <v>0</v>
      </c>
      <c r="AX45" s="300"/>
      <c r="AY45" s="249"/>
      <c r="AZ45" s="250">
        <f t="shared" si="66"/>
        <v>0</v>
      </c>
      <c r="BA45" s="251"/>
      <c r="BB45" s="249"/>
      <c r="BC45" s="250">
        <f t="shared" si="67"/>
        <v>0</v>
      </c>
      <c r="BD45" s="251"/>
      <c r="BE45" s="249">
        <v>0</v>
      </c>
      <c r="BF45" s="250">
        <f t="shared" si="68"/>
        <v>0</v>
      </c>
      <c r="BG45" s="251">
        <v>0</v>
      </c>
      <c r="BH45" s="249">
        <v>-7.1999999999999998E-3</v>
      </c>
      <c r="BI45" s="250">
        <f t="shared" si="69"/>
        <v>-3.9106291960677851E-5</v>
      </c>
      <c r="BJ45" s="251">
        <v>137972.22222222222</v>
      </c>
      <c r="BK45" s="249">
        <v>0</v>
      </c>
      <c r="BL45" s="250">
        <f t="shared" si="70"/>
        <v>0</v>
      </c>
      <c r="BM45" s="251">
        <v>0</v>
      </c>
      <c r="BN45" s="249">
        <v>0</v>
      </c>
      <c r="BO45" s="250">
        <f t="shared" si="71"/>
        <v>0</v>
      </c>
      <c r="BP45" s="251">
        <v>0</v>
      </c>
      <c r="BQ45" s="372">
        <v>0</v>
      </c>
      <c r="BR45" s="250">
        <f t="shared" si="72"/>
        <v>0</v>
      </c>
      <c r="BS45" s="261">
        <v>0</v>
      </c>
      <c r="BT45" s="372">
        <v>0</v>
      </c>
      <c r="BU45" s="250">
        <f t="shared" si="73"/>
        <v>0</v>
      </c>
      <c r="BV45" s="380">
        <v>0</v>
      </c>
      <c r="BW45" s="372"/>
      <c r="BX45" s="250">
        <f t="shared" si="74"/>
        <v>0</v>
      </c>
      <c r="BY45" s="380"/>
    </row>
    <row r="46" spans="1:77">
      <c r="A46" t="s">
        <v>184</v>
      </c>
      <c r="B46" s="249">
        <v>3.450000000000002</v>
      </c>
      <c r="C46" s="250">
        <f t="shared" si="50"/>
        <v>3.7428539966900827E-2</v>
      </c>
      <c r="D46" s="251">
        <v>158284.85967432556</v>
      </c>
      <c r="E46" s="249">
        <v>3.4981249999999986</v>
      </c>
      <c r="F46" s="250">
        <f t="shared" si="51"/>
        <v>4.9325482617724833E-2</v>
      </c>
      <c r="G46" s="251">
        <v>178334.02212442714</v>
      </c>
      <c r="H46" s="249">
        <v>4.0632499999999991</v>
      </c>
      <c r="I46" s="250">
        <f t="shared" si="52"/>
        <v>4.6143551216559969E-2</v>
      </c>
      <c r="J46" s="251">
        <v>170046.37132667482</v>
      </c>
      <c r="K46" s="304">
        <v>3.2099999999999995</v>
      </c>
      <c r="L46" s="250">
        <f t="shared" si="53"/>
        <v>3.6076252385416244E-2</v>
      </c>
      <c r="M46" s="251">
        <v>161323.53819441647</v>
      </c>
      <c r="N46" s="249">
        <v>3.3239999999999976</v>
      </c>
      <c r="O46" s="250">
        <f t="shared" si="54"/>
        <v>3.6706233903408547E-2</v>
      </c>
      <c r="P46" s="251">
        <v>161149.65016334728</v>
      </c>
      <c r="Q46" s="249">
        <v>3.7649999999999997</v>
      </c>
      <c r="R46" s="250">
        <f t="shared" si="55"/>
        <v>3.640911094320165E-2</v>
      </c>
      <c r="S46" s="251">
        <v>155824.55465615599</v>
      </c>
      <c r="T46" s="249">
        <v>21.734500000000068</v>
      </c>
      <c r="U46" s="250">
        <f t="shared" si="56"/>
        <v>0.13318487693366762</v>
      </c>
      <c r="V46" s="251">
        <v>147651.63864022415</v>
      </c>
      <c r="W46" s="249">
        <v>31.355000000000111</v>
      </c>
      <c r="X46" s="250">
        <f t="shared" si="57"/>
        <v>0.13588383116841232</v>
      </c>
      <c r="Y46" s="251">
        <v>137842.87529914989</v>
      </c>
      <c r="Z46" s="249">
        <v>53.916750000000107</v>
      </c>
      <c r="AA46" s="250">
        <f t="shared" si="58"/>
        <v>0.26536158187085229</v>
      </c>
      <c r="AB46" s="251">
        <v>137543.38920650797</v>
      </c>
      <c r="AC46" s="249">
        <v>12.691995000000002</v>
      </c>
      <c r="AD46" s="250">
        <f t="shared" si="59"/>
        <v>6.936690513599171E-2</v>
      </c>
      <c r="AE46" s="251">
        <v>139024.37560052585</v>
      </c>
      <c r="AF46" s="249">
        <v>5.2049999999999921</v>
      </c>
      <c r="AG46" s="250">
        <f t="shared" si="60"/>
        <v>6.6929347231093367E-2</v>
      </c>
      <c r="AH46" s="251">
        <v>142922.23439000989</v>
      </c>
      <c r="AI46" s="261">
        <v>2.2066249999999989</v>
      </c>
      <c r="AJ46" s="250">
        <f t="shared" si="61"/>
        <v>2.683886597406435E-2</v>
      </c>
      <c r="AK46" s="261">
        <v>142994.49158783228</v>
      </c>
      <c r="AL46" s="249">
        <v>148.42024499999849</v>
      </c>
      <c r="AM46" s="250">
        <f t="shared" si="62"/>
        <v>0.10068047048656979</v>
      </c>
      <c r="AN46" s="251">
        <v>143323.30729795154</v>
      </c>
      <c r="AO46" s="303"/>
      <c r="AP46" s="249">
        <v>13.095000000000059</v>
      </c>
      <c r="AQ46" s="250">
        <f t="shared" si="63"/>
        <v>0.16904866716841274</v>
      </c>
      <c r="AR46" s="251">
        <v>136883.42191676138</v>
      </c>
      <c r="AS46" s="297">
        <v>2.0429999999999979</v>
      </c>
      <c r="AT46" s="298">
        <f t="shared" si="64"/>
        <v>2.3447654517231326E-2</v>
      </c>
      <c r="AU46" s="300">
        <v>141183.69554576636</v>
      </c>
      <c r="AV46" s="297">
        <v>2.6182499999999989</v>
      </c>
      <c r="AW46" s="298">
        <f t="shared" si="65"/>
        <v>1.9916635009492555E-2</v>
      </c>
      <c r="AX46" s="300">
        <v>144747.60622553257</v>
      </c>
      <c r="AY46" s="249">
        <v>2.2689999999999979</v>
      </c>
      <c r="AZ46" s="250">
        <f t="shared" si="66"/>
        <v>1.8135971428451508E-2</v>
      </c>
      <c r="BA46" s="251">
        <v>138079.81489643047</v>
      </c>
      <c r="BB46" s="249">
        <v>2.4719999999999995</v>
      </c>
      <c r="BC46" s="250">
        <f t="shared" si="67"/>
        <v>2.1580256160783393E-2</v>
      </c>
      <c r="BD46" s="251">
        <v>151197.80339805828</v>
      </c>
      <c r="BE46" s="249">
        <v>4.9768749999999899</v>
      </c>
      <c r="BF46" s="250">
        <f t="shared" si="68"/>
        <v>4.5852826878889023E-2</v>
      </c>
      <c r="BG46" s="251">
        <v>144339.30930553839</v>
      </c>
      <c r="BH46" s="249">
        <v>18.968250000000022</v>
      </c>
      <c r="BI46" s="250">
        <f t="shared" si="69"/>
        <v>0.10302471145599007</v>
      </c>
      <c r="BJ46" s="251">
        <v>155821.52175345627</v>
      </c>
      <c r="BK46" s="249">
        <v>37.592375000000061</v>
      </c>
      <c r="BL46" s="250">
        <f t="shared" si="70"/>
        <v>0.18275387940024393</v>
      </c>
      <c r="BM46" s="251">
        <v>165119.27405491093</v>
      </c>
      <c r="BN46" s="249">
        <v>25.919500000000028</v>
      </c>
      <c r="BO46" s="250">
        <f t="shared" si="71"/>
        <v>0.12618326476773106</v>
      </c>
      <c r="BP46" s="251">
        <v>164812.1082582603</v>
      </c>
      <c r="BQ46" s="372">
        <v>13.919999999999989</v>
      </c>
      <c r="BR46" s="250">
        <f t="shared" si="72"/>
        <v>6.7351093119853586E-2</v>
      </c>
      <c r="BS46" s="261">
        <v>165132.48563218385</v>
      </c>
      <c r="BT46" s="372">
        <v>2.5779999999999998</v>
      </c>
      <c r="BU46" s="250">
        <f t="shared" si="73"/>
        <v>1.9298549382390274E-2</v>
      </c>
      <c r="BV46" s="380">
        <v>164452.3312645462</v>
      </c>
      <c r="BW46" s="249">
        <v>2.141</v>
      </c>
      <c r="BX46" s="250">
        <f t="shared" si="74"/>
        <v>1.8889155330967848E-2</v>
      </c>
      <c r="BY46" s="380">
        <v>164694.02148528732</v>
      </c>
    </row>
    <row r="47" spans="1:77">
      <c r="A47" t="s">
        <v>185</v>
      </c>
      <c r="B47" s="249">
        <v>1.3679999999999997</v>
      </c>
      <c r="C47" s="250">
        <f t="shared" si="50"/>
        <v>1.484122976078849E-2</v>
      </c>
      <c r="D47" s="251">
        <v>143563.3541112825</v>
      </c>
      <c r="E47" s="249">
        <v>1.5840000000000023</v>
      </c>
      <c r="F47" s="250">
        <f t="shared" si="51"/>
        <v>2.2335269456201901E-2</v>
      </c>
      <c r="G47" s="251">
        <v>143380.25986125704</v>
      </c>
      <c r="H47" s="249">
        <v>1.8216000000000003</v>
      </c>
      <c r="I47" s="250">
        <f t="shared" si="52"/>
        <v>2.0686665328514285E-2</v>
      </c>
      <c r="J47" s="251">
        <v>143786.09915541901</v>
      </c>
      <c r="K47" s="304">
        <v>1.7064000000000006</v>
      </c>
      <c r="L47" s="250">
        <f t="shared" si="53"/>
        <v>1.9177731174602589E-2</v>
      </c>
      <c r="M47" s="251">
        <v>138741.82200983839</v>
      </c>
      <c r="N47" s="249">
        <v>2.3040000000000003</v>
      </c>
      <c r="O47" s="250">
        <f t="shared" si="54"/>
        <v>2.5442588120774174E-2</v>
      </c>
      <c r="P47" s="251">
        <v>138576.97467737304</v>
      </c>
      <c r="Q47" s="249">
        <v>3.2184000000000026</v>
      </c>
      <c r="R47" s="250">
        <f t="shared" si="55"/>
        <v>3.1123262326587062E-2</v>
      </c>
      <c r="S47" s="251">
        <v>138281.16323671499</v>
      </c>
      <c r="T47" s="249">
        <v>13.953599999999996</v>
      </c>
      <c r="U47" s="250">
        <f t="shared" si="56"/>
        <v>8.5505003509702013E-2</v>
      </c>
      <c r="V47" s="251">
        <v>138358.34012503401</v>
      </c>
      <c r="W47" s="249">
        <v>40.823999999999991</v>
      </c>
      <c r="X47" s="250">
        <f t="shared" si="57"/>
        <v>0.17691983809980047</v>
      </c>
      <c r="Y47" s="251">
        <v>138543.5370789528</v>
      </c>
      <c r="Z47" s="249">
        <v>31.240800000000018</v>
      </c>
      <c r="AA47" s="250">
        <f t="shared" si="58"/>
        <v>0.15375756340860514</v>
      </c>
      <c r="AB47" s="251">
        <v>138404.42114158414</v>
      </c>
      <c r="AC47" s="249">
        <v>17.445599999999981</v>
      </c>
      <c r="AD47" s="250">
        <f t="shared" si="59"/>
        <v>9.5347286241481782E-2</v>
      </c>
      <c r="AE47" s="251">
        <v>138262.9763378732</v>
      </c>
      <c r="AF47" s="249">
        <v>1.6056000000000008</v>
      </c>
      <c r="AG47" s="250">
        <f t="shared" si="60"/>
        <v>2.0645871261141924E-2</v>
      </c>
      <c r="AH47" s="251">
        <v>138148.62356751351</v>
      </c>
      <c r="AI47" s="261">
        <v>1.5832000000000006</v>
      </c>
      <c r="AJ47" s="250">
        <f t="shared" si="61"/>
        <v>1.9256236383680379E-2</v>
      </c>
      <c r="AK47" s="261">
        <v>138115.38655886796</v>
      </c>
      <c r="AL47" s="249">
        <v>118.6551999999989</v>
      </c>
      <c r="AM47" s="250">
        <f t="shared" si="62"/>
        <v>8.0489432972422642E-2</v>
      </c>
      <c r="AN47" s="251">
        <v>138632.13471673592</v>
      </c>
      <c r="AO47" s="303"/>
      <c r="AP47" s="249">
        <v>1.2E-2</v>
      </c>
      <c r="AQ47" s="250">
        <f t="shared" si="63"/>
        <v>1.5491286796647145E-4</v>
      </c>
      <c r="AR47" s="251">
        <v>278015</v>
      </c>
      <c r="AS47" s="297">
        <v>1.1736000000000006</v>
      </c>
      <c r="AT47" s="298">
        <f t="shared" si="64"/>
        <v>1.3469489643378721E-2</v>
      </c>
      <c r="AU47" s="300">
        <v>138145.65439672777</v>
      </c>
      <c r="AV47" s="297">
        <v>1.0223999999999995</v>
      </c>
      <c r="AW47" s="298">
        <f t="shared" si="65"/>
        <v>7.7772434388256239E-3</v>
      </c>
      <c r="AX47" s="300">
        <v>138189.95500782467</v>
      </c>
      <c r="AY47" s="249">
        <v>0.94109999999999938</v>
      </c>
      <c r="AZ47" s="250">
        <f t="shared" si="66"/>
        <v>7.5221519221312112E-3</v>
      </c>
      <c r="BA47" s="251">
        <v>137203.34714695576</v>
      </c>
      <c r="BB47" s="249">
        <v>0.52560000000000007</v>
      </c>
      <c r="BC47" s="250">
        <f t="shared" si="67"/>
        <v>4.5884233972927806E-3</v>
      </c>
      <c r="BD47" s="251">
        <v>138091.57153729073</v>
      </c>
      <c r="BE47" s="249">
        <v>2.6640000000000001</v>
      </c>
      <c r="BF47" s="250">
        <f t="shared" si="68"/>
        <v>2.4543901706464519E-2</v>
      </c>
      <c r="BG47" s="251">
        <v>137955.41666666666</v>
      </c>
      <c r="BH47" s="249">
        <v>4.8096000000000023</v>
      </c>
      <c r="BI47" s="250">
        <f t="shared" si="69"/>
        <v>2.6123003029732816E-2</v>
      </c>
      <c r="BJ47" s="251">
        <v>137953.96082834326</v>
      </c>
      <c r="BK47" s="249">
        <v>25.963199999999993</v>
      </c>
      <c r="BL47" s="250">
        <f t="shared" si="70"/>
        <v>0.12621909420845062</v>
      </c>
      <c r="BM47" s="251">
        <v>137932.91196770812</v>
      </c>
      <c r="BN47" s="249">
        <v>31.910400000000013</v>
      </c>
      <c r="BO47" s="250">
        <f t="shared" si="71"/>
        <v>0.15534861598581001</v>
      </c>
      <c r="BP47" s="251">
        <v>137913.09667067777</v>
      </c>
      <c r="BQ47" s="372">
        <v>8.5104000000000006</v>
      </c>
      <c r="BR47" s="250">
        <f t="shared" si="72"/>
        <v>4.1177064862586384E-2</v>
      </c>
      <c r="BS47" s="261">
        <v>137897.25864824216</v>
      </c>
      <c r="BT47" s="372">
        <v>4.4064000000000085</v>
      </c>
      <c r="BU47" s="250">
        <f t="shared" si="73"/>
        <v>3.298569743931911E-2</v>
      </c>
      <c r="BV47" s="380">
        <v>137872.65341321702</v>
      </c>
      <c r="BW47" s="249">
        <v>1.4112000000000005</v>
      </c>
      <c r="BX47" s="250">
        <f t="shared" si="74"/>
        <v>1.2450432509603848E-2</v>
      </c>
      <c r="BY47" s="380">
        <v>137927.76360544199</v>
      </c>
    </row>
    <row r="48" spans="1:77">
      <c r="A48" t="s">
        <v>186</v>
      </c>
      <c r="B48" s="249">
        <v>1.1807999999999998</v>
      </c>
      <c r="C48" s="250">
        <f t="shared" si="50"/>
        <v>1.2810324635627961E-2</v>
      </c>
      <c r="D48" s="251">
        <v>165113.90404898967</v>
      </c>
      <c r="E48" s="249">
        <v>1.1319000000000001</v>
      </c>
      <c r="F48" s="250">
        <f t="shared" si="51"/>
        <v>1.5960411298910921E-2</v>
      </c>
      <c r="G48" s="251">
        <v>168064.14910281129</v>
      </c>
      <c r="H48" s="249">
        <v>1.329599999999999</v>
      </c>
      <c r="I48" s="250">
        <f t="shared" si="52"/>
        <v>1.5099357828717923E-2</v>
      </c>
      <c r="J48" s="251">
        <v>165658.4998816908</v>
      </c>
      <c r="K48" s="304">
        <v>2.3184000000000005</v>
      </c>
      <c r="L48" s="250">
        <f t="shared" si="53"/>
        <v>2.6055820414438956E-2</v>
      </c>
      <c r="M48" s="251">
        <v>159511.97906615533</v>
      </c>
      <c r="N48" s="249">
        <v>4.6863000000000001</v>
      </c>
      <c r="O48" s="250">
        <f t="shared" si="54"/>
        <v>5.1749826697215277E-2</v>
      </c>
      <c r="P48" s="251">
        <v>159299.01055260136</v>
      </c>
      <c r="Q48" s="249">
        <v>6.2640000000000091</v>
      </c>
      <c r="R48" s="250">
        <f t="shared" si="55"/>
        <v>6.0575477011478217E-2</v>
      </c>
      <c r="S48" s="251">
        <v>159089.62046429815</v>
      </c>
      <c r="T48" s="249">
        <v>18.629999999999981</v>
      </c>
      <c r="U48" s="250">
        <f t="shared" si="56"/>
        <v>0.11416109214724138</v>
      </c>
      <c r="V48" s="251">
        <v>149176.22743812745</v>
      </c>
      <c r="W48" s="249">
        <v>30.468600000000016</v>
      </c>
      <c r="X48" s="250">
        <f t="shared" si="57"/>
        <v>0.13204242061355048</v>
      </c>
      <c r="Y48" s="251">
        <v>137107.9074064201</v>
      </c>
      <c r="Z48" s="249">
        <v>9.7199999999999995E-2</v>
      </c>
      <c r="AA48" s="250">
        <f t="shared" si="58"/>
        <v>4.7838836276012164E-4</v>
      </c>
      <c r="AB48" s="251">
        <v>159654.21810699589</v>
      </c>
      <c r="AC48" s="249">
        <v>42.94289999999981</v>
      </c>
      <c r="AD48" s="250">
        <f t="shared" si="59"/>
        <v>0.23470038166295881</v>
      </c>
      <c r="AE48" s="251">
        <v>136859.79591504188</v>
      </c>
      <c r="AF48" s="249">
        <v>1.7660999999999989</v>
      </c>
      <c r="AG48" s="250">
        <f t="shared" si="60"/>
        <v>2.2709686867403284E-2</v>
      </c>
      <c r="AH48" s="251">
        <v>136100.56055716003</v>
      </c>
      <c r="AI48" s="261">
        <v>0.47940000000000005</v>
      </c>
      <c r="AJ48" s="250">
        <f t="shared" si="61"/>
        <v>5.8308740034969499E-3</v>
      </c>
      <c r="AK48" s="261">
        <v>158053.7546933667</v>
      </c>
      <c r="AL48" s="249">
        <v>111.29520000000123</v>
      </c>
      <c r="AM48" s="250">
        <f t="shared" si="62"/>
        <v>7.5496796942338434E-2</v>
      </c>
      <c r="AN48" s="251">
        <v>142717.5920659338</v>
      </c>
      <c r="AO48" s="303"/>
      <c r="AP48" s="293">
        <v>2.6849999999999987</v>
      </c>
      <c r="AQ48" s="250">
        <f t="shared" si="63"/>
        <v>3.4661754207497973E-2</v>
      </c>
      <c r="AR48" s="251">
        <v>144503.92551210427</v>
      </c>
      <c r="AS48" s="297">
        <v>0.91454999999999953</v>
      </c>
      <c r="AT48" s="298">
        <f t="shared" si="64"/>
        <v>1.049635459556237E-2</v>
      </c>
      <c r="AU48" s="300">
        <v>137361.62046908317</v>
      </c>
      <c r="AV48" s="297">
        <v>0.44460000000000005</v>
      </c>
      <c r="AW48" s="298">
        <f t="shared" si="65"/>
        <v>3.3820055094893136E-3</v>
      </c>
      <c r="AX48" s="300">
        <v>137631.73639226271</v>
      </c>
      <c r="AY48" s="249">
        <v>6.7949999999999997E-2</v>
      </c>
      <c r="AZ48" s="250">
        <f t="shared" si="66"/>
        <v>5.4311999055234946E-4</v>
      </c>
      <c r="BA48" s="251">
        <v>399110.08094186912</v>
      </c>
      <c r="BB48" s="249">
        <v>0.2994</v>
      </c>
      <c r="BC48" s="250">
        <f t="shared" si="67"/>
        <v>2.6137252000560472E-3</v>
      </c>
      <c r="BD48" s="251">
        <v>136709.98663994655</v>
      </c>
      <c r="BE48" s="249">
        <v>1.3982999999999994</v>
      </c>
      <c r="BF48" s="250">
        <f t="shared" si="68"/>
        <v>1.2882784442998995E-2</v>
      </c>
      <c r="BG48" s="251">
        <v>135657.21232925705</v>
      </c>
      <c r="BH48" s="249">
        <v>14.669700000000025</v>
      </c>
      <c r="BI48" s="250">
        <f t="shared" si="69"/>
        <v>7.967744044104956E-2</v>
      </c>
      <c r="BJ48" s="251">
        <v>151677.23129988994</v>
      </c>
      <c r="BK48" s="249">
        <v>12.09997740000002</v>
      </c>
      <c r="BL48" s="250">
        <f t="shared" si="70"/>
        <v>5.8823572878948911E-2</v>
      </c>
      <c r="BM48" s="251">
        <v>152547.33368344957</v>
      </c>
      <c r="BN48" s="249">
        <v>15.206400000000022</v>
      </c>
      <c r="BO48" s="250">
        <f t="shared" si="71"/>
        <v>7.4028943357858992E-2</v>
      </c>
      <c r="BP48" s="251">
        <v>156653.81944444432</v>
      </c>
      <c r="BQ48" s="372">
        <v>4.0392000000000028</v>
      </c>
      <c r="BR48" s="250">
        <f t="shared" si="72"/>
        <v>1.9543429262192026E-2</v>
      </c>
      <c r="BS48" s="261">
        <v>158058.87056842932</v>
      </c>
      <c r="BT48" s="372">
        <v>0.61920000000000019</v>
      </c>
      <c r="BU48" s="250">
        <f t="shared" si="73"/>
        <v>4.6352450650023512E-3</v>
      </c>
      <c r="BV48" s="380">
        <v>158999.32170542632</v>
      </c>
      <c r="BW48" s="249">
        <v>0.66030000000000022</v>
      </c>
      <c r="BX48" s="250">
        <f t="shared" si="74"/>
        <v>5.8255531364026511E-3</v>
      </c>
      <c r="BY48" s="380">
        <v>158764.45555050726</v>
      </c>
    </row>
    <row r="49" spans="1:77">
      <c r="A49" t="s">
        <v>187</v>
      </c>
      <c r="B49" s="249">
        <v>0.80400000000000038</v>
      </c>
      <c r="C49" s="250">
        <f t="shared" si="50"/>
        <v>8.7224771401125407E-3</v>
      </c>
      <c r="D49" s="251">
        <v>165250.90698347561</v>
      </c>
      <c r="E49" s="249">
        <v>0.90130000000000043</v>
      </c>
      <c r="F49" s="250">
        <f t="shared" si="51"/>
        <v>1.2708824722774466E-2</v>
      </c>
      <c r="G49" s="251">
        <v>164858.62798252367</v>
      </c>
      <c r="H49" s="249">
        <v>1.8720000000000012</v>
      </c>
      <c r="I49" s="250">
        <f t="shared" si="52"/>
        <v>2.1259023657761725E-2</v>
      </c>
      <c r="J49" s="251">
        <v>164789.28332028646</v>
      </c>
      <c r="K49" s="304">
        <v>12.096000000000002</v>
      </c>
      <c r="L49" s="250">
        <f t="shared" si="53"/>
        <v>0.13594341085794237</v>
      </c>
      <c r="M49" s="251">
        <v>159558.1313930242</v>
      </c>
      <c r="N49" s="249">
        <v>7.367999999999995</v>
      </c>
      <c r="O49" s="250">
        <f t="shared" si="54"/>
        <v>8.1363276594559011E-2</v>
      </c>
      <c r="P49" s="251">
        <v>159353.56211094666</v>
      </c>
      <c r="Q49" s="249">
        <v>2.0983000000000005</v>
      </c>
      <c r="R49" s="250">
        <f t="shared" si="55"/>
        <v>2.0291430940802137E-2</v>
      </c>
      <c r="S49" s="251">
        <v>159150.66853631401</v>
      </c>
      <c r="T49" s="249">
        <v>0.50400000000000011</v>
      </c>
      <c r="U49" s="250">
        <f t="shared" si="56"/>
        <v>3.0884160194422825E-3</v>
      </c>
      <c r="V49" s="251">
        <v>158668.38900170708</v>
      </c>
      <c r="W49" s="249">
        <v>0.10309999999999998</v>
      </c>
      <c r="X49" s="250">
        <f t="shared" si="57"/>
        <v>4.4680666539509677E-4</v>
      </c>
      <c r="Y49" s="251">
        <v>158668.38900170711</v>
      </c>
      <c r="Z49" s="249"/>
      <c r="AA49" s="250">
        <f t="shared" si="58"/>
        <v>0</v>
      </c>
      <c r="AB49" s="251">
        <v>0</v>
      </c>
      <c r="AC49" s="249">
        <v>0.108</v>
      </c>
      <c r="AD49" s="250">
        <f t="shared" si="59"/>
        <v>5.9026384383913675E-4</v>
      </c>
      <c r="AE49" s="251">
        <v>158668.42592592593</v>
      </c>
      <c r="AF49" s="249"/>
      <c r="AG49" s="250">
        <f t="shared" si="60"/>
        <v>0</v>
      </c>
      <c r="AH49" s="251">
        <v>0</v>
      </c>
      <c r="AI49" s="261">
        <v>-1.5900000000000001E-2</v>
      </c>
      <c r="AJ49" s="250">
        <f t="shared" si="61"/>
        <v>-1.9338943816354088E-4</v>
      </c>
      <c r="AK49" s="261">
        <v>275463.52201257861</v>
      </c>
      <c r="AL49" s="249">
        <v>25.838800000000024</v>
      </c>
      <c r="AM49" s="250">
        <f t="shared" si="62"/>
        <v>1.7527679871491984E-2</v>
      </c>
      <c r="AN49" s="251">
        <v>160111.78145684401</v>
      </c>
      <c r="AO49" s="303"/>
      <c r="AP49" s="249">
        <v>2.1024000000000047</v>
      </c>
      <c r="AQ49" s="250">
        <f t="shared" si="63"/>
        <v>2.7140734467725861E-2</v>
      </c>
      <c r="AR49" s="251">
        <v>138127.33066971062</v>
      </c>
      <c r="AS49" s="297"/>
      <c r="AT49" s="298">
        <f t="shared" si="64"/>
        <v>0</v>
      </c>
      <c r="AU49" s="300"/>
      <c r="AV49" s="297"/>
      <c r="AW49" s="298">
        <f t="shared" si="65"/>
        <v>0</v>
      </c>
      <c r="AX49" s="300"/>
      <c r="AY49" s="249"/>
      <c r="AZ49" s="250">
        <f t="shared" si="66"/>
        <v>0</v>
      </c>
      <c r="BA49" s="251"/>
      <c r="BB49" s="249"/>
      <c r="BC49" s="250">
        <f t="shared" si="67"/>
        <v>0</v>
      </c>
      <c r="BD49" s="251"/>
      <c r="BE49" s="249"/>
      <c r="BF49" s="250">
        <f t="shared" si="68"/>
        <v>0</v>
      </c>
      <c r="BG49" s="251"/>
      <c r="BH49" s="249"/>
      <c r="BI49" s="250"/>
      <c r="BJ49" s="251"/>
      <c r="BK49" s="249"/>
      <c r="BL49" s="250">
        <f t="shared" si="70"/>
        <v>0</v>
      </c>
      <c r="BM49" s="251"/>
      <c r="BN49" s="249"/>
      <c r="BO49" s="250">
        <f t="shared" si="71"/>
        <v>0</v>
      </c>
      <c r="BP49" s="251"/>
      <c r="BQ49" s="372"/>
      <c r="BR49" s="250">
        <f t="shared" si="72"/>
        <v>0</v>
      </c>
      <c r="BS49" s="261"/>
      <c r="BT49" s="372"/>
      <c r="BU49" s="250">
        <f t="shared" si="73"/>
        <v>0</v>
      </c>
      <c r="BV49" s="380"/>
      <c r="BW49" s="372"/>
      <c r="BX49" s="250">
        <f t="shared" si="74"/>
        <v>0</v>
      </c>
      <c r="BY49" s="380"/>
    </row>
    <row r="50" spans="1:77">
      <c r="A50" t="s">
        <v>188</v>
      </c>
      <c r="B50" s="249">
        <v>1.26</v>
      </c>
      <c r="C50" s="250">
        <f t="shared" si="50"/>
        <v>1.3669553727042035E-2</v>
      </c>
      <c r="D50" s="251">
        <v>202046.28568174518</v>
      </c>
      <c r="E50" s="249">
        <v>2.3099999999999996</v>
      </c>
      <c r="F50" s="250">
        <f t="shared" si="51"/>
        <v>3.2572267956961054E-2</v>
      </c>
      <c r="G50" s="251">
        <v>187497.70750978438</v>
      </c>
      <c r="H50" s="249">
        <v>6.8849999999999927</v>
      </c>
      <c r="I50" s="250">
        <f t="shared" si="52"/>
        <v>7.8188236048979287E-2</v>
      </c>
      <c r="J50" s="251">
        <v>181010.03839130493</v>
      </c>
      <c r="K50" s="304">
        <v>5.9249999999999936</v>
      </c>
      <c r="L50" s="250">
        <f t="shared" si="53"/>
        <v>6.6589344356258892E-2</v>
      </c>
      <c r="M50" s="251">
        <v>169663.99710034794</v>
      </c>
      <c r="N50" s="249">
        <v>4.154999999999994</v>
      </c>
      <c r="O50" s="250">
        <f t="shared" si="54"/>
        <v>4.5882792379260649E-2</v>
      </c>
      <c r="P50" s="251">
        <v>164389.4406114486</v>
      </c>
      <c r="Q50" s="249">
        <v>5.999999999999992</v>
      </c>
      <c r="R50" s="250">
        <f t="shared" si="55"/>
        <v>5.8022487558887018E-2</v>
      </c>
      <c r="S50" s="251">
        <v>171820.03347182504</v>
      </c>
      <c r="T50" s="249">
        <v>13.259500000000001</v>
      </c>
      <c r="U50" s="250">
        <f t="shared" si="56"/>
        <v>8.1251690892450282E-2</v>
      </c>
      <c r="V50" s="251">
        <v>160810.99880788272</v>
      </c>
      <c r="W50" s="249">
        <v>9.1599999999999895</v>
      </c>
      <c r="X50" s="250">
        <f t="shared" si="57"/>
        <v>3.9696887051591488E-2</v>
      </c>
      <c r="Y50" s="251">
        <v>154714.76979789109</v>
      </c>
      <c r="Z50" s="249">
        <v>14.997000000000034</v>
      </c>
      <c r="AA50" s="250">
        <f t="shared" si="58"/>
        <v>7.381059955055104E-2</v>
      </c>
      <c r="AB50" s="251">
        <v>144612.90458091561</v>
      </c>
      <c r="AC50" s="249">
        <v>8.5949999999999935</v>
      </c>
      <c r="AD50" s="250">
        <f t="shared" si="59"/>
        <v>4.6975164238864595E-2</v>
      </c>
      <c r="AE50" s="251">
        <v>149376.31529959277</v>
      </c>
      <c r="AF50" s="249">
        <v>9.4699999999999971</v>
      </c>
      <c r="AG50" s="250">
        <f t="shared" si="60"/>
        <v>0.12177155010152832</v>
      </c>
      <c r="AH50" s="251">
        <v>150465.32418162614</v>
      </c>
      <c r="AI50" s="261">
        <v>8.5459999999999869</v>
      </c>
      <c r="AJ50" s="250">
        <f t="shared" si="61"/>
        <v>0.10394378229846653</v>
      </c>
      <c r="AK50" s="261">
        <v>146621.88626257915</v>
      </c>
      <c r="AL50" s="249">
        <v>90.562500000001208</v>
      </c>
      <c r="AM50" s="250">
        <f t="shared" si="62"/>
        <v>6.1432826151447135E-2</v>
      </c>
      <c r="AN50" s="251">
        <v>158268.78451967999</v>
      </c>
      <c r="AO50" s="303"/>
      <c r="AP50" s="249">
        <v>0.833699999999999</v>
      </c>
      <c r="AQ50" s="250">
        <f t="shared" si="63"/>
        <v>1.0762571501970592E-2</v>
      </c>
      <c r="AR50" s="251">
        <v>136562.93630802454</v>
      </c>
      <c r="AS50" s="297">
        <v>5.5649999999999888</v>
      </c>
      <c r="AT50" s="298">
        <f t="shared" si="64"/>
        <v>6.3869895931665296E-2</v>
      </c>
      <c r="AU50" s="300">
        <v>151561.63881401671</v>
      </c>
      <c r="AV50" s="297">
        <v>8.9883750000000049</v>
      </c>
      <c r="AW50" s="298">
        <f t="shared" si="65"/>
        <v>6.8373220358425607E-2</v>
      </c>
      <c r="AX50" s="300">
        <v>153119.21120335991</v>
      </c>
      <c r="AY50" s="249">
        <v>6.7499999999999911</v>
      </c>
      <c r="AZ50" s="250">
        <f t="shared" si="66"/>
        <v>5.3952316942286305E-2</v>
      </c>
      <c r="BA50" s="251">
        <v>151988.00888888925</v>
      </c>
      <c r="BB50" s="249">
        <v>7.4509999999999952</v>
      </c>
      <c r="BC50" s="250">
        <f t="shared" si="67"/>
        <v>6.5046314180419493E-2</v>
      </c>
      <c r="BD50" s="251">
        <v>161004.46651456208</v>
      </c>
      <c r="BE50" s="249">
        <v>9.0750000000000011</v>
      </c>
      <c r="BF50" s="250">
        <f t="shared" si="68"/>
        <v>8.3609575069881953E-2</v>
      </c>
      <c r="BG50" s="251">
        <v>157628.27438016524</v>
      </c>
      <c r="BH50" s="249">
        <v>9.9580000000000037</v>
      </c>
      <c r="BI50" s="250">
        <f t="shared" ref="BI50:BI60" si="75">BH50/BH$65</f>
        <v>5.4086174353393079E-2</v>
      </c>
      <c r="BJ50" s="251">
        <v>153382.499497891</v>
      </c>
      <c r="BK50" s="249">
        <v>8.9568750000000037</v>
      </c>
      <c r="BL50" s="250">
        <f t="shared" si="70"/>
        <v>4.3543501934981708E-2</v>
      </c>
      <c r="BM50" s="251">
        <v>154586.20668480903</v>
      </c>
      <c r="BN50" s="249">
        <v>6.089999999999991</v>
      </c>
      <c r="BO50" s="250">
        <f t="shared" si="71"/>
        <v>2.964779731227378E-2</v>
      </c>
      <c r="BP50" s="251">
        <v>158967.31362890021</v>
      </c>
      <c r="BQ50" s="372">
        <v>8.7299999999999951</v>
      </c>
      <c r="BR50" s="250">
        <f t="shared" si="72"/>
        <v>4.2239586417839224E-2</v>
      </c>
      <c r="BS50" s="261">
        <v>153717.83963344805</v>
      </c>
      <c r="BT50" s="372">
        <v>5.8349999999999973</v>
      </c>
      <c r="BU50" s="250">
        <f t="shared" si="73"/>
        <v>4.3679998311189759E-2</v>
      </c>
      <c r="BV50" s="380">
        <v>155805.80119965738</v>
      </c>
      <c r="BW50" s="249">
        <v>6.5914999999999946</v>
      </c>
      <c r="BX50" s="250">
        <f t="shared" si="74"/>
        <v>5.8154071631982475E-2</v>
      </c>
      <c r="BY50" s="380">
        <v>153735.89622999344</v>
      </c>
    </row>
    <row r="51" spans="1:77">
      <c r="A51" t="s">
        <v>189</v>
      </c>
      <c r="B51" s="249"/>
      <c r="C51" s="250">
        <f t="shared" si="50"/>
        <v>0</v>
      </c>
      <c r="D51" s="251">
        <v>0</v>
      </c>
      <c r="E51" s="249"/>
      <c r="F51" s="250">
        <f t="shared" si="51"/>
        <v>0</v>
      </c>
      <c r="G51" s="251">
        <v>0</v>
      </c>
      <c r="H51" s="249"/>
      <c r="I51" s="250">
        <f t="shared" si="52"/>
        <v>0</v>
      </c>
      <c r="J51" s="251">
        <v>0</v>
      </c>
      <c r="K51" s="304"/>
      <c r="L51" s="250">
        <f t="shared" si="53"/>
        <v>0</v>
      </c>
      <c r="M51" s="251">
        <v>0</v>
      </c>
      <c r="N51" s="249">
        <v>4.4496000000000118</v>
      </c>
      <c r="O51" s="250">
        <f t="shared" si="54"/>
        <v>4.9135998308245249E-2</v>
      </c>
      <c r="P51" s="251">
        <v>159557.54048932737</v>
      </c>
      <c r="Q51" s="249">
        <v>4.6224000000000096</v>
      </c>
      <c r="R51" s="250">
        <f t="shared" si="55"/>
        <v>4.4700524415366712E-2</v>
      </c>
      <c r="S51" s="251">
        <v>159500.86148659964</v>
      </c>
      <c r="T51" s="249">
        <v>2.3004000000000007</v>
      </c>
      <c r="U51" s="250">
        <f t="shared" si="56"/>
        <v>1.4096413117311562E-2</v>
      </c>
      <c r="V51" s="251">
        <v>160381.76104285935</v>
      </c>
      <c r="W51" s="249">
        <v>1.2887999999999988</v>
      </c>
      <c r="X51" s="250">
        <f t="shared" si="57"/>
        <v>5.5853000035033977E-3</v>
      </c>
      <c r="Y51" s="251">
        <v>144354.87828281362</v>
      </c>
      <c r="Z51" s="249">
        <v>0.28260000000000007</v>
      </c>
      <c r="AA51" s="250">
        <f t="shared" si="58"/>
        <v>1.39086986950628E-3</v>
      </c>
      <c r="AB51" s="251">
        <v>158805.06015569705</v>
      </c>
      <c r="AC51" s="249">
        <v>2.1824999999999992</v>
      </c>
      <c r="AD51" s="250">
        <f t="shared" si="59"/>
        <v>1.1928248510915883E-2</v>
      </c>
      <c r="AE51" s="251">
        <v>139473.07674684998</v>
      </c>
      <c r="AF51" s="249">
        <v>0.70650000000000002</v>
      </c>
      <c r="AG51" s="250">
        <f t="shared" si="60"/>
        <v>9.0846462668141264E-3</v>
      </c>
      <c r="AH51" s="251">
        <v>145184.72753007777</v>
      </c>
      <c r="AI51" s="261">
        <v>3.8198999999999983</v>
      </c>
      <c r="AJ51" s="250">
        <f t="shared" si="61"/>
        <v>4.6460900304459714E-2</v>
      </c>
      <c r="AK51" s="261">
        <v>141774.48886096501</v>
      </c>
      <c r="AL51" s="249">
        <v>19.652700000000095</v>
      </c>
      <c r="AM51" s="250">
        <f t="shared" si="62"/>
        <v>1.3331355721259186E-2</v>
      </c>
      <c r="AN51" s="251">
        <v>152429.25727919559</v>
      </c>
      <c r="AO51" s="303"/>
      <c r="AP51" s="249">
        <v>0.62939999999999996</v>
      </c>
      <c r="AQ51" s="250">
        <f t="shared" si="63"/>
        <v>8.1251799248414271E-3</v>
      </c>
      <c r="AR51" s="251">
        <v>139529.91738163325</v>
      </c>
      <c r="AS51" s="297">
        <v>1.6873499999999986</v>
      </c>
      <c r="AT51" s="298">
        <f t="shared" si="64"/>
        <v>1.936583448343137E-2</v>
      </c>
      <c r="AU51" s="300">
        <v>137210.89282010266</v>
      </c>
      <c r="AV51" s="297">
        <v>20.446200000000001</v>
      </c>
      <c r="AW51" s="298">
        <f t="shared" si="65"/>
        <v>0.15553117644651462</v>
      </c>
      <c r="AX51" s="300">
        <v>136819.11553247063</v>
      </c>
      <c r="AY51" s="249">
        <v>2.1325499999999993</v>
      </c>
      <c r="AZ51" s="250">
        <f t="shared" si="66"/>
        <v>1.7045335332633003E-2</v>
      </c>
      <c r="BA51" s="251">
        <v>136613.48620196481</v>
      </c>
      <c r="BB51" s="249">
        <v>0.99539999999999984</v>
      </c>
      <c r="BC51" s="250">
        <f t="shared" si="67"/>
        <v>8.6897196530921466E-3</v>
      </c>
      <c r="BD51" s="251">
        <v>136001.51697809924</v>
      </c>
      <c r="BE51" s="249">
        <v>7.5299999999999992E-2</v>
      </c>
      <c r="BF51" s="250">
        <f t="shared" si="68"/>
        <v>6.9375217661290459E-4</v>
      </c>
      <c r="BG51" s="251">
        <v>140248.47277556441</v>
      </c>
      <c r="BH51" s="249">
        <v>0.126</v>
      </c>
      <c r="BI51" s="250">
        <f t="shared" si="75"/>
        <v>6.8436010931186236E-4</v>
      </c>
      <c r="BJ51" s="251">
        <v>136001.58730158725</v>
      </c>
      <c r="BK51" s="249">
        <v>0.1134</v>
      </c>
      <c r="BL51" s="250">
        <f t="shared" si="70"/>
        <v>5.5128972096037099E-4</v>
      </c>
      <c r="BM51" s="251">
        <v>136001.58730158725</v>
      </c>
      <c r="BN51" s="249">
        <v>1.5192000000000001</v>
      </c>
      <c r="BO51" s="250">
        <f t="shared" si="71"/>
        <v>7.3958840191800318E-3</v>
      </c>
      <c r="BP51" s="251">
        <v>139173.08451816745</v>
      </c>
      <c r="BQ51" s="372">
        <v>0.2142</v>
      </c>
      <c r="BR51" s="250">
        <f t="shared" si="72"/>
        <v>1.0363939760253342E-3</v>
      </c>
      <c r="BS51" s="261">
        <v>136001.58730158728</v>
      </c>
      <c r="BT51" s="372">
        <v>0.51659999999999995</v>
      </c>
      <c r="BU51" s="250">
        <f t="shared" si="73"/>
        <v>3.8671957373711463E-3</v>
      </c>
      <c r="BV51" s="380">
        <v>140424.31281455673</v>
      </c>
      <c r="BW51" s="372"/>
      <c r="BX51" s="250">
        <f t="shared" si="74"/>
        <v>0</v>
      </c>
      <c r="BY51" s="380"/>
    </row>
    <row r="52" spans="1:77">
      <c r="A52" t="s">
        <v>190</v>
      </c>
      <c r="B52" s="249"/>
      <c r="C52" s="250">
        <f t="shared" si="50"/>
        <v>0</v>
      </c>
      <c r="D52" s="251">
        <v>0</v>
      </c>
      <c r="E52" s="249">
        <v>2.937600000000002</v>
      </c>
      <c r="F52" s="250">
        <f t="shared" si="51"/>
        <v>4.1421772446047132E-2</v>
      </c>
      <c r="G52" s="251">
        <v>164958.11697870604</v>
      </c>
      <c r="H52" s="249">
        <v>4.9392000000000156</v>
      </c>
      <c r="I52" s="250">
        <f t="shared" si="52"/>
        <v>5.6091116266248388E-2</v>
      </c>
      <c r="J52" s="251">
        <v>165266.0534347732</v>
      </c>
      <c r="K52" s="304">
        <v>4.9530000000000198</v>
      </c>
      <c r="L52" s="250">
        <f t="shared" si="53"/>
        <v>5.566532026946025E-2</v>
      </c>
      <c r="M52" s="251">
        <v>159493.76396009579</v>
      </c>
      <c r="N52" s="249">
        <v>4.5180000000000158</v>
      </c>
      <c r="O52" s="250">
        <f t="shared" si="54"/>
        <v>4.9891325143080777E-2</v>
      </c>
      <c r="P52" s="251">
        <v>159391.34115629352</v>
      </c>
      <c r="Q52" s="249">
        <v>7.6176126000000259</v>
      </c>
      <c r="R52" s="250">
        <f t="shared" si="55"/>
        <v>7.3665472051987174E-2</v>
      </c>
      <c r="S52" s="251">
        <v>159124.73456187278</v>
      </c>
      <c r="T52" s="249">
        <v>5.6001000000000012</v>
      </c>
      <c r="U52" s="250">
        <f t="shared" si="56"/>
        <v>3.4316346330314933E-2</v>
      </c>
      <c r="V52" s="251">
        <v>144973.05904540769</v>
      </c>
      <c r="W52" s="249">
        <v>2.9933999999999963</v>
      </c>
      <c r="X52" s="250">
        <f t="shared" si="57"/>
        <v>1.2972561320986238E-2</v>
      </c>
      <c r="Y52" s="251">
        <v>137483.12433291867</v>
      </c>
      <c r="Z52" s="249">
        <v>4.3200000000000002E-2</v>
      </c>
      <c r="AA52" s="250">
        <f t="shared" si="58"/>
        <v>2.1261705011560965E-4</v>
      </c>
      <c r="AB52" s="251">
        <v>158915.04629629626</v>
      </c>
      <c r="AC52" s="249">
        <v>30.720000000000006</v>
      </c>
      <c r="AD52" s="250">
        <f t="shared" si="59"/>
        <v>0.16789727113646558</v>
      </c>
      <c r="AE52" s="251">
        <v>136956.31477864584</v>
      </c>
      <c r="AF52" s="249">
        <v>3.3305999999999951</v>
      </c>
      <c r="AG52" s="250">
        <f t="shared" si="60"/>
        <v>4.2827067029371675E-2</v>
      </c>
      <c r="AH52" s="251">
        <v>136041.08268780416</v>
      </c>
      <c r="AI52" s="261">
        <v>4.253999999999996</v>
      </c>
      <c r="AJ52" s="250">
        <f t="shared" si="61"/>
        <v>5.1740796852056736E-2</v>
      </c>
      <c r="AK52" s="261">
        <v>148936.83121767757</v>
      </c>
      <c r="AL52" s="249">
        <v>71.906712599999992</v>
      </c>
      <c r="AM52" s="250">
        <f t="shared" si="62"/>
        <v>4.8777723387470689E-2</v>
      </c>
      <c r="AN52" s="251">
        <v>146681.17052967154</v>
      </c>
      <c r="AO52" s="303"/>
      <c r="AP52" s="249"/>
      <c r="AQ52" s="250">
        <f t="shared" si="63"/>
        <v>0</v>
      </c>
      <c r="AR52" s="251">
        <v>0</v>
      </c>
      <c r="AS52" s="297">
        <v>4.0629000000000115</v>
      </c>
      <c r="AT52" s="298">
        <f t="shared" si="64"/>
        <v>4.6630188711727617E-2</v>
      </c>
      <c r="AU52" s="300">
        <v>159292.04509094454</v>
      </c>
      <c r="AV52" s="297">
        <v>3.7392000000000074</v>
      </c>
      <c r="AW52" s="298">
        <f t="shared" si="65"/>
        <v>2.8443533515705048E-2</v>
      </c>
      <c r="AX52" s="300">
        <v>159220.49368848919</v>
      </c>
      <c r="AY52" s="249">
        <v>4.6107000000000138</v>
      </c>
      <c r="AZ52" s="250">
        <f t="shared" si="66"/>
        <v>3.6853029292711191E-2</v>
      </c>
      <c r="BA52" s="251">
        <v>159125.51239508053</v>
      </c>
      <c r="BB52" s="249">
        <v>3.4122000000000057</v>
      </c>
      <c r="BC52" s="250">
        <f t="shared" si="67"/>
        <v>2.97880865986348E-2</v>
      </c>
      <c r="BD52" s="251">
        <v>159157.20063302244</v>
      </c>
      <c r="BE52" s="249">
        <v>2.9088000000000029</v>
      </c>
      <c r="BF52" s="250">
        <f t="shared" si="68"/>
        <v>2.6799287268680205E-2</v>
      </c>
      <c r="BG52" s="251">
        <v>158958.463971397</v>
      </c>
      <c r="BH52" s="249">
        <v>5.259600000000014</v>
      </c>
      <c r="BI52" s="250">
        <f t="shared" si="75"/>
        <v>2.8567146277275246E-2</v>
      </c>
      <c r="BJ52" s="251">
        <v>158503.14472583425</v>
      </c>
      <c r="BK52" s="249">
        <v>4.0605000000000073</v>
      </c>
      <c r="BL52" s="250">
        <f t="shared" si="70"/>
        <v>1.9739963950260939E-2</v>
      </c>
      <c r="BM52" s="251">
        <v>158675.83056273829</v>
      </c>
      <c r="BN52" s="249">
        <v>3.0498000000000043</v>
      </c>
      <c r="BO52" s="250">
        <f t="shared" si="71"/>
        <v>1.4847266378156459E-2</v>
      </c>
      <c r="BP52" s="251">
        <v>158776.63453341188</v>
      </c>
      <c r="BQ52" s="372">
        <v>3.8448000000000104</v>
      </c>
      <c r="BR52" s="250">
        <f t="shared" si="72"/>
        <v>1.8602836410001003E-2</v>
      </c>
      <c r="BS52" s="261">
        <v>158893.1439866829</v>
      </c>
      <c r="BT52" s="372">
        <v>2.7648000000000028</v>
      </c>
      <c r="BU52" s="250">
        <f t="shared" si="73"/>
        <v>2.0696908197219817E-2</v>
      </c>
      <c r="BV52" s="380">
        <v>159025.86805555547</v>
      </c>
      <c r="BW52" s="249">
        <v>2.5341000000000009</v>
      </c>
      <c r="BX52" s="250">
        <f t="shared" si="74"/>
        <v>2.2357313649792456E-2</v>
      </c>
      <c r="BY52" s="380">
        <v>158975.00493271774</v>
      </c>
    </row>
    <row r="53" spans="1:77">
      <c r="A53" t="s">
        <v>191</v>
      </c>
      <c r="B53" s="247"/>
      <c r="C53" s="250">
        <f t="shared" si="50"/>
        <v>0</v>
      </c>
      <c r="D53" s="248">
        <v>0</v>
      </c>
      <c r="E53" s="247"/>
      <c r="F53" s="250">
        <f t="shared" si="51"/>
        <v>0</v>
      </c>
      <c r="G53" s="248">
        <v>0</v>
      </c>
      <c r="H53" s="247"/>
      <c r="I53" s="250">
        <f t="shared" si="52"/>
        <v>0</v>
      </c>
      <c r="J53" s="248">
        <v>0</v>
      </c>
      <c r="K53" s="305">
        <v>1.7204999999999986</v>
      </c>
      <c r="L53" s="250">
        <f t="shared" si="53"/>
        <v>1.9336196956108598E-2</v>
      </c>
      <c r="M53" s="248">
        <v>152442.10981295508</v>
      </c>
      <c r="N53" s="247">
        <v>6.3299999999999903</v>
      </c>
      <c r="O53" s="250">
        <f t="shared" si="54"/>
        <v>6.9900860592231023E-2</v>
      </c>
      <c r="P53" s="248">
        <v>152479.56646347581</v>
      </c>
      <c r="Q53" s="247">
        <v>2.2894999999999999</v>
      </c>
      <c r="R53" s="250">
        <f t="shared" si="55"/>
        <v>2.2140414211012E-2</v>
      </c>
      <c r="S53" s="248">
        <v>152503.92494719446</v>
      </c>
      <c r="T53" s="247">
        <v>5.5799999999999956</v>
      </c>
      <c r="U53" s="250">
        <f t="shared" si="56"/>
        <v>3.4193177358110949E-2</v>
      </c>
      <c r="V53" s="248">
        <v>152763.9587596363</v>
      </c>
      <c r="W53" s="247">
        <v>2.6760000000000002</v>
      </c>
      <c r="X53" s="250">
        <f t="shared" si="57"/>
        <v>1.1597038182320845E-2</v>
      </c>
      <c r="Y53" s="248">
        <v>152743.97133602574</v>
      </c>
      <c r="Z53" s="247">
        <v>0.95760000000000034</v>
      </c>
      <c r="AA53" s="250">
        <f t="shared" si="58"/>
        <v>4.7130112775626816E-3</v>
      </c>
      <c r="AB53" s="248">
        <v>147025.85630743517</v>
      </c>
      <c r="AC53" s="247">
        <v>1.4328049999999992</v>
      </c>
      <c r="AD53" s="250">
        <f t="shared" si="59"/>
        <v>7.8308609886290174E-3</v>
      </c>
      <c r="AE53" s="248">
        <v>145555.1872027248</v>
      </c>
      <c r="AF53" s="247">
        <v>1.5344999999999991</v>
      </c>
      <c r="AG53" s="250">
        <f t="shared" si="60"/>
        <v>1.9731620235564431E-2</v>
      </c>
      <c r="AH53" s="248">
        <v>151402.37210817862</v>
      </c>
      <c r="AI53" s="247">
        <v>5.503495</v>
      </c>
      <c r="AJ53" s="250">
        <f t="shared" si="61"/>
        <v>6.6938226791563291E-2</v>
      </c>
      <c r="AK53" s="248">
        <v>151989.32859937192</v>
      </c>
      <c r="AL53" s="247">
        <v>28.024400000000188</v>
      </c>
      <c r="AM53" s="250">
        <f t="shared" si="62"/>
        <v>1.9010275701295831E-2</v>
      </c>
      <c r="AN53" s="248">
        <v>151865.49610295091</v>
      </c>
      <c r="AO53" s="282"/>
      <c r="AP53" s="249"/>
      <c r="AQ53" s="250">
        <f t="shared" si="63"/>
        <v>0</v>
      </c>
      <c r="AR53" s="251">
        <v>0</v>
      </c>
      <c r="AS53" s="297">
        <v>1.2149999999999999</v>
      </c>
      <c r="AT53" s="298">
        <f t="shared" si="64"/>
        <v>1.3944640351657409E-2</v>
      </c>
      <c r="AU53" s="300">
        <v>152406.18106995884</v>
      </c>
      <c r="AV53" s="297">
        <v>1.7849999999999986</v>
      </c>
      <c r="AW53" s="298">
        <f t="shared" si="65"/>
        <v>1.3578227247949661E-2</v>
      </c>
      <c r="AX53" s="300">
        <v>151930.47058823536</v>
      </c>
      <c r="AY53" s="249">
        <v>1.0650000000000004</v>
      </c>
      <c r="AZ53" s="250">
        <f t="shared" si="66"/>
        <v>8.5124766731162968E-3</v>
      </c>
      <c r="BA53" s="251">
        <v>151794.99530516422</v>
      </c>
      <c r="BB53" s="249">
        <v>0.61650000000000016</v>
      </c>
      <c r="BC53" s="250">
        <f t="shared" si="67"/>
        <v>5.3819692245643067E-3</v>
      </c>
      <c r="BD53" s="251">
        <v>151903.03325223026</v>
      </c>
      <c r="BE53" s="249">
        <v>0.74749500000000024</v>
      </c>
      <c r="BF53" s="250">
        <f t="shared" si="68"/>
        <v>6.8868032305081459E-3</v>
      </c>
      <c r="BG53" s="251">
        <v>151857.32346035753</v>
      </c>
      <c r="BH53" s="249">
        <v>0.66000000000000014</v>
      </c>
      <c r="BI53" s="250">
        <f t="shared" si="75"/>
        <v>3.5847434297288038E-3</v>
      </c>
      <c r="BJ53" s="251">
        <v>152517.51515151511</v>
      </c>
      <c r="BK53" s="249">
        <v>0.16299999999999998</v>
      </c>
      <c r="BL53" s="250">
        <f t="shared" si="70"/>
        <v>7.9241820561323166E-4</v>
      </c>
      <c r="BM53" s="251">
        <v>151624.23312883437</v>
      </c>
      <c r="BN53" s="249">
        <v>0.105</v>
      </c>
      <c r="BO53" s="250">
        <f t="shared" si="71"/>
        <v>5.1116891917713479E-4</v>
      </c>
      <c r="BP53" s="251">
        <v>152179.04761904763</v>
      </c>
      <c r="BQ53" s="372">
        <v>2.7270000000000008</v>
      </c>
      <c r="BR53" s="250">
        <f t="shared" si="72"/>
        <v>1.3194427509902365E-2</v>
      </c>
      <c r="BS53" s="261">
        <v>152358.23615694902</v>
      </c>
      <c r="BT53" s="372">
        <v>0.23750000000000004</v>
      </c>
      <c r="BU53" s="250">
        <f t="shared" si="73"/>
        <v>1.7778919621092672E-3</v>
      </c>
      <c r="BV53" s="380">
        <v>151816.46315789473</v>
      </c>
      <c r="BW53" s="372"/>
      <c r="BX53" s="250">
        <f t="shared" si="74"/>
        <v>0</v>
      </c>
      <c r="BY53" s="380"/>
    </row>
    <row r="54" spans="1:77">
      <c r="A54" t="s">
        <v>192</v>
      </c>
      <c r="B54" s="249"/>
      <c r="C54" s="250">
        <f t="shared" si="50"/>
        <v>0</v>
      </c>
      <c r="D54" s="251">
        <v>0</v>
      </c>
      <c r="E54" s="249"/>
      <c r="F54" s="250">
        <f t="shared" si="51"/>
        <v>0</v>
      </c>
      <c r="G54" s="251">
        <v>0</v>
      </c>
      <c r="H54" s="249"/>
      <c r="I54" s="250">
        <f t="shared" si="52"/>
        <v>0</v>
      </c>
      <c r="J54" s="251">
        <v>0</v>
      </c>
      <c r="K54" s="304">
        <v>1.6548000000000023</v>
      </c>
      <c r="L54" s="250">
        <f t="shared" si="53"/>
        <v>1.8597813846537973E-2</v>
      </c>
      <c r="M54" s="251">
        <v>139147.1245536544</v>
      </c>
      <c r="N54" s="249">
        <v>7.123450000000016</v>
      </c>
      <c r="O54" s="250">
        <f t="shared" si="54"/>
        <v>7.8662762304222741E-2</v>
      </c>
      <c r="P54" s="251">
        <v>138812.16582223441</v>
      </c>
      <c r="Q54" s="249">
        <v>4.914050000000012</v>
      </c>
      <c r="R54" s="250">
        <f t="shared" si="55"/>
        <v>4.7520900831458303E-2</v>
      </c>
      <c r="S54" s="251">
        <v>138817.50590631005</v>
      </c>
      <c r="T54" s="249">
        <v>2.8944000000000063</v>
      </c>
      <c r="U54" s="250">
        <f t="shared" si="56"/>
        <v>1.7736331997368571E-2</v>
      </c>
      <c r="V54" s="251">
        <v>138675.16010723897</v>
      </c>
      <c r="W54" s="249">
        <v>2.231400000000002</v>
      </c>
      <c r="X54" s="250">
        <f t="shared" si="57"/>
        <v>9.6702656950787575E-3</v>
      </c>
      <c r="Y54" s="251">
        <v>138504.25707664862</v>
      </c>
      <c r="Z54" s="249">
        <v>2.4768000000000021</v>
      </c>
      <c r="AA54" s="250">
        <f t="shared" si="58"/>
        <v>1.2190044206628297E-2</v>
      </c>
      <c r="AB54" s="251">
        <v>138536.19993540042</v>
      </c>
      <c r="AC54" s="249">
        <v>1.4184000000000008</v>
      </c>
      <c r="AD54" s="250">
        <f t="shared" si="59"/>
        <v>7.7521318157539997E-3</v>
      </c>
      <c r="AE54" s="251">
        <v>138304.54032712895</v>
      </c>
      <c r="AF54" s="249">
        <v>1.6947000000000008</v>
      </c>
      <c r="AG54" s="250">
        <f t="shared" si="60"/>
        <v>2.1791578242561796E-2</v>
      </c>
      <c r="AH54" s="251">
        <v>138186.56399362703</v>
      </c>
      <c r="AI54" s="261">
        <v>2.563200000000001</v>
      </c>
      <c r="AJ54" s="250">
        <f t="shared" si="61"/>
        <v>3.1175836974892339E-2</v>
      </c>
      <c r="AK54" s="261">
        <v>137998.26388888891</v>
      </c>
      <c r="AL54" s="249">
        <v>26.971199999999904</v>
      </c>
      <c r="AM54" s="250">
        <f t="shared" si="62"/>
        <v>1.8295840338946948E-2</v>
      </c>
      <c r="AN54" s="251">
        <v>138624.8172825801</v>
      </c>
      <c r="AO54" s="303"/>
      <c r="AP54" s="249"/>
      <c r="AQ54" s="250">
        <f t="shared" si="63"/>
        <v>0</v>
      </c>
      <c r="AR54" s="251">
        <v>0</v>
      </c>
      <c r="AS54" s="297">
        <v>5.4504000000000028</v>
      </c>
      <c r="AT54" s="298">
        <f t="shared" si="64"/>
        <v>6.255462368121284E-2</v>
      </c>
      <c r="AU54" s="300">
        <v>138096.12138558642</v>
      </c>
      <c r="AV54" s="297">
        <v>0.81199999999999994</v>
      </c>
      <c r="AW54" s="298">
        <f t="shared" si="65"/>
        <v>6.1767621990673014E-3</v>
      </c>
      <c r="AX54" s="300">
        <v>138250.13546798029</v>
      </c>
      <c r="AY54" s="249">
        <v>0.23759999999999998</v>
      </c>
      <c r="AZ54" s="250">
        <f t="shared" si="66"/>
        <v>1.8991215563684801E-3</v>
      </c>
      <c r="BA54" s="251">
        <v>138301.01010101015</v>
      </c>
      <c r="BB54" s="249">
        <v>7.8299999999999995E-2</v>
      </c>
      <c r="BC54" s="250">
        <f t="shared" si="67"/>
        <v>6.8354937596656136E-4</v>
      </c>
      <c r="BD54" s="251">
        <v>138031.54533844188</v>
      </c>
      <c r="BE54" s="249">
        <v>3.5999999999999997E-2</v>
      </c>
      <c r="BF54" s="250">
        <f t="shared" si="68"/>
        <v>3.3167434738465561E-4</v>
      </c>
      <c r="BG54" s="251">
        <v>137972.50000000003</v>
      </c>
      <c r="BH54" s="249">
        <v>5.04E-2</v>
      </c>
      <c r="BI54" s="250">
        <f t="shared" si="75"/>
        <v>2.7374404372474493E-4</v>
      </c>
      <c r="BJ54" s="251">
        <v>137972.42063492062</v>
      </c>
      <c r="BK54" s="249">
        <v>1.44E-2</v>
      </c>
      <c r="BL54" s="250">
        <f t="shared" si="70"/>
        <v>7.000504393147569E-5</v>
      </c>
      <c r="BM54" s="251">
        <v>137972.22222222222</v>
      </c>
      <c r="BN54" s="249">
        <v>4.3200000000000002E-2</v>
      </c>
      <c r="BO54" s="250">
        <f t="shared" si="71"/>
        <v>2.103094981757355E-4</v>
      </c>
      <c r="BP54" s="251">
        <v>138079.62962962964</v>
      </c>
      <c r="BQ54" s="372">
        <v>1.44E-2</v>
      </c>
      <c r="BR54" s="250">
        <f t="shared" si="72"/>
        <v>6.967354460674514E-5</v>
      </c>
      <c r="BS54" s="261">
        <v>137972.22222222222</v>
      </c>
      <c r="BT54" s="372">
        <v>1.8936000000000006</v>
      </c>
      <c r="BU54" s="250">
        <f t="shared" si="73"/>
        <v>1.4175226187158354E-2</v>
      </c>
      <c r="BV54" s="380">
        <v>137972.48626953934</v>
      </c>
      <c r="BW54" s="249">
        <v>0.22320000000000012</v>
      </c>
      <c r="BX54" s="250">
        <f t="shared" si="74"/>
        <v>1.9692010601924459E-3</v>
      </c>
      <c r="BY54" s="380">
        <v>138119.2204301075</v>
      </c>
    </row>
    <row r="55" spans="1:77">
      <c r="A55" t="s">
        <v>193</v>
      </c>
      <c r="B55" s="249"/>
      <c r="C55" s="250"/>
      <c r="D55" s="251"/>
      <c r="E55" s="249"/>
      <c r="F55" s="250"/>
      <c r="G55" s="251"/>
      <c r="H55" s="249"/>
      <c r="I55" s="250"/>
      <c r="J55" s="251"/>
      <c r="K55" s="304"/>
      <c r="L55" s="250"/>
      <c r="M55" s="251"/>
      <c r="N55" s="249"/>
      <c r="O55" s="250"/>
      <c r="P55" s="251"/>
      <c r="Q55" s="249"/>
      <c r="R55" s="250"/>
      <c r="S55" s="251"/>
      <c r="T55" s="249"/>
      <c r="U55" s="250"/>
      <c r="V55" s="251"/>
      <c r="W55" s="249"/>
      <c r="X55" s="250"/>
      <c r="Y55" s="251"/>
      <c r="Z55" s="249"/>
      <c r="AA55" s="250"/>
      <c r="AB55" s="251"/>
      <c r="AC55" s="249"/>
      <c r="AD55" s="250"/>
      <c r="AE55" s="251"/>
      <c r="AF55" s="249"/>
      <c r="AG55" s="250"/>
      <c r="AH55" s="251"/>
      <c r="AI55" s="261"/>
      <c r="AJ55" s="250"/>
      <c r="AK55" s="261"/>
      <c r="AL55" s="249"/>
      <c r="AM55" s="250"/>
      <c r="AN55" s="251"/>
      <c r="AO55" s="303"/>
      <c r="AP55" s="249"/>
      <c r="AQ55" s="250">
        <f t="shared" si="63"/>
        <v>0</v>
      </c>
      <c r="AR55" s="251">
        <v>0</v>
      </c>
      <c r="AS55" s="297">
        <v>4.9559999999999995</v>
      </c>
      <c r="AT55" s="298">
        <f t="shared" si="64"/>
        <v>5.6880360150464299E-2</v>
      </c>
      <c r="AU55" s="300">
        <v>81648.765133171924</v>
      </c>
      <c r="AV55" s="297">
        <v>4.3250199999999923</v>
      </c>
      <c r="AW55" s="298">
        <f t="shared" si="65"/>
        <v>3.2899778382032036E-2</v>
      </c>
      <c r="AX55" s="300">
        <v>81673.573763820881</v>
      </c>
      <c r="AY55" s="249">
        <v>0.79590000000000027</v>
      </c>
      <c r="AZ55" s="250">
        <f t="shared" si="66"/>
        <v>6.3615776376838131E-3</v>
      </c>
      <c r="BA55" s="251">
        <v>84635.04209071488</v>
      </c>
      <c r="BB55" s="249">
        <v>11.647999999999973</v>
      </c>
      <c r="BC55" s="250">
        <f t="shared" si="67"/>
        <v>0.10168560831747751</v>
      </c>
      <c r="BD55" s="251">
        <v>86345.045501374014</v>
      </c>
      <c r="BE55" s="249">
        <v>11.18445999999998</v>
      </c>
      <c r="BF55" s="250">
        <f t="shared" si="68"/>
        <v>0.1030444019819383</v>
      </c>
      <c r="BG55" s="251">
        <v>84592.027688417977</v>
      </c>
      <c r="BH55" s="249">
        <v>10.288739999999978</v>
      </c>
      <c r="BI55" s="250">
        <f t="shared" si="75"/>
        <v>5.5882565326042188E-2</v>
      </c>
      <c r="BJ55" s="251">
        <v>84656.257228776652</v>
      </c>
      <c r="BK55" s="249">
        <v>7.0979999999999972</v>
      </c>
      <c r="BL55" s="250">
        <f t="shared" si="70"/>
        <v>3.4506652904556546E-2</v>
      </c>
      <c r="BM55" s="251">
        <v>84595.839673147522</v>
      </c>
      <c r="BN55" s="249">
        <v>6.9859999999999971</v>
      </c>
      <c r="BO55" s="250">
        <f t="shared" si="71"/>
        <v>3.4009772089252023E-2</v>
      </c>
      <c r="BP55" s="251">
        <v>87672.679645004537</v>
      </c>
      <c r="BQ55" s="372">
        <v>24.270819999999958</v>
      </c>
      <c r="BR55" s="250">
        <f t="shared" si="72"/>
        <v>0.11743292082724162</v>
      </c>
      <c r="BS55" s="261">
        <v>87605.907422987744</v>
      </c>
      <c r="BT55" s="372">
        <v>4.1569499999999948</v>
      </c>
      <c r="BU55" s="250">
        <f t="shared" si="73"/>
        <v>3.1118349439537299E-2</v>
      </c>
      <c r="BV55" s="380">
        <v>87752.698492885625</v>
      </c>
      <c r="BW55" s="249">
        <v>3.345999999999997</v>
      </c>
      <c r="BX55" s="250">
        <f t="shared" si="74"/>
        <v>2.9520370732096388E-2</v>
      </c>
      <c r="BY55" s="380">
        <v>87597.13687985664</v>
      </c>
    </row>
    <row r="56" spans="1:77">
      <c r="A56" t="s">
        <v>194</v>
      </c>
      <c r="B56" s="249"/>
      <c r="C56" s="250"/>
      <c r="D56" s="251"/>
      <c r="E56" s="249"/>
      <c r="F56" s="250"/>
      <c r="G56" s="251"/>
      <c r="H56" s="249"/>
      <c r="I56" s="250"/>
      <c r="J56" s="251"/>
      <c r="K56" s="304"/>
      <c r="L56" s="250"/>
      <c r="M56" s="251"/>
      <c r="N56" s="249"/>
      <c r="O56" s="250"/>
      <c r="P56" s="251"/>
      <c r="Q56" s="249"/>
      <c r="R56" s="250"/>
      <c r="S56" s="251"/>
      <c r="T56" s="249"/>
      <c r="U56" s="250"/>
      <c r="V56" s="251"/>
      <c r="W56" s="249"/>
      <c r="X56" s="250"/>
      <c r="Y56" s="251"/>
      <c r="Z56" s="249"/>
      <c r="AA56" s="250"/>
      <c r="AB56" s="251"/>
      <c r="AC56" s="249"/>
      <c r="AD56" s="250"/>
      <c r="AE56" s="251"/>
      <c r="AF56" s="249"/>
      <c r="AG56" s="250"/>
      <c r="AH56" s="251"/>
      <c r="AI56" s="261"/>
      <c r="AJ56" s="250"/>
      <c r="AK56" s="261"/>
      <c r="AL56" s="249"/>
      <c r="AM56" s="250"/>
      <c r="AN56" s="251"/>
      <c r="AO56" s="303"/>
      <c r="AP56" s="249"/>
      <c r="AQ56" s="250">
        <f t="shared" si="63"/>
        <v>0</v>
      </c>
      <c r="AR56" s="251">
        <v>0</v>
      </c>
      <c r="AS56" s="297">
        <v>4.7879999999999994</v>
      </c>
      <c r="AT56" s="298">
        <f t="shared" si="64"/>
        <v>5.4952212348753644E-2</v>
      </c>
      <c r="AU56" s="300">
        <v>81649.060150375954</v>
      </c>
      <c r="AV56" s="297">
        <v>4.6050199999999979</v>
      </c>
      <c r="AW56" s="298">
        <f t="shared" si="65"/>
        <v>3.5029696381710461E-2</v>
      </c>
      <c r="AX56" s="300">
        <v>81671.551915083983</v>
      </c>
      <c r="AY56" s="249">
        <v>11.505899999999995</v>
      </c>
      <c r="AZ56" s="250">
        <f t="shared" si="66"/>
        <v>9.1965920519444813E-2</v>
      </c>
      <c r="BA56" s="251">
        <v>84716.301201992115</v>
      </c>
      <c r="BB56" s="249">
        <v>12.248949999999976</v>
      </c>
      <c r="BC56" s="250">
        <f t="shared" si="67"/>
        <v>0.10693182795332817</v>
      </c>
      <c r="BD56" s="251">
        <v>86248.918478727079</v>
      </c>
      <c r="BE56" s="249">
        <v>8.8884599999999931</v>
      </c>
      <c r="BF56" s="250">
        <f t="shared" si="68"/>
        <v>8.1890949159850387E-2</v>
      </c>
      <c r="BG56" s="251">
        <v>84614.713909946382</v>
      </c>
      <c r="BH56" s="249">
        <v>9.6587399999999857</v>
      </c>
      <c r="BI56" s="250">
        <f t="shared" si="75"/>
        <v>5.2460764779482923E-2</v>
      </c>
      <c r="BJ56" s="251">
        <v>84687.696324779739</v>
      </c>
      <c r="BK56" s="249">
        <v>7.1679999999999975</v>
      </c>
      <c r="BL56" s="250">
        <f t="shared" si="70"/>
        <v>3.4846955201445665E-2</v>
      </c>
      <c r="BM56" s="251">
        <v>84591.247209821609</v>
      </c>
      <c r="BN56" s="249">
        <v>11.269999999999982</v>
      </c>
      <c r="BO56" s="250">
        <f t="shared" si="71"/>
        <v>5.4865463991679055E-2</v>
      </c>
      <c r="BP56" s="251">
        <v>87667.980479148318</v>
      </c>
      <c r="BQ56" s="372">
        <v>28.389479999999953</v>
      </c>
      <c r="BR56" s="250">
        <f t="shared" si="72"/>
        <v>0.13736081257932611</v>
      </c>
      <c r="BS56" s="261">
        <v>87619.591834722014</v>
      </c>
      <c r="BT56" s="372">
        <v>8.078280000000003</v>
      </c>
      <c r="BU56" s="250">
        <f t="shared" si="73"/>
        <v>6.0472880335444443E-2</v>
      </c>
      <c r="BV56" s="380">
        <v>87626.462563812995</v>
      </c>
      <c r="BW56" s="249">
        <v>0.93800000000000039</v>
      </c>
      <c r="BX56" s="250">
        <f t="shared" si="74"/>
        <v>8.2755851006295431E-3</v>
      </c>
      <c r="BY56" s="380">
        <v>87326.11940298503</v>
      </c>
    </row>
    <row r="57" spans="1:77">
      <c r="A57" t="s">
        <v>195</v>
      </c>
      <c r="B57" s="249"/>
      <c r="C57" s="250"/>
      <c r="D57" s="251"/>
      <c r="E57" s="249"/>
      <c r="F57" s="250"/>
      <c r="G57" s="251"/>
      <c r="H57" s="249"/>
      <c r="I57" s="250"/>
      <c r="J57" s="251"/>
      <c r="K57" s="304"/>
      <c r="L57" s="250"/>
      <c r="M57" s="251"/>
      <c r="N57" s="249"/>
      <c r="O57" s="250"/>
      <c r="P57" s="251"/>
      <c r="Q57" s="249"/>
      <c r="R57" s="250"/>
      <c r="S57" s="251"/>
      <c r="T57" s="249"/>
      <c r="U57" s="250"/>
      <c r="V57" s="251"/>
      <c r="W57" s="249"/>
      <c r="X57" s="250"/>
      <c r="Y57" s="251"/>
      <c r="Z57" s="249"/>
      <c r="AA57" s="250"/>
      <c r="AB57" s="251"/>
      <c r="AC57" s="249"/>
      <c r="AD57" s="250"/>
      <c r="AE57" s="251"/>
      <c r="AF57" s="249"/>
      <c r="AG57" s="250"/>
      <c r="AH57" s="251"/>
      <c r="AI57" s="261"/>
      <c r="AJ57" s="250"/>
      <c r="AK57" s="261"/>
      <c r="AL57" s="249"/>
      <c r="AM57" s="250"/>
      <c r="AN57" s="251"/>
      <c r="AO57" s="303"/>
      <c r="AP57" s="249"/>
      <c r="AQ57" s="250">
        <f t="shared" si="63"/>
        <v>0</v>
      </c>
      <c r="AR57" s="251">
        <v>0</v>
      </c>
      <c r="AS57" s="297">
        <v>4.7879999999999994</v>
      </c>
      <c r="AT57" s="298">
        <f t="shared" si="64"/>
        <v>5.4952212348753644E-2</v>
      </c>
      <c r="AU57" s="300">
        <v>81649.064327485394</v>
      </c>
      <c r="AV57" s="297">
        <v>4.9270199999999953</v>
      </c>
      <c r="AW57" s="298">
        <f t="shared" si="65"/>
        <v>3.7479102081340573E-2</v>
      </c>
      <c r="AX57" s="300">
        <v>81661.933582571262</v>
      </c>
      <c r="AY57" s="249">
        <v>4.078199999999998</v>
      </c>
      <c r="AZ57" s="250">
        <f t="shared" si="66"/>
        <v>3.2596790956152914E-2</v>
      </c>
      <c r="BA57" s="251">
        <v>84583.926732382053</v>
      </c>
      <c r="BB57" s="249">
        <v>10.919999999999977</v>
      </c>
      <c r="BC57" s="250">
        <f t="shared" si="67"/>
        <v>9.5330257797635182E-2</v>
      </c>
      <c r="BD57" s="251">
        <v>86192.869047619417</v>
      </c>
      <c r="BE57" s="249">
        <v>9.9524599999999914</v>
      </c>
      <c r="BF57" s="250">
        <f t="shared" si="68"/>
        <v>9.1693768760330197E-2</v>
      </c>
      <c r="BG57" s="251">
        <v>84616.216493208936</v>
      </c>
      <c r="BH57" s="249">
        <v>10.484739999999988</v>
      </c>
      <c r="BI57" s="250">
        <f t="shared" si="75"/>
        <v>5.6947125496082919E-2</v>
      </c>
      <c r="BJ57" s="251">
        <v>84675.665777120172</v>
      </c>
      <c r="BK57" s="249">
        <v>8.2739999999999796</v>
      </c>
      <c r="BL57" s="250">
        <f t="shared" si="70"/>
        <v>4.0223731492293642E-2</v>
      </c>
      <c r="BM57" s="251">
        <v>84663.785351704573</v>
      </c>
      <c r="BN57" s="249">
        <v>10.023999999999988</v>
      </c>
      <c r="BO57" s="250">
        <f t="shared" si="71"/>
        <v>4.8799592817443754E-2</v>
      </c>
      <c r="BP57" s="251">
        <v>87727.736432561942</v>
      </c>
      <c r="BQ57" s="372">
        <v>20.520359999999954</v>
      </c>
      <c r="BR57" s="250">
        <f t="shared" si="72"/>
        <v>9.9286542903226777E-2</v>
      </c>
      <c r="BS57" s="261">
        <v>87636.389420068765</v>
      </c>
      <c r="BT57" s="372">
        <v>4.9286999999999992</v>
      </c>
      <c r="BU57" s="250">
        <f t="shared" si="73"/>
        <v>3.6895562583780815E-2</v>
      </c>
      <c r="BV57" s="380">
        <v>87625.990626331593</v>
      </c>
      <c r="BW57" s="249">
        <v>0.6020000000000002</v>
      </c>
      <c r="BX57" s="250">
        <f t="shared" si="74"/>
        <v>5.3111964078667211E-3</v>
      </c>
      <c r="BY57" s="380">
        <v>87530.282392026551</v>
      </c>
    </row>
    <row r="58" spans="1:77">
      <c r="A58" t="s">
        <v>206</v>
      </c>
      <c r="B58" s="249"/>
      <c r="C58" s="250"/>
      <c r="D58" s="251"/>
      <c r="E58" s="249"/>
      <c r="F58" s="250"/>
      <c r="G58" s="251"/>
      <c r="H58" s="249"/>
      <c r="I58" s="250"/>
      <c r="J58" s="251"/>
      <c r="K58" s="304"/>
      <c r="L58" s="250"/>
      <c r="M58" s="251"/>
      <c r="N58" s="249"/>
      <c r="O58" s="250"/>
      <c r="P58" s="251"/>
      <c r="Q58" s="249"/>
      <c r="R58" s="250"/>
      <c r="S58" s="251"/>
      <c r="T58" s="249"/>
      <c r="U58" s="250"/>
      <c r="V58" s="251"/>
      <c r="W58" s="249"/>
      <c r="X58" s="250"/>
      <c r="Y58" s="251"/>
      <c r="Z58" s="249"/>
      <c r="AA58" s="250"/>
      <c r="AB58" s="251"/>
      <c r="AC58" s="249"/>
      <c r="AD58" s="250"/>
      <c r="AE58" s="251"/>
      <c r="AF58" s="249"/>
      <c r="AG58" s="250"/>
      <c r="AH58" s="251"/>
      <c r="AI58" s="261"/>
      <c r="AJ58" s="250"/>
      <c r="AK58" s="261"/>
      <c r="AL58" s="249"/>
      <c r="AM58" s="250"/>
      <c r="AN58" s="251"/>
      <c r="AO58" s="303"/>
      <c r="AP58" s="249"/>
      <c r="AQ58" s="250"/>
      <c r="AR58" s="251"/>
      <c r="AS58" s="297"/>
      <c r="AT58" s="298"/>
      <c r="AU58" s="300"/>
      <c r="AV58" s="297">
        <v>2.37</v>
      </c>
      <c r="AW58" s="298">
        <f t="shared" si="65"/>
        <v>1.8028234497277716E-2</v>
      </c>
      <c r="AX58" s="300">
        <v>130043.91983122365</v>
      </c>
      <c r="AY58" s="249">
        <v>7.3924999999999903</v>
      </c>
      <c r="AZ58" s="250">
        <f t="shared" si="66"/>
        <v>5.9087778221607629E-2</v>
      </c>
      <c r="BA58" s="251">
        <v>102093.01589448776</v>
      </c>
      <c r="BB58" s="249">
        <v>7.4374999999999893</v>
      </c>
      <c r="BC58" s="250">
        <f t="shared" si="67"/>
        <v>6.4928460839735552E-2</v>
      </c>
      <c r="BD58" s="251">
        <v>101718.48470588245</v>
      </c>
      <c r="BE58" s="249">
        <v>5.8759999999999986</v>
      </c>
      <c r="BF58" s="250">
        <f t="shared" si="68"/>
        <v>5.4136624034228781E-2</v>
      </c>
      <c r="BG58" s="251">
        <v>101678.00204220552</v>
      </c>
      <c r="BH58" s="249">
        <v>7.4229999999999929</v>
      </c>
      <c r="BI58" s="250">
        <f t="shared" si="75"/>
        <v>4.0317500725571026E-2</v>
      </c>
      <c r="BJ58" s="251">
        <v>101671.40239795236</v>
      </c>
      <c r="BK58" s="249">
        <v>4.3499999999999988</v>
      </c>
      <c r="BL58" s="250">
        <f t="shared" si="70"/>
        <v>2.1147357020966609E-2</v>
      </c>
      <c r="BM58" s="251">
        <v>101637.56551724141</v>
      </c>
      <c r="BN58" s="249">
        <v>3.3149999999999986</v>
      </c>
      <c r="BO58" s="250">
        <f t="shared" si="71"/>
        <v>1.6138333019735253E-2</v>
      </c>
      <c r="BP58" s="251">
        <v>106757.97888386129</v>
      </c>
      <c r="BQ58" s="372">
        <v>6.63</v>
      </c>
      <c r="BR58" s="250">
        <f t="shared" si="72"/>
        <v>3.2078861162688911E-2</v>
      </c>
      <c r="BS58" s="261">
        <v>106492.66817496237</v>
      </c>
      <c r="BT58" s="372">
        <v>3.2069999999999981</v>
      </c>
      <c r="BU58" s="250">
        <f t="shared" si="73"/>
        <v>2.4007155884144909E-2</v>
      </c>
      <c r="BV58" s="380">
        <v>106443.2366697848</v>
      </c>
      <c r="BW58" s="249">
        <v>3.1555000000000004</v>
      </c>
      <c r="BX58" s="250">
        <f t="shared" si="74"/>
        <v>2.7839668214324643E-2</v>
      </c>
      <c r="BY58" s="380">
        <v>106436.56789732215</v>
      </c>
    </row>
    <row r="59" spans="1:77">
      <c r="A59" t="s">
        <v>207</v>
      </c>
      <c r="B59" s="249"/>
      <c r="C59" s="250"/>
      <c r="D59" s="251"/>
      <c r="E59" s="249"/>
      <c r="F59" s="250"/>
      <c r="G59" s="251"/>
      <c r="H59" s="249"/>
      <c r="I59" s="250"/>
      <c r="J59" s="251"/>
      <c r="K59" s="304"/>
      <c r="L59" s="250"/>
      <c r="M59" s="251"/>
      <c r="N59" s="249"/>
      <c r="O59" s="250"/>
      <c r="P59" s="251"/>
      <c r="Q59" s="249"/>
      <c r="R59" s="250"/>
      <c r="S59" s="251"/>
      <c r="T59" s="249"/>
      <c r="U59" s="250"/>
      <c r="V59" s="251"/>
      <c r="W59" s="249"/>
      <c r="X59" s="250"/>
      <c r="Y59" s="251"/>
      <c r="Z59" s="249"/>
      <c r="AA59" s="250"/>
      <c r="AB59" s="251"/>
      <c r="AC59" s="249"/>
      <c r="AD59" s="250"/>
      <c r="AE59" s="251"/>
      <c r="AF59" s="249"/>
      <c r="AG59" s="250"/>
      <c r="AH59" s="251"/>
      <c r="AI59" s="261"/>
      <c r="AJ59" s="250"/>
      <c r="AK59" s="261"/>
      <c r="AL59" s="249"/>
      <c r="AM59" s="250"/>
      <c r="AN59" s="251"/>
      <c r="AO59" s="303"/>
      <c r="AP59" s="249"/>
      <c r="AQ59" s="250"/>
      <c r="AR59" s="251"/>
      <c r="AS59" s="297"/>
      <c r="AT59" s="298"/>
      <c r="AU59" s="300"/>
      <c r="AV59" s="297">
        <v>1.9049999999999998</v>
      </c>
      <c r="AW59" s="298">
        <f t="shared" si="65"/>
        <v>1.4491049247811832E-2</v>
      </c>
      <c r="AX59" s="300">
        <v>130090.66141732292</v>
      </c>
      <c r="AY59" s="249">
        <v>15.627499999999998</v>
      </c>
      <c r="AZ59" s="250">
        <f t="shared" si="66"/>
        <v>0.12490960489119707</v>
      </c>
      <c r="BA59" s="251">
        <v>101853.61638137874</v>
      </c>
      <c r="BB59" s="249">
        <v>7.13499999999999</v>
      </c>
      <c r="BC59" s="250">
        <f t="shared" si="67"/>
        <v>6.2287673020707653E-2</v>
      </c>
      <c r="BD59" s="251">
        <v>101672.00000000001</v>
      </c>
      <c r="BE59" s="249">
        <v>6.1319999999999908</v>
      </c>
      <c r="BF59" s="250">
        <f t="shared" si="68"/>
        <v>5.6495197171186257E-2</v>
      </c>
      <c r="BG59" s="251">
        <v>101612.61741682977</v>
      </c>
      <c r="BH59" s="249">
        <v>8.742999999999995</v>
      </c>
      <c r="BI59" s="250">
        <f t="shared" si="75"/>
        <v>4.7486987585028645E-2</v>
      </c>
      <c r="BJ59" s="251">
        <v>101648.99576804302</v>
      </c>
      <c r="BK59" s="249">
        <v>5.3099999999999969</v>
      </c>
      <c r="BL59" s="250">
        <f t="shared" si="70"/>
        <v>2.5814359949731646E-2</v>
      </c>
      <c r="BM59" s="251">
        <v>101614.84557438792</v>
      </c>
      <c r="BN59" s="249">
        <v>4.9799999999999915</v>
      </c>
      <c r="BO59" s="250">
        <f t="shared" si="71"/>
        <v>2.4244011595258356E-2</v>
      </c>
      <c r="BP59" s="251">
        <v>106666.53815261059</v>
      </c>
      <c r="BQ59" s="372">
        <v>11.084999999999996</v>
      </c>
      <c r="BR59" s="250">
        <f t="shared" si="72"/>
        <v>5.3634114025400671E-2</v>
      </c>
      <c r="BS59" s="261">
        <v>106457.1583220569</v>
      </c>
      <c r="BT59" s="372">
        <v>4.3619999999999992</v>
      </c>
      <c r="BU59" s="250">
        <f t="shared" si="73"/>
        <v>3.2653325215665774E-2</v>
      </c>
      <c r="BV59" s="380">
        <v>106446.23567171014</v>
      </c>
      <c r="BW59" s="249">
        <v>4.2109999999999976</v>
      </c>
      <c r="BX59" s="250">
        <f t="shared" si="74"/>
        <v>3.715190709888163E-2</v>
      </c>
      <c r="BY59" s="380">
        <v>106436.35478508673</v>
      </c>
    </row>
    <row r="60" spans="1:77">
      <c r="A60" t="s">
        <v>208</v>
      </c>
      <c r="B60" s="249"/>
      <c r="C60" s="250"/>
      <c r="D60" s="251"/>
      <c r="E60" s="249"/>
      <c r="F60" s="250"/>
      <c r="G60" s="251"/>
      <c r="H60" s="249"/>
      <c r="I60" s="250"/>
      <c r="J60" s="251"/>
      <c r="K60" s="304"/>
      <c r="L60" s="250"/>
      <c r="M60" s="251"/>
      <c r="N60" s="249"/>
      <c r="O60" s="250"/>
      <c r="P60" s="251"/>
      <c r="Q60" s="249"/>
      <c r="R60" s="250"/>
      <c r="S60" s="251"/>
      <c r="T60" s="249"/>
      <c r="U60" s="250"/>
      <c r="V60" s="251"/>
      <c r="W60" s="249"/>
      <c r="X60" s="250"/>
      <c r="Y60" s="251"/>
      <c r="Z60" s="249"/>
      <c r="AA60" s="250"/>
      <c r="AB60" s="251"/>
      <c r="AC60" s="249"/>
      <c r="AD60" s="250"/>
      <c r="AE60" s="251"/>
      <c r="AF60" s="249"/>
      <c r="AG60" s="250"/>
      <c r="AH60" s="251"/>
      <c r="AI60" s="261"/>
      <c r="AJ60" s="250"/>
      <c r="AK60" s="261"/>
      <c r="AL60" s="249"/>
      <c r="AM60" s="250"/>
      <c r="AN60" s="251"/>
      <c r="AO60" s="303"/>
      <c r="AP60" s="249"/>
      <c r="AQ60" s="250"/>
      <c r="AR60" s="251"/>
      <c r="AS60" s="297"/>
      <c r="AT60" s="298"/>
      <c r="AU60" s="300"/>
      <c r="AV60" s="297">
        <v>2.3850000000000002</v>
      </c>
      <c r="AW60" s="298">
        <f t="shared" si="65"/>
        <v>1.8142337247260488E-2</v>
      </c>
      <c r="AX60" s="300">
        <v>130026.28092243188</v>
      </c>
      <c r="AY60" s="249">
        <v>16.437500000000004</v>
      </c>
      <c r="AZ60" s="250">
        <f t="shared" si="66"/>
        <v>0.13138388292427147</v>
      </c>
      <c r="BA60" s="251">
        <v>101856.9892015206</v>
      </c>
      <c r="BB60" s="249">
        <v>8.4274999999999896</v>
      </c>
      <c r="BC60" s="250">
        <f t="shared" si="67"/>
        <v>7.3571039156554136E-2</v>
      </c>
      <c r="BD60" s="251">
        <v>101688.60160189863</v>
      </c>
      <c r="BE60" s="249">
        <v>8.1704999999999917</v>
      </c>
      <c r="BF60" s="250">
        <f t="shared" si="68"/>
        <v>7.5276257091842394E-2</v>
      </c>
      <c r="BG60" s="251">
        <v>101633.98935193688</v>
      </c>
      <c r="BH60" s="249">
        <v>9.0879999999999992</v>
      </c>
      <c r="BI60" s="250">
        <f t="shared" si="75"/>
        <v>4.9360830741477818E-2</v>
      </c>
      <c r="BJ60" s="251">
        <v>101618.30985915495</v>
      </c>
      <c r="BK60" s="249">
        <v>6.2999999999999972</v>
      </c>
      <c r="BL60" s="250">
        <f t="shared" si="70"/>
        <v>3.0627206720020599E-2</v>
      </c>
      <c r="BM60" s="251">
        <v>101599.36349206349</v>
      </c>
      <c r="BN60" s="249">
        <v>4.9199999999999928</v>
      </c>
      <c r="BO60" s="250">
        <f t="shared" si="71"/>
        <v>2.3951915070014283E-2</v>
      </c>
      <c r="BP60" s="251">
        <v>106649.90853658548</v>
      </c>
      <c r="BQ60" s="372">
        <v>9.7800000000000011</v>
      </c>
      <c r="BR60" s="250">
        <f t="shared" si="72"/>
        <v>4.7319949045414415E-2</v>
      </c>
      <c r="BS60" s="261">
        <v>106474.40899795515</v>
      </c>
      <c r="BT60" s="372">
        <v>4.4970000000000008</v>
      </c>
      <c r="BU60" s="250">
        <f t="shared" si="73"/>
        <v>3.3663916436233156E-2</v>
      </c>
      <c r="BV60" s="380">
        <v>106470.70491438724</v>
      </c>
      <c r="BW60" s="249">
        <v>4.2599999999999971</v>
      </c>
      <c r="BX60" s="250">
        <f t="shared" si="74"/>
        <v>3.7584213783242872E-2</v>
      </c>
      <c r="BY60" s="380">
        <v>106499.24413145546</v>
      </c>
    </row>
    <row r="61" spans="1:77">
      <c r="A61" t="s">
        <v>264</v>
      </c>
      <c r="B61" s="249"/>
      <c r="C61" s="250"/>
      <c r="D61" s="251"/>
      <c r="E61" s="249"/>
      <c r="F61" s="250"/>
      <c r="G61" s="251"/>
      <c r="H61" s="249"/>
      <c r="I61" s="250"/>
      <c r="J61" s="251"/>
      <c r="K61" s="304"/>
      <c r="L61" s="250"/>
      <c r="M61" s="251"/>
      <c r="N61" s="249"/>
      <c r="O61" s="250"/>
      <c r="P61" s="251"/>
      <c r="Q61" s="249"/>
      <c r="R61" s="250"/>
      <c r="S61" s="251"/>
      <c r="T61" s="249"/>
      <c r="U61" s="250"/>
      <c r="V61" s="251"/>
      <c r="W61" s="249"/>
      <c r="X61" s="250"/>
      <c r="Y61" s="251"/>
      <c r="Z61" s="249"/>
      <c r="AA61" s="250"/>
      <c r="AB61" s="251"/>
      <c r="AC61" s="249"/>
      <c r="AD61" s="250"/>
      <c r="AE61" s="251"/>
      <c r="AF61" s="249"/>
      <c r="AG61" s="250"/>
      <c r="AH61" s="251"/>
      <c r="AI61" s="261"/>
      <c r="AJ61" s="250"/>
      <c r="AK61" s="261"/>
      <c r="AL61" s="249"/>
      <c r="AM61" s="250"/>
      <c r="AN61" s="251"/>
      <c r="AO61" s="303"/>
      <c r="AP61" s="249"/>
      <c r="AQ61" s="250"/>
      <c r="AR61" s="251"/>
      <c r="AS61" s="297"/>
      <c r="AT61" s="298"/>
      <c r="AU61" s="300"/>
      <c r="AV61" s="297"/>
      <c r="AW61" s="298"/>
      <c r="AX61" s="300"/>
      <c r="AY61" s="249"/>
      <c r="AZ61" s="250"/>
      <c r="BA61" s="251"/>
      <c r="BB61" s="249"/>
      <c r="BC61" s="250"/>
      <c r="BD61" s="251"/>
      <c r="BE61" s="249"/>
      <c r="BF61" s="250"/>
      <c r="BG61" s="251"/>
      <c r="BH61" s="249"/>
      <c r="BI61" s="250"/>
      <c r="BJ61" s="251"/>
      <c r="BK61" s="249"/>
      <c r="BL61" s="250"/>
      <c r="BM61" s="251"/>
      <c r="BN61" s="249"/>
      <c r="BO61" s="250"/>
      <c r="BP61" s="251"/>
      <c r="BQ61" s="372"/>
      <c r="BR61" s="250"/>
      <c r="BS61" s="261"/>
      <c r="BT61" s="372">
        <v>22.576319999999981</v>
      </c>
      <c r="BU61" s="250">
        <f t="shared" si="73"/>
        <v>0.16900319099792274</v>
      </c>
      <c r="BV61" s="380">
        <v>94337.070434862908</v>
      </c>
      <c r="BW61" s="249">
        <v>20.106449999999924</v>
      </c>
      <c r="BX61" s="250">
        <f t="shared" si="74"/>
        <v>0.17739087211785945</v>
      </c>
      <c r="BY61" s="380">
        <v>94414.18947651182</v>
      </c>
    </row>
    <row r="62" spans="1:77">
      <c r="A62" t="s">
        <v>265</v>
      </c>
      <c r="B62" s="249"/>
      <c r="C62" s="250"/>
      <c r="D62" s="251"/>
      <c r="E62" s="249"/>
      <c r="F62" s="250"/>
      <c r="G62" s="251"/>
      <c r="H62" s="249"/>
      <c r="I62" s="250"/>
      <c r="J62" s="251"/>
      <c r="K62" s="304"/>
      <c r="L62" s="250"/>
      <c r="M62" s="251"/>
      <c r="N62" s="249"/>
      <c r="O62" s="250"/>
      <c r="P62" s="251"/>
      <c r="Q62" s="249"/>
      <c r="R62" s="250"/>
      <c r="S62" s="251"/>
      <c r="T62" s="249"/>
      <c r="U62" s="250"/>
      <c r="V62" s="251"/>
      <c r="W62" s="249"/>
      <c r="X62" s="250"/>
      <c r="Y62" s="251"/>
      <c r="Z62" s="249"/>
      <c r="AA62" s="250"/>
      <c r="AB62" s="251"/>
      <c r="AC62" s="249"/>
      <c r="AD62" s="250"/>
      <c r="AE62" s="251"/>
      <c r="AF62" s="249"/>
      <c r="AG62" s="250"/>
      <c r="AH62" s="251"/>
      <c r="AI62" s="261"/>
      <c r="AJ62" s="250"/>
      <c r="AK62" s="261"/>
      <c r="AL62" s="249"/>
      <c r="AM62" s="250"/>
      <c r="AN62" s="251"/>
      <c r="AO62" s="303"/>
      <c r="AP62" s="249"/>
      <c r="AQ62" s="250"/>
      <c r="AR62" s="251"/>
      <c r="AS62" s="297"/>
      <c r="AT62" s="298"/>
      <c r="AU62" s="300"/>
      <c r="AV62" s="297"/>
      <c r="AW62" s="298"/>
      <c r="AX62" s="300"/>
      <c r="AY62" s="249"/>
      <c r="AZ62" s="250"/>
      <c r="BA62" s="251"/>
      <c r="BB62" s="249"/>
      <c r="BC62" s="250"/>
      <c r="BD62" s="251"/>
      <c r="BE62" s="249"/>
      <c r="BF62" s="250"/>
      <c r="BG62" s="251"/>
      <c r="BH62" s="249"/>
      <c r="BI62" s="250"/>
      <c r="BJ62" s="251"/>
      <c r="BK62" s="249"/>
      <c r="BL62" s="250"/>
      <c r="BM62" s="251"/>
      <c r="BN62" s="249"/>
      <c r="BO62" s="250"/>
      <c r="BP62" s="251"/>
      <c r="BQ62" s="372"/>
      <c r="BR62" s="250"/>
      <c r="BS62" s="261"/>
      <c r="BT62" s="372">
        <v>7.0200000000000067</v>
      </c>
      <c r="BU62" s="250">
        <f t="shared" si="73"/>
        <v>5.255074346950344E-2</v>
      </c>
      <c r="BV62" s="380">
        <v>94313.401709401645</v>
      </c>
      <c r="BW62" s="249">
        <v>4.7455200000000026</v>
      </c>
      <c r="BX62" s="250">
        <f t="shared" si="74"/>
        <v>4.1867755444285192E-2</v>
      </c>
      <c r="BY62" s="380">
        <v>94410.559854346749</v>
      </c>
    </row>
    <row r="63" spans="1:77">
      <c r="A63" t="s">
        <v>266</v>
      </c>
      <c r="B63" s="249"/>
      <c r="C63" s="250"/>
      <c r="D63" s="251"/>
      <c r="E63" s="249"/>
      <c r="F63" s="250"/>
      <c r="G63" s="251"/>
      <c r="H63" s="249"/>
      <c r="I63" s="250"/>
      <c r="J63" s="251"/>
      <c r="K63" s="304"/>
      <c r="L63" s="250"/>
      <c r="M63" s="251"/>
      <c r="N63" s="249"/>
      <c r="O63" s="250"/>
      <c r="P63" s="251"/>
      <c r="Q63" s="249"/>
      <c r="R63" s="250"/>
      <c r="S63" s="251"/>
      <c r="T63" s="249"/>
      <c r="U63" s="250"/>
      <c r="V63" s="251"/>
      <c r="W63" s="249"/>
      <c r="X63" s="250"/>
      <c r="Y63" s="251"/>
      <c r="Z63" s="249"/>
      <c r="AA63" s="250"/>
      <c r="AB63" s="251"/>
      <c r="AC63" s="249"/>
      <c r="AD63" s="250"/>
      <c r="AE63" s="251"/>
      <c r="AF63" s="249"/>
      <c r="AG63" s="250"/>
      <c r="AH63" s="251"/>
      <c r="AI63" s="261"/>
      <c r="AJ63" s="250"/>
      <c r="AK63" s="261"/>
      <c r="AL63" s="249"/>
      <c r="AM63" s="250"/>
      <c r="AN63" s="251"/>
      <c r="AO63" s="303"/>
      <c r="AP63" s="249"/>
      <c r="AQ63" s="250"/>
      <c r="AR63" s="251"/>
      <c r="AS63" s="297"/>
      <c r="AT63" s="298"/>
      <c r="AU63" s="300"/>
      <c r="AV63" s="297"/>
      <c r="AW63" s="298"/>
      <c r="AX63" s="300"/>
      <c r="AY63" s="249"/>
      <c r="AZ63" s="250"/>
      <c r="BA63" s="251"/>
      <c r="BB63" s="249"/>
      <c r="BC63" s="250"/>
      <c r="BD63" s="251"/>
      <c r="BE63" s="249"/>
      <c r="BF63" s="250"/>
      <c r="BG63" s="251"/>
      <c r="BH63" s="249"/>
      <c r="BI63" s="250"/>
      <c r="BJ63" s="251"/>
      <c r="BK63" s="249"/>
      <c r="BL63" s="250"/>
      <c r="BM63" s="251"/>
      <c r="BN63" s="249"/>
      <c r="BO63" s="250"/>
      <c r="BP63" s="251"/>
      <c r="BQ63" s="372"/>
      <c r="BR63" s="250"/>
      <c r="BS63" s="261"/>
      <c r="BT63" s="372">
        <v>19.159919999999971</v>
      </c>
      <c r="BU63" s="250">
        <f t="shared" si="73"/>
        <v>0.14342849584276435</v>
      </c>
      <c r="BV63" s="380">
        <v>94327.524853966359</v>
      </c>
      <c r="BW63" s="249">
        <v>18.05543999999993</v>
      </c>
      <c r="BX63" s="250">
        <f t="shared" si="74"/>
        <v>0.15929566124659916</v>
      </c>
      <c r="BY63" s="380">
        <v>94451.763014360826</v>
      </c>
    </row>
    <row r="64" spans="1:77" ht="15.75" thickBot="1">
      <c r="B64" s="249"/>
      <c r="C64" s="250"/>
      <c r="D64" s="251"/>
      <c r="E64" s="249"/>
      <c r="F64" s="250"/>
      <c r="G64" s="251"/>
      <c r="H64" s="249"/>
      <c r="I64" s="250"/>
      <c r="J64" s="251"/>
      <c r="K64" s="304"/>
      <c r="L64" s="250"/>
      <c r="M64" s="251"/>
      <c r="N64" s="249"/>
      <c r="O64" s="250"/>
      <c r="P64" s="251"/>
      <c r="Q64" s="249"/>
      <c r="R64" s="250"/>
      <c r="S64" s="251"/>
      <c r="T64" s="249"/>
      <c r="U64" s="250"/>
      <c r="V64" s="251"/>
      <c r="W64" s="249"/>
      <c r="X64" s="250"/>
      <c r="Y64" s="251"/>
      <c r="Z64" s="249"/>
      <c r="AA64" s="250"/>
      <c r="AB64" s="251"/>
      <c r="AC64" s="249"/>
      <c r="AD64" s="250"/>
      <c r="AE64" s="251"/>
      <c r="AF64" s="249"/>
      <c r="AG64" s="250"/>
      <c r="AH64" s="251"/>
      <c r="AI64" s="261"/>
      <c r="AJ64" s="250"/>
      <c r="AK64" s="261"/>
      <c r="AL64" s="249"/>
      <c r="AM64" s="250"/>
      <c r="AN64" s="251"/>
      <c r="AO64" s="303"/>
      <c r="AP64" s="249"/>
      <c r="AQ64" s="250"/>
      <c r="AR64" s="251"/>
      <c r="AS64" s="297"/>
      <c r="AT64" s="298"/>
      <c r="AU64" s="300"/>
      <c r="AV64" s="297"/>
      <c r="AW64" s="298"/>
      <c r="AX64" s="300"/>
      <c r="AY64" s="297"/>
      <c r="AZ64" s="298"/>
      <c r="BA64" s="300"/>
      <c r="BB64" s="297"/>
      <c r="BC64" s="298"/>
      <c r="BD64" s="300"/>
      <c r="BE64" s="297"/>
      <c r="BF64" s="298"/>
      <c r="BG64" s="300"/>
      <c r="BH64" s="297"/>
      <c r="BI64" s="298"/>
      <c r="BJ64" s="300"/>
      <c r="BK64" s="297"/>
      <c r="BL64" s="298"/>
      <c r="BM64" s="300"/>
      <c r="BN64" s="297"/>
      <c r="BO64" s="298"/>
      <c r="BP64" s="300"/>
      <c r="BQ64" s="297"/>
      <c r="BR64" s="298"/>
      <c r="BS64" s="299"/>
      <c r="BT64" s="326"/>
      <c r="BU64" s="328"/>
      <c r="BV64" s="325"/>
      <c r="BW64" s="326"/>
      <c r="BX64" s="328"/>
      <c r="BY64" s="388"/>
    </row>
    <row r="65" spans="1:77" s="110" customFormat="1" ht="15.75" thickBot="1">
      <c r="A65" s="252" t="s">
        <v>140</v>
      </c>
      <c r="B65" s="253">
        <v>92.175649999998384</v>
      </c>
      <c r="C65" s="254">
        <v>1</v>
      </c>
      <c r="D65" s="255">
        <v>158858.60100473752</v>
      </c>
      <c r="E65" s="253">
        <v>70.919224999999642</v>
      </c>
      <c r="F65" s="254">
        <v>1</v>
      </c>
      <c r="G65" s="255">
        <v>160589.29893206825</v>
      </c>
      <c r="H65" s="253">
        <v>88.05672499999919</v>
      </c>
      <c r="I65" s="254">
        <v>1</v>
      </c>
      <c r="J65" s="255">
        <v>161011.73844061393</v>
      </c>
      <c r="K65" s="253">
        <v>88.978199999998779</v>
      </c>
      <c r="L65" s="254">
        <v>1</v>
      </c>
      <c r="M65" s="255">
        <v>153979.1497350572</v>
      </c>
      <c r="N65" s="253">
        <v>90.556824999998994</v>
      </c>
      <c r="O65" s="254">
        <v>1</v>
      </c>
      <c r="P65" s="255">
        <v>153860.17313867068</v>
      </c>
      <c r="Q65" s="253">
        <v>103.40818279999789</v>
      </c>
      <c r="R65" s="254">
        <v>1</v>
      </c>
      <c r="S65" s="255">
        <v>154270.747032018</v>
      </c>
      <c r="T65" s="253">
        <v>163.1904500000017</v>
      </c>
      <c r="U65" s="254">
        <v>1</v>
      </c>
      <c r="V65" s="255">
        <v>146851.87370725966</v>
      </c>
      <c r="W65" s="253">
        <v>230.74857199999909</v>
      </c>
      <c r="X65" s="254">
        <v>1</v>
      </c>
      <c r="Y65" s="255">
        <v>139865.35519643137</v>
      </c>
      <c r="Z65" s="253">
        <v>203.18220000000085</v>
      </c>
      <c r="AA65" s="254">
        <v>1</v>
      </c>
      <c r="AB65" s="255">
        <v>140399.05621653781</v>
      </c>
      <c r="AC65" s="253">
        <v>182.96902500000152</v>
      </c>
      <c r="AD65" s="254">
        <v>1</v>
      </c>
      <c r="AE65" s="255">
        <v>139169.84402141167</v>
      </c>
      <c r="AF65" s="253">
        <v>77.768575600000858</v>
      </c>
      <c r="AG65" s="254">
        <v>1</v>
      </c>
      <c r="AH65" s="255">
        <v>142263.7817992882</v>
      </c>
      <c r="AI65" s="253">
        <v>82.217520000001628</v>
      </c>
      <c r="AJ65" s="254">
        <v>1</v>
      </c>
      <c r="AK65" s="287">
        <v>143697.67331828605</v>
      </c>
      <c r="AL65" s="253">
        <v>1474.1711503999866</v>
      </c>
      <c r="AM65" s="254">
        <v>1</v>
      </c>
      <c r="AN65" s="255">
        <v>147136.03358446239</v>
      </c>
      <c r="AP65" s="253">
        <f>SUM(AP36:AP64)</f>
        <v>77.462900000000118</v>
      </c>
      <c r="AQ65" s="254">
        <v>1</v>
      </c>
      <c r="AR65" s="255">
        <v>144392.99032181615</v>
      </c>
      <c r="AS65" s="294">
        <f>SUM(AS36:AS64)</f>
        <v>87.130250000000132</v>
      </c>
      <c r="AT65" s="306">
        <f>SUM(AT36:AT64)</f>
        <v>1</v>
      </c>
      <c r="AU65" s="268">
        <f>SUMPRODUCT(AS36:AS64,AU36:AU64)/AS65</f>
        <v>134472.16712909678</v>
      </c>
      <c r="AV65" s="294">
        <f>SUM(AV36:AV64)</f>
        <v>131.46046000000015</v>
      </c>
      <c r="AW65" s="306">
        <f>SUM(AW36:AW64)</f>
        <v>1</v>
      </c>
      <c r="AX65" s="268">
        <f>SUMPRODUCT(AV36:AV64,AX36:AX64)/AV65</f>
        <v>139421.68375190525</v>
      </c>
      <c r="AY65" s="294">
        <f>SUM(AY36:AY64)</f>
        <v>125.11047500000008</v>
      </c>
      <c r="AZ65" s="306">
        <f>SUM(AZ36:AZ64)</f>
        <v>1</v>
      </c>
      <c r="BA65" s="268">
        <f>SUMPRODUCT(AY36:AY64,BA36:BA64)/AY65</f>
        <v>126688.37577349128</v>
      </c>
      <c r="BB65" s="341">
        <f>SUM(BB36:BB64)</f>
        <v>114.54914999999994</v>
      </c>
      <c r="BC65" s="306">
        <f>SUM(BC36:BC64)</f>
        <v>1.0000000000000002</v>
      </c>
      <c r="BD65" s="268">
        <f>SUMPRODUCT(BB36:BB64,BD36:BD64)/BB65</f>
        <v>121875.8291091642</v>
      </c>
      <c r="BE65" s="341">
        <f>SUM(BE36:BE64)</f>
        <v>108.5402</v>
      </c>
      <c r="BF65" s="306">
        <f>SUM(BF36:BF64)</f>
        <v>1.0000000000000002</v>
      </c>
      <c r="BG65" s="268">
        <f>SUMPRODUCT(BE36:BE64,BG36:BG64)/BE65</f>
        <v>122153.29896204357</v>
      </c>
      <c r="BH65" s="341">
        <f>SUM(BH36:BH64)</f>
        <v>184.11359500000006</v>
      </c>
      <c r="BI65" s="306">
        <f>SUM(BI36:BI64)</f>
        <v>0.99999999999999956</v>
      </c>
      <c r="BJ65" s="255">
        <f>SUMPRODUCT(BH36:BH64,BJ36:BJ64)/BH65</f>
        <v>134128.43407897162</v>
      </c>
      <c r="BK65" s="341">
        <f>SUM(BK36:BK64)</f>
        <v>205.6994638000001</v>
      </c>
      <c r="BL65" s="306">
        <f>SUM(BL36:BL64)</f>
        <v>0.99999999999999989</v>
      </c>
      <c r="BM65" s="255">
        <f>SUMPRODUCT(BK36:BK64,BM36:BM64)/BK65</f>
        <v>143676.72002653001</v>
      </c>
      <c r="BN65" s="341">
        <f>SUM(BN36:BN64)</f>
        <v>205.41155000000001</v>
      </c>
      <c r="BO65" s="306">
        <f>SUM(BO36:BO64)</f>
        <v>0.99999999999999967</v>
      </c>
      <c r="BP65" s="255">
        <f>SUMPRODUCT(BN36:BN64,BP36:BP64)/BN65</f>
        <v>141311.08182572958</v>
      </c>
      <c r="BQ65" s="341">
        <f>SUM(BQ36:BQ64)</f>
        <v>206.67815999999985</v>
      </c>
      <c r="BR65" s="306">
        <f>SUM(BR36:BR64)</f>
        <v>0.99999999999999978</v>
      </c>
      <c r="BS65" s="255">
        <f>SUMPRODUCT(BQ36:BQ64,BS36:BS64)/BQ65</f>
        <v>125033.99072258041</v>
      </c>
      <c r="BT65" s="375">
        <f>SUM(BT36:BT64)</f>
        <v>133.58517000000001</v>
      </c>
      <c r="BU65" s="376">
        <f>SUM(BU36:BU64)</f>
        <v>0.99999999999999978</v>
      </c>
      <c r="BV65" s="268">
        <f>SUMPRODUCT(BT36:BT64,BV36:BV64)/BT65</f>
        <v>119555.76371239414</v>
      </c>
      <c r="BW65" s="375">
        <f>SUM(BW36:BW64)</f>
        <v>113.34545999999983</v>
      </c>
      <c r="BX65" s="376">
        <f>SUM(BX36:BX64)</f>
        <v>1</v>
      </c>
      <c r="BY65" s="268">
        <f>SUMPRODUCT(BW36:BW64,BY36:BY64)/BW65</f>
        <v>123110.91780826535</v>
      </c>
    </row>
    <row r="66" spans="1:77">
      <c r="B66" s="94">
        <f>B36+B40+B44+B45+B47+B54</f>
        <v>27.367199999999897</v>
      </c>
      <c r="E66" s="94">
        <f>E36+E40+E44+E45+E47+E54</f>
        <v>21.382450000000052</v>
      </c>
      <c r="H66" s="94">
        <f>H36+H40+H44+H45+H47+H54</f>
        <v>25.221600000000041</v>
      </c>
      <c r="K66" s="94">
        <f>K36+K40+K44+K45+K47+K54</f>
        <v>23.398800000000019</v>
      </c>
      <c r="N66" s="94">
        <f>N36+N40+N44+N45+N47+N54</f>
        <v>25.879450000000045</v>
      </c>
      <c r="Q66" s="94">
        <f>Q36+Q40+Q44+Q45+Q47+Q54</f>
        <v>27.561600000000062</v>
      </c>
      <c r="T66" s="94">
        <f>T36+T40+T44+T45+T47+T54</f>
        <v>32.13360000000003</v>
      </c>
      <c r="W66" s="94">
        <f>W36+W40+W44+W45+W47+W54</f>
        <v>62.279399999999988</v>
      </c>
      <c r="Z66" s="94">
        <f>Z36+Z40+Z44+Z45+Z47+Z54</f>
        <v>52.831050000000026</v>
      </c>
      <c r="AC66" s="94">
        <f>AC36+AC40+AC44+AC45+AC47+AC54</f>
        <v>38.622449999999965</v>
      </c>
      <c r="AF66" s="94">
        <f>AF36+AF40+AF44+AF45+AF47+AF54</f>
        <v>20.153397600000009</v>
      </c>
      <c r="AI66" s="94">
        <f>AI36+AI40+AI44+AI45+AI47+AI54</f>
        <v>20.809950000000025</v>
      </c>
      <c r="AP66" s="94">
        <f>AP36+AP40+AP44+AP45+AP47+AP54</f>
        <v>39.758000000000052</v>
      </c>
      <c r="AS66" s="94">
        <f>AS36+AS40+AS44+AS45+AS47+AS54</f>
        <v>22.137600000000038</v>
      </c>
    </row>
    <row r="67" spans="1:77">
      <c r="B67"/>
      <c r="D67" s="303">
        <f>SUMPRODUCT(B36:B54,D36:D54)/B65</f>
        <v>158858.60100473612</v>
      </c>
      <c r="G67" s="303">
        <f t="shared" ref="G67" si="76">SUMPRODUCT(E36:E54,G36:G54)/E65</f>
        <v>160589.29893206834</v>
      </c>
      <c r="J67" s="303">
        <f t="shared" ref="J67" si="77">SUMPRODUCT(H36:H54,J36:J54)/H65</f>
        <v>161011.7384406123</v>
      </c>
      <c r="M67" s="303">
        <f t="shared" ref="M67" si="78">SUMPRODUCT(K36:K54,M36:M54)/K65</f>
        <v>153979.14973505875</v>
      </c>
      <c r="P67" s="303">
        <f t="shared" ref="P67" si="79">SUMPRODUCT(N36:N54,P36:P54)/N65</f>
        <v>153860.17313867161</v>
      </c>
      <c r="S67" s="303">
        <f t="shared" ref="S67" si="80">SUMPRODUCT(Q36:Q54,S36:S54)/Q65</f>
        <v>154270.74703201948</v>
      </c>
      <c r="V67" s="303">
        <f t="shared" ref="V67" si="81">SUMPRODUCT(T36:T54,V36:V54)/T65</f>
        <v>146851.87370726114</v>
      </c>
      <c r="Y67" s="303">
        <f t="shared" ref="Y67" si="82">SUMPRODUCT(W36:W54,Y36:Y54)/W65</f>
        <v>139865.3551964311</v>
      </c>
      <c r="AB67" s="303">
        <f t="shared" ref="AB67" si="83">SUMPRODUCT(Z36:Z54,AB36:AB54)/Z65</f>
        <v>140399.05621653807</v>
      </c>
      <c r="AE67" s="303">
        <f t="shared" ref="AE67" si="84">SUMPRODUCT(AC36:AC54,AE36:AE54)/AC65</f>
        <v>139169.8440214119</v>
      </c>
      <c r="AH67" s="303">
        <f t="shared" ref="AH67" si="85">SUMPRODUCT(AF36:AF54,AH36:AH54)/AF65</f>
        <v>142263.78179928858</v>
      </c>
      <c r="AK67" s="303">
        <f t="shared" ref="AK67" si="86">SUMPRODUCT(AI36:AI54,AK36:AK54)/AI65</f>
        <v>143697.67331828744</v>
      </c>
      <c r="AN67" s="303">
        <f>SUMPRODUCT(AL36:AL54,AN36:AN54)/AL65</f>
        <v>147136.03358446236</v>
      </c>
      <c r="AR67" s="303">
        <f>SUMPRODUCT(AP36:AP54,AR36:AR54)/AP65</f>
        <v>144392.99032181836</v>
      </c>
      <c r="AU67" s="303">
        <f>SUMPRODUCT(AS36:AS64,AU36:AU64)/AS65</f>
        <v>134472.16712909678</v>
      </c>
      <c r="AX67" s="303">
        <f>SUMPRODUCT(AV36:AV64,AX36:AX64)/AV65</f>
        <v>139421.68375190525</v>
      </c>
      <c r="BA67" s="303">
        <f>SUMPRODUCT(AY36:AY64,BA36:BA64)/AY65</f>
        <v>126688.37577349128</v>
      </c>
      <c r="BD67" s="303">
        <f>SUMPRODUCT(BB36:BB64,BD36:BD64)/BB65</f>
        <v>121875.8291091642</v>
      </c>
      <c r="BG67" s="303">
        <f>SUMPRODUCT(BE36:BE64,BG36:BG64)/BE65</f>
        <v>122153.29896204357</v>
      </c>
      <c r="BJ67" s="303">
        <f>SUMPRODUCT(BH36:BH64,BJ36:BJ64)/BH65</f>
        <v>134128.43407897162</v>
      </c>
      <c r="BM67" s="303">
        <f>SUMPRODUCT(BK36:BK64,BM36:BM64)/BK65</f>
        <v>143676.72002653001</v>
      </c>
      <c r="BP67" s="303">
        <f>SUMPRODUCT(BN36:BN64,BP36:BP64)/BN65</f>
        <v>141311.08182572958</v>
      </c>
      <c r="BS67" s="303">
        <f>SUMPRODUCT(BQ36:BQ64,BS36:BS64)/BQ65</f>
        <v>125033.99072258041</v>
      </c>
      <c r="BV67" s="303">
        <f>SUMPRODUCT(BT36:BT64,BV36:BV64)/BT65</f>
        <v>119555.76371239414</v>
      </c>
      <c r="BY67" s="303">
        <f>SUMPRODUCT(BW36:BW64,BY36:BY64)/BW65</f>
        <v>123110.91780826535</v>
      </c>
    </row>
    <row r="68" spans="1:77">
      <c r="B68"/>
    </row>
    <row r="69" spans="1:77">
      <c r="B69"/>
    </row>
    <row r="70" spans="1:77">
      <c r="B70"/>
    </row>
    <row r="71" spans="1:77">
      <c r="B71"/>
    </row>
    <row r="72" spans="1:77">
      <c r="A72" s="426" t="s">
        <v>196</v>
      </c>
      <c r="B72" s="426"/>
      <c r="C72" s="426"/>
      <c r="D72" s="426"/>
    </row>
    <row r="73" spans="1:77" ht="15.75" thickBot="1">
      <c r="B73"/>
    </row>
    <row r="74" spans="1:77" s="110" customFormat="1" ht="15.75" thickBot="1">
      <c r="A74" s="129" t="s">
        <v>142</v>
      </c>
      <c r="B74" s="425" t="s">
        <v>80</v>
      </c>
      <c r="C74" s="420"/>
      <c r="D74" s="421"/>
      <c r="E74" s="425" t="s">
        <v>81</v>
      </c>
      <c r="F74" s="420"/>
      <c r="G74" s="421"/>
      <c r="H74" s="425" t="s">
        <v>82</v>
      </c>
      <c r="I74" s="420"/>
      <c r="J74" s="421"/>
      <c r="K74" s="425" t="s">
        <v>83</v>
      </c>
      <c r="L74" s="420"/>
      <c r="M74" s="421"/>
      <c r="N74" s="425" t="s">
        <v>119</v>
      </c>
      <c r="O74" s="420"/>
      <c r="P74" s="421"/>
      <c r="Q74" s="425" t="s">
        <v>143</v>
      </c>
      <c r="R74" s="420"/>
      <c r="S74" s="421"/>
      <c r="T74" s="425" t="s">
        <v>146</v>
      </c>
      <c r="U74" s="420"/>
      <c r="V74" s="421"/>
      <c r="W74" s="425" t="s">
        <v>156</v>
      </c>
      <c r="X74" s="420"/>
      <c r="Y74" s="421"/>
      <c r="Z74" s="425" t="s">
        <v>157</v>
      </c>
      <c r="AA74" s="420"/>
      <c r="AB74" s="421"/>
      <c r="AC74" s="425" t="s">
        <v>158</v>
      </c>
      <c r="AD74" s="420"/>
      <c r="AE74" s="421"/>
      <c r="AF74" s="425" t="s">
        <v>160</v>
      </c>
      <c r="AG74" s="420"/>
      <c r="AH74" s="421"/>
      <c r="AI74" s="425" t="s">
        <v>161</v>
      </c>
      <c r="AJ74" s="420"/>
      <c r="AK74" s="421"/>
      <c r="AL74" s="257" t="s">
        <v>147</v>
      </c>
      <c r="AM74" s="258" t="s">
        <v>120</v>
      </c>
      <c r="AN74" s="259" t="s">
        <v>121</v>
      </c>
      <c r="AP74" s="425" t="s">
        <v>80</v>
      </c>
      <c r="AQ74" s="420"/>
      <c r="AR74" s="421"/>
      <c r="AS74" s="425" t="str">
        <f>AS4</f>
        <v>MAY</v>
      </c>
      <c r="AT74" s="420"/>
      <c r="AU74" s="421"/>
      <c r="AV74" s="425" t="str">
        <f>AV4</f>
        <v>JUNE</v>
      </c>
      <c r="AW74" s="420"/>
      <c r="AX74" s="421"/>
      <c r="AY74" s="425" t="str">
        <f>AY4</f>
        <v>JULY</v>
      </c>
      <c r="AZ74" s="420"/>
      <c r="BA74" s="421"/>
      <c r="BB74" s="425" t="str">
        <f>BB4</f>
        <v>AUGUST</v>
      </c>
      <c r="BC74" s="420"/>
      <c r="BD74" s="421"/>
      <c r="BE74" s="425" t="str">
        <f>BE4</f>
        <v>SEPTEMBER</v>
      </c>
      <c r="BF74" s="420"/>
      <c r="BG74" s="421"/>
      <c r="BH74" s="425" t="str">
        <f>BH4</f>
        <v>OCTOBER</v>
      </c>
      <c r="BI74" s="420"/>
      <c r="BJ74" s="421"/>
      <c r="BK74" s="425" t="str">
        <f>BK4</f>
        <v>NOVEMBER</v>
      </c>
      <c r="BL74" s="420"/>
      <c r="BM74" s="421"/>
      <c r="BN74" s="425" t="str">
        <f>BN4</f>
        <v>DECEMBER</v>
      </c>
      <c r="BO74" s="420"/>
      <c r="BP74" s="421"/>
      <c r="BQ74" s="425" t="str">
        <f>BQ4</f>
        <v>JANUARY 17</v>
      </c>
      <c r="BR74" s="420"/>
      <c r="BS74" s="421"/>
      <c r="BT74" s="422" t="str">
        <f>BT4</f>
        <v>FEBRUARY 17</v>
      </c>
      <c r="BU74" s="423"/>
      <c r="BV74" s="424"/>
      <c r="BW74" s="422" t="str">
        <f>BW4</f>
        <v>MARCH 17</v>
      </c>
      <c r="BX74" s="423"/>
      <c r="BY74" s="424"/>
    </row>
    <row r="75" spans="1:77">
      <c r="A75" t="s">
        <v>144</v>
      </c>
      <c r="B75" s="247" t="s">
        <v>122</v>
      </c>
      <c r="C75" s="104" t="s">
        <v>123</v>
      </c>
      <c r="D75" s="248" t="s">
        <v>108</v>
      </c>
      <c r="E75" s="247" t="s">
        <v>122</v>
      </c>
      <c r="F75" s="104" t="s">
        <v>123</v>
      </c>
      <c r="G75" s="248" t="s">
        <v>108</v>
      </c>
      <c r="H75" s="247" t="s">
        <v>122</v>
      </c>
      <c r="I75" s="104" t="s">
        <v>123</v>
      </c>
      <c r="J75" s="248" t="s">
        <v>108</v>
      </c>
      <c r="K75" s="247" t="s">
        <v>122</v>
      </c>
      <c r="L75" s="104" t="s">
        <v>123</v>
      </c>
      <c r="M75" s="248" t="s">
        <v>108</v>
      </c>
      <c r="N75" s="247" t="s">
        <v>122</v>
      </c>
      <c r="O75" s="104" t="s">
        <v>123</v>
      </c>
      <c r="P75" s="248" t="s">
        <v>108</v>
      </c>
      <c r="Q75" s="247" t="s">
        <v>122</v>
      </c>
      <c r="R75" s="104" t="s">
        <v>123</v>
      </c>
      <c r="S75" s="248" t="s">
        <v>108</v>
      </c>
      <c r="T75" s="247" t="s">
        <v>122</v>
      </c>
      <c r="U75" s="104" t="s">
        <v>123</v>
      </c>
      <c r="V75" s="248" t="s">
        <v>108</v>
      </c>
      <c r="W75" s="247" t="s">
        <v>122</v>
      </c>
      <c r="X75" s="104" t="s">
        <v>123</v>
      </c>
      <c r="Y75" s="248" t="s">
        <v>108</v>
      </c>
      <c r="Z75" s="247" t="s">
        <v>122</v>
      </c>
      <c r="AA75" s="104" t="s">
        <v>123</v>
      </c>
      <c r="AB75" s="248" t="s">
        <v>108</v>
      </c>
      <c r="AC75" s="247" t="s">
        <v>122</v>
      </c>
      <c r="AD75" s="104" t="s">
        <v>123</v>
      </c>
      <c r="AE75" s="248" t="s">
        <v>108</v>
      </c>
      <c r="AF75" s="247" t="s">
        <v>122</v>
      </c>
      <c r="AG75" s="104" t="s">
        <v>123</v>
      </c>
      <c r="AH75" s="248" t="s">
        <v>108</v>
      </c>
      <c r="AI75" s="247" t="s">
        <v>122</v>
      </c>
      <c r="AJ75" s="104" t="s">
        <v>123</v>
      </c>
      <c r="AK75" s="248" t="s">
        <v>108</v>
      </c>
      <c r="AL75" s="247" t="s">
        <v>122</v>
      </c>
      <c r="AM75" s="104" t="s">
        <v>123</v>
      </c>
      <c r="AN75" s="248" t="s">
        <v>108</v>
      </c>
      <c r="AO75" s="282"/>
      <c r="AP75" s="247" t="s">
        <v>122</v>
      </c>
      <c r="AQ75" s="104" t="s">
        <v>123</v>
      </c>
      <c r="AR75" s="248" t="s">
        <v>108</v>
      </c>
      <c r="AS75" s="247" t="s">
        <v>122</v>
      </c>
      <c r="AT75" s="104" t="s">
        <v>123</v>
      </c>
      <c r="AU75" s="248" t="s">
        <v>108</v>
      </c>
      <c r="AV75" s="247" t="s">
        <v>122</v>
      </c>
      <c r="AW75" s="104" t="s">
        <v>123</v>
      </c>
      <c r="AX75" s="248" t="s">
        <v>108</v>
      </c>
      <c r="AY75" s="247" t="s">
        <v>122</v>
      </c>
      <c r="AZ75" s="104" t="s">
        <v>123</v>
      </c>
      <c r="BA75" s="248" t="s">
        <v>108</v>
      </c>
      <c r="BB75" s="247" t="s">
        <v>122</v>
      </c>
      <c r="BC75" s="104" t="s">
        <v>123</v>
      </c>
      <c r="BD75" s="248" t="s">
        <v>108</v>
      </c>
      <c r="BE75" s="247" t="s">
        <v>122</v>
      </c>
      <c r="BF75" s="104" t="s">
        <v>123</v>
      </c>
      <c r="BG75" s="248" t="s">
        <v>108</v>
      </c>
      <c r="BH75" s="247" t="s">
        <v>122</v>
      </c>
      <c r="BI75" s="104" t="s">
        <v>123</v>
      </c>
      <c r="BJ75" s="248" t="s">
        <v>108</v>
      </c>
      <c r="BK75" s="247" t="s">
        <v>122</v>
      </c>
      <c r="BL75" s="104" t="s">
        <v>123</v>
      </c>
      <c r="BM75" s="248" t="s">
        <v>108</v>
      </c>
      <c r="BN75" s="247" t="s">
        <v>122</v>
      </c>
      <c r="BO75" s="104" t="s">
        <v>123</v>
      </c>
      <c r="BP75" s="248" t="s">
        <v>108</v>
      </c>
      <c r="BQ75" s="247" t="s">
        <v>122</v>
      </c>
      <c r="BR75" s="104" t="s">
        <v>123</v>
      </c>
      <c r="BS75" s="104" t="s">
        <v>108</v>
      </c>
      <c r="BT75" s="377" t="s">
        <v>122</v>
      </c>
      <c r="BU75" s="378" t="s">
        <v>123</v>
      </c>
      <c r="BV75" s="379" t="s">
        <v>108</v>
      </c>
      <c r="BW75" s="377" t="s">
        <v>122</v>
      </c>
      <c r="BX75" s="378" t="s">
        <v>123</v>
      </c>
      <c r="BY75" s="379" t="s">
        <v>108</v>
      </c>
    </row>
    <row r="76" spans="1:77">
      <c r="A76" t="s">
        <v>197</v>
      </c>
      <c r="B76" s="249">
        <v>30.560599999999774</v>
      </c>
      <c r="C76" s="250">
        <f>B76/B$95</f>
        <v>0.37900430776568833</v>
      </c>
      <c r="D76" s="251">
        <v>99097.547352003283</v>
      </c>
      <c r="E76" s="249">
        <v>33.524189999999784</v>
      </c>
      <c r="F76" s="250">
        <f>E76/E$95</f>
        <v>0.44205773359428491</v>
      </c>
      <c r="G76" s="251">
        <v>98910.883524904988</v>
      </c>
      <c r="H76" s="249">
        <v>13.661759999999981</v>
      </c>
      <c r="I76" s="250">
        <f>H76/H$95</f>
        <v>0.24421220579460085</v>
      </c>
      <c r="J76" s="251">
        <v>98957.389200654579</v>
      </c>
      <c r="K76" s="304">
        <v>16.591679999999954</v>
      </c>
      <c r="L76" s="250">
        <f>K76/K$95</f>
        <v>0.25506022685793983</v>
      </c>
      <c r="M76" s="251">
        <v>97124.674102588484</v>
      </c>
      <c r="N76" s="249">
        <v>11.73227999999999</v>
      </c>
      <c r="O76" s="250">
        <f>N76/N$95</f>
        <v>0.32636510938700786</v>
      </c>
      <c r="P76" s="251">
        <v>96989.890281419299</v>
      </c>
      <c r="Q76" s="249">
        <v>10.881079999999981</v>
      </c>
      <c r="R76" s="250">
        <f>Q76/Q$95</f>
        <v>0.24129426622866618</v>
      </c>
      <c r="S76" s="251">
        <v>97078.008161945123</v>
      </c>
      <c r="T76" s="249">
        <v>12.418979999999989</v>
      </c>
      <c r="U76" s="250">
        <f>T76/T$95</f>
        <v>0.37273563735092541</v>
      </c>
      <c r="V76" s="251">
        <v>96975.332698371218</v>
      </c>
      <c r="W76" s="249">
        <v>10.403259999999989</v>
      </c>
      <c r="X76" s="250">
        <f>W76/W$95</f>
        <v>0.35115005435044699</v>
      </c>
      <c r="Y76" s="251">
        <v>97041.915399666133</v>
      </c>
      <c r="Z76" s="249">
        <v>9.174900000000008</v>
      </c>
      <c r="AA76" s="250">
        <f>Z76/Z$95</f>
        <v>0.22337236098808164</v>
      </c>
      <c r="AB76" s="251">
        <v>96954.803867072056</v>
      </c>
      <c r="AC76" s="249">
        <v>7.3577000000000092</v>
      </c>
      <c r="AD76" s="250">
        <f>AC76/AC$95</f>
        <v>0.18034792243615183</v>
      </c>
      <c r="AE76" s="251">
        <v>97040.213653723185</v>
      </c>
      <c r="AF76" s="249">
        <v>12.55883999999997</v>
      </c>
      <c r="AG76" s="250">
        <f>AF76/AF$95</f>
        <v>0.54776402658401413</v>
      </c>
      <c r="AH76" s="251">
        <v>96943.630940437448</v>
      </c>
      <c r="AI76" s="261">
        <v>8.6953300000000038</v>
      </c>
      <c r="AJ76" s="250">
        <f>AI76/AI$95</f>
        <v>0.23570142243866254</v>
      </c>
      <c r="AK76" s="261">
        <v>96995.035266056497</v>
      </c>
      <c r="AL76" s="249">
        <v>177.5606000000075</v>
      </c>
      <c r="AM76" s="250">
        <f>AL76/AL$95</f>
        <v>0.31530399709070117</v>
      </c>
      <c r="AN76" s="251">
        <v>97883.997290722371</v>
      </c>
      <c r="AO76" s="303"/>
      <c r="AP76" s="249">
        <v>12.50213999999999</v>
      </c>
      <c r="AQ76" s="250">
        <f>AP76/AP$95</f>
        <v>0.27984897725767899</v>
      </c>
      <c r="AR76" s="251">
        <v>97012.596243523149</v>
      </c>
      <c r="AS76" s="249">
        <v>6.5856000000000057</v>
      </c>
      <c r="AT76" s="250">
        <f>AS76/AS$95</f>
        <v>0.13689004102086691</v>
      </c>
      <c r="AU76" s="251">
        <v>96920.878887269078</v>
      </c>
      <c r="AV76" s="297">
        <v>11.693359999999993</v>
      </c>
      <c r="AW76" s="250">
        <f>AV76/AV$95</f>
        <v>0.2715492535423743</v>
      </c>
      <c r="AX76" s="300">
        <v>96954.33134702094</v>
      </c>
      <c r="AY76" s="297">
        <v>7.344960000000003</v>
      </c>
      <c r="AZ76" s="250">
        <f>AY76/AY$95</f>
        <v>0.25410753488124932</v>
      </c>
      <c r="BA76" s="300">
        <v>96898.018505206186</v>
      </c>
      <c r="BB76" s="249">
        <v>5.1609599999999967</v>
      </c>
      <c r="BC76" s="250">
        <f>BB76/BB$95</f>
        <v>0.22704935961993736</v>
      </c>
      <c r="BD76" s="251">
        <v>97010.013640872989</v>
      </c>
      <c r="BE76" s="249">
        <v>8.5612800000000071</v>
      </c>
      <c r="BF76" s="250">
        <f>BE76/BE$95</f>
        <v>0.1908005793765073</v>
      </c>
      <c r="BG76" s="251">
        <v>96846.503092995306</v>
      </c>
      <c r="BH76" s="249">
        <v>4.7308799999999991</v>
      </c>
      <c r="BI76" s="250">
        <f>BH76/BH$95</f>
        <v>0.21458653962603597</v>
      </c>
      <c r="BJ76" s="251">
        <v>96723.983698593001</v>
      </c>
      <c r="BK76" s="249">
        <v>2.1818999999999984</v>
      </c>
      <c r="BL76" s="250">
        <f>BK76/BK$95</f>
        <v>0.16077442888566573</v>
      </c>
      <c r="BM76" s="251">
        <v>96976.877950410286</v>
      </c>
      <c r="BN76" s="249">
        <v>7.6473600000000017</v>
      </c>
      <c r="BO76" s="250">
        <f>BN76/BN$95</f>
        <v>0.34308331377307666</v>
      </c>
      <c r="BP76" s="251">
        <v>97004.904960666172</v>
      </c>
      <c r="BQ76" s="249">
        <v>13.168399999999981</v>
      </c>
      <c r="BR76" s="250">
        <f>BQ76/BQ$95</f>
        <v>0.29901668552343136</v>
      </c>
      <c r="BS76" s="261">
        <v>96916.256340937529</v>
      </c>
      <c r="BT76" s="249">
        <v>0.29400000000000004</v>
      </c>
      <c r="BU76" s="250">
        <f>BT76/BT$95</f>
        <v>1.0256566260697365E-2</v>
      </c>
      <c r="BV76" s="251">
        <v>96319.59183673466</v>
      </c>
      <c r="BW76" s="249">
        <v>1.02739</v>
      </c>
      <c r="BX76" s="250">
        <f>BW76/BW$95</f>
        <v>4.4143058415016749E-2</v>
      </c>
      <c r="BY76" s="251">
        <v>96379.330147266359</v>
      </c>
    </row>
    <row r="77" spans="1:77">
      <c r="A77" t="s">
        <v>198</v>
      </c>
      <c r="B77" s="249">
        <v>31.197311999999936</v>
      </c>
      <c r="C77" s="250">
        <f t="shared" ref="C77:C81" si="87">B77/B$95</f>
        <v>0.38690063803427505</v>
      </c>
      <c r="D77" s="251">
        <v>102090.64631026894</v>
      </c>
      <c r="E77" s="249">
        <v>30.476817999999959</v>
      </c>
      <c r="F77" s="250">
        <f t="shared" ref="F77:F81" si="88">E77/E$95</f>
        <v>0.40187438062621578</v>
      </c>
      <c r="G77" s="251">
        <v>102052.81350633004</v>
      </c>
      <c r="H77" s="249">
        <v>28.09311199999993</v>
      </c>
      <c r="I77" s="250">
        <f t="shared" ref="I77:I81" si="89">H77/H$95</f>
        <v>0.50218133308993596</v>
      </c>
      <c r="J77" s="251">
        <v>102062.49247357233</v>
      </c>
      <c r="K77" s="304">
        <v>32.597567999999931</v>
      </c>
      <c r="L77" s="250">
        <f t="shared" ref="L77:L81" si="90">K77/K$95</f>
        <v>0.50111520286656486</v>
      </c>
      <c r="M77" s="251">
        <v>99899.589748864179</v>
      </c>
      <c r="N77" s="249">
        <v>16.342847999999972</v>
      </c>
      <c r="O77" s="250">
        <f t="shared" ref="O77:O81" si="91">N77/N$95</f>
        <v>0.45462053200360358</v>
      </c>
      <c r="P77" s="251">
        <v>100259.05325943406</v>
      </c>
      <c r="Q77" s="249">
        <v>12.051367999999966</v>
      </c>
      <c r="R77" s="250">
        <f t="shared" ref="R77:R81" si="92">Q77/Q$95</f>
        <v>0.2672460820627755</v>
      </c>
      <c r="S77" s="251">
        <v>99814.307815382126</v>
      </c>
      <c r="T77" s="249">
        <v>15.539086911999961</v>
      </c>
      <c r="U77" s="250">
        <f t="shared" ref="U77:U81" si="93">T77/T$95</f>
        <v>0.46638060967935646</v>
      </c>
      <c r="V77" s="251">
        <v>99966.768198769569</v>
      </c>
      <c r="W77" s="249">
        <v>14.452991999999972</v>
      </c>
      <c r="X77" s="250">
        <f t="shared" ref="X77:X81" si="94">W77/W$95</f>
        <v>0.48784409178724469</v>
      </c>
      <c r="Y77" s="251">
        <v>99933.055371121489</v>
      </c>
      <c r="Z77" s="249">
        <v>12.952163999999962</v>
      </c>
      <c r="AA77" s="250">
        <f t="shared" ref="AA77:AA81" si="95">Z77/Z$95</f>
        <v>0.31533373143956062</v>
      </c>
      <c r="AB77" s="251">
        <v>99999.577676750007</v>
      </c>
      <c r="AC77" s="249">
        <v>31.01075399999992</v>
      </c>
      <c r="AD77" s="250">
        <f t="shared" ref="AD77:AD81" si="96">AC77/AC$95</f>
        <v>0.76011865896660147</v>
      </c>
      <c r="AE77" s="251">
        <v>99759.079060122604</v>
      </c>
      <c r="AF77" s="249">
        <v>8.5386239999999987</v>
      </c>
      <c r="AG77" s="250">
        <f t="shared" ref="AG77:AG81" si="97">AF77/AF$95</f>
        <v>0.37241903422027123</v>
      </c>
      <c r="AH77" s="251">
        <v>99865.670393731009</v>
      </c>
      <c r="AI77" s="261">
        <v>12.56157199999997</v>
      </c>
      <c r="AJ77" s="250">
        <f t="shared" ref="AJ77:AJ81" si="98">AI77/AI$95</f>
        <v>0.34050236028600028</v>
      </c>
      <c r="AK77" s="261">
        <v>99804.319873340923</v>
      </c>
      <c r="AL77" s="249">
        <v>245.81421891200202</v>
      </c>
      <c r="AM77" s="250">
        <f t="shared" ref="AM77:AM81" si="99">AL77/AL$95</f>
        <v>0.43650565364545729</v>
      </c>
      <c r="AN77" s="251">
        <v>100699.24637733327</v>
      </c>
      <c r="AO77" s="303"/>
      <c r="AP77" s="249">
        <v>15.549695999999972</v>
      </c>
      <c r="AQ77" s="250">
        <f t="shared" ref="AQ77:AQ81" si="100">AP77/AP$95</f>
        <v>0.34806573292794818</v>
      </c>
      <c r="AR77" s="251">
        <v>99792.019085132328</v>
      </c>
      <c r="AS77" s="249">
        <v>18.621085999999949</v>
      </c>
      <c r="AT77" s="250">
        <f t="shared" ref="AT77:AT81" si="101">AS77/AS$95</f>
        <v>0.38706286843918264</v>
      </c>
      <c r="AU77" s="251">
        <v>99577.93170602445</v>
      </c>
      <c r="AV77" s="297">
        <v>13.135933999999969</v>
      </c>
      <c r="AW77" s="250">
        <f t="shared" ref="AW77:AW81" si="102">AV77/AV$95</f>
        <v>0.30504945304701891</v>
      </c>
      <c r="AX77" s="300">
        <v>99596.439811589007</v>
      </c>
      <c r="AY77" s="297">
        <v>5.5716480000000042</v>
      </c>
      <c r="AZ77" s="250">
        <f t="shared" ref="AZ77:AZ81" si="103">AY77/AY$95</f>
        <v>0.19275771937574113</v>
      </c>
      <c r="BA77" s="300">
        <v>100031.62439551087</v>
      </c>
      <c r="BB77" s="249">
        <v>12.194303999999981</v>
      </c>
      <c r="BC77" s="250">
        <f t="shared" ref="BC77:BC81" si="104">BB77/BB$95</f>
        <v>0.53647168631627418</v>
      </c>
      <c r="BD77" s="251">
        <v>99639.0544306589</v>
      </c>
      <c r="BE77" s="249">
        <v>28.269503999999959</v>
      </c>
      <c r="BF77" s="250">
        <f t="shared" ref="BF77:BF81" si="105">BE77/BE$95</f>
        <v>0.63002702188066251</v>
      </c>
      <c r="BG77" s="251">
        <v>99509.852383685458</v>
      </c>
      <c r="BH77" s="249">
        <v>15.178109999999972</v>
      </c>
      <c r="BI77" s="250">
        <f t="shared" ref="BI77:BI81" si="106">BH77/BH$95</f>
        <v>0.68845925133660701</v>
      </c>
      <c r="BJ77" s="251">
        <v>99655.732498974074</v>
      </c>
      <c r="BK77" s="249">
        <v>8.7050879999999893</v>
      </c>
      <c r="BL77" s="250">
        <f t="shared" ref="BL77:BL81" si="107">BK77/BK$95</f>
        <v>0.64143890719073349</v>
      </c>
      <c r="BM77" s="251">
        <v>99179.898009072596</v>
      </c>
      <c r="BN77" s="249">
        <v>5.1783360000000052</v>
      </c>
      <c r="BO77" s="250">
        <f t="shared" ref="BO77:BO81" si="108">BN77/BN$95</f>
        <v>0.23231555395723755</v>
      </c>
      <c r="BP77" s="251">
        <v>99322.542994506162</v>
      </c>
      <c r="BQ77" s="249">
        <v>19.229413999999974</v>
      </c>
      <c r="BR77" s="250">
        <f t="shared" ref="BR77:BR81" si="109">BQ77/BQ$95</f>
        <v>0.43664497120666662</v>
      </c>
      <c r="BS77" s="261">
        <v>99543.431224685512</v>
      </c>
      <c r="BT77" s="249">
        <v>15.34406399999996</v>
      </c>
      <c r="BU77" s="250">
        <f t="shared" ref="BU77:BU81" si="110">BT77/BT$95</f>
        <v>0.53529730994687286</v>
      </c>
      <c r="BV77" s="251">
        <v>99532.4022371131</v>
      </c>
      <c r="BW77" s="249">
        <v>8.3036160000000052</v>
      </c>
      <c r="BX77" s="250">
        <f t="shared" ref="BX77:BX81" si="111">BW77/BW$95</f>
        <v>0.35677494052294451</v>
      </c>
      <c r="BY77" s="251">
        <v>99820.708231209152</v>
      </c>
    </row>
    <row r="78" spans="1:77">
      <c r="A78" t="s">
        <v>199</v>
      </c>
      <c r="B78" s="249">
        <v>17.175000000000033</v>
      </c>
      <c r="C78" s="250">
        <f t="shared" si="87"/>
        <v>0.21299971158536671</v>
      </c>
      <c r="D78" s="251">
        <v>117913.65287989828</v>
      </c>
      <c r="E78" s="249">
        <v>11.789999999999983</v>
      </c>
      <c r="F78" s="250">
        <f t="shared" si="88"/>
        <v>0.15546567058224658</v>
      </c>
      <c r="G78" s="251">
        <v>117824.77679395599</v>
      </c>
      <c r="H78" s="249">
        <v>14.084499999999997</v>
      </c>
      <c r="I78" s="250">
        <f t="shared" si="89"/>
        <v>0.25176893844673448</v>
      </c>
      <c r="J78" s="251">
        <v>118385.98952369555</v>
      </c>
      <c r="K78" s="304">
        <v>15.687999999999992</v>
      </c>
      <c r="L78" s="250">
        <f t="shared" si="90"/>
        <v>0.24116815409574976</v>
      </c>
      <c r="M78" s="251">
        <v>115995.17003270343</v>
      </c>
      <c r="N78" s="249">
        <v>7.8299999999999983</v>
      </c>
      <c r="O78" s="250">
        <f t="shared" si="91"/>
        <v>0.21781263373361981</v>
      </c>
      <c r="P78" s="251">
        <v>115704.65918245756</v>
      </c>
      <c r="Q78" s="249">
        <v>22.155000000000026</v>
      </c>
      <c r="R78" s="250">
        <f t="shared" si="92"/>
        <v>0.49129998752845438</v>
      </c>
      <c r="S78" s="251">
        <v>116566.19948944109</v>
      </c>
      <c r="T78" s="249">
        <v>5.0849999999999964</v>
      </c>
      <c r="U78" s="250">
        <f t="shared" si="93"/>
        <v>0.15261806653440591</v>
      </c>
      <c r="V78" s="251">
        <v>115389.35946877497</v>
      </c>
      <c r="W78" s="249">
        <v>4.7699999999999987</v>
      </c>
      <c r="X78" s="250">
        <f t="shared" si="94"/>
        <v>0.16100585386231178</v>
      </c>
      <c r="Y78" s="251">
        <v>119754.68196704735</v>
      </c>
      <c r="Z78" s="249">
        <v>18.735000000000031</v>
      </c>
      <c r="AA78" s="250">
        <f t="shared" si="95"/>
        <v>0.45612281148696038</v>
      </c>
      <c r="AB78" s="251">
        <v>127267.85374966632</v>
      </c>
      <c r="AC78" s="249">
        <v>2.4000000000000004</v>
      </c>
      <c r="AD78" s="250">
        <f t="shared" si="96"/>
        <v>5.8827488732452242E-2</v>
      </c>
      <c r="AE78" s="251">
        <v>119889.82083333332</v>
      </c>
      <c r="AF78" s="249">
        <v>1.8300000000000005</v>
      </c>
      <c r="AG78" s="250">
        <f t="shared" si="97"/>
        <v>7.9816939195717793E-2</v>
      </c>
      <c r="AH78" s="251">
        <v>120252.51912568303</v>
      </c>
      <c r="AI78" s="261">
        <v>11.500499999999995</v>
      </c>
      <c r="AJ78" s="250">
        <f t="shared" si="98"/>
        <v>0.31174023398259026</v>
      </c>
      <c r="AK78" s="261">
        <v>123539.63045085012</v>
      </c>
      <c r="AL78" s="249">
        <v>133.04300000000194</v>
      </c>
      <c r="AM78" s="250">
        <f t="shared" si="99"/>
        <v>0.23625167793382651</v>
      </c>
      <c r="AN78" s="251">
        <v>119216.08502890763</v>
      </c>
      <c r="AO78" s="303"/>
      <c r="AP78" s="249">
        <v>10.094999999999992</v>
      </c>
      <c r="AQ78" s="250">
        <f t="shared" si="100"/>
        <v>0.2259673484232515</v>
      </c>
      <c r="AR78" s="251">
        <v>125185.04011887076</v>
      </c>
      <c r="AS78" s="249">
        <v>16.440000000000015</v>
      </c>
      <c r="AT78" s="250">
        <f t="shared" si="101"/>
        <v>0.34172623214028369</v>
      </c>
      <c r="AU78" s="251">
        <v>126924.47506082717</v>
      </c>
      <c r="AV78" s="297">
        <v>11.409999999999995</v>
      </c>
      <c r="AW78" s="250">
        <f t="shared" si="102"/>
        <v>0.26496892107302705</v>
      </c>
      <c r="AX78" s="300">
        <v>126661.32515337419</v>
      </c>
      <c r="AY78" s="297">
        <v>8.5349999999999859</v>
      </c>
      <c r="AZ78" s="250">
        <f t="shared" si="103"/>
        <v>0.29527836914175959</v>
      </c>
      <c r="BA78" s="300">
        <v>125222.99589923867</v>
      </c>
      <c r="BB78" s="249">
        <v>4.2299999999999978</v>
      </c>
      <c r="BC78" s="250">
        <f t="shared" si="104"/>
        <v>0.18609305074876287</v>
      </c>
      <c r="BD78" s="251">
        <v>125279.12056737594</v>
      </c>
      <c r="BE78" s="249">
        <v>5.9400000000000022</v>
      </c>
      <c r="BF78" s="250">
        <f t="shared" si="105"/>
        <v>0.13238154125276277</v>
      </c>
      <c r="BG78" s="251">
        <v>125470.51346801344</v>
      </c>
      <c r="BH78" s="249">
        <v>1.6950000000000001</v>
      </c>
      <c r="BI78" s="250">
        <f t="shared" si="106"/>
        <v>7.6882986815588444E-2</v>
      </c>
      <c r="BJ78" s="251">
        <v>124626.04129793514</v>
      </c>
      <c r="BK78" s="249">
        <v>1.7049999999999996</v>
      </c>
      <c r="BL78" s="250">
        <f t="shared" si="107"/>
        <v>0.125633805971887</v>
      </c>
      <c r="BM78" s="251">
        <v>124213.33724340178</v>
      </c>
      <c r="BN78" s="249">
        <v>6.5699999999999941</v>
      </c>
      <c r="BO78" s="250">
        <f t="shared" si="108"/>
        <v>0.29474973997420173</v>
      </c>
      <c r="BP78" s="251">
        <v>123901.89193302902</v>
      </c>
      <c r="BQ78" s="249">
        <v>2.3550000000000009</v>
      </c>
      <c r="BR78" s="250">
        <f t="shared" si="109"/>
        <v>5.3475311686133634E-2</v>
      </c>
      <c r="BS78" s="261">
        <v>123881.09129511681</v>
      </c>
      <c r="BT78" s="249">
        <v>4.0985000000000005</v>
      </c>
      <c r="BU78" s="250">
        <f t="shared" si="110"/>
        <v>0.14298141775329304</v>
      </c>
      <c r="BV78" s="251">
        <v>125067.07575942417</v>
      </c>
      <c r="BW78" s="249">
        <v>7.9094949999999944</v>
      </c>
      <c r="BX78" s="250">
        <f t="shared" si="111"/>
        <v>0.33984105336657228</v>
      </c>
      <c r="BY78" s="251">
        <v>123777.018633933</v>
      </c>
    </row>
    <row r="79" spans="1:77">
      <c r="A79" t="s">
        <v>200</v>
      </c>
      <c r="B79" s="249">
        <v>1.7009999999999992</v>
      </c>
      <c r="C79" s="250">
        <f t="shared" si="87"/>
        <v>2.1095342614655482E-2</v>
      </c>
      <c r="D79" s="251">
        <v>116122.17208841689</v>
      </c>
      <c r="E79" s="249">
        <v>0.10691999999999999</v>
      </c>
      <c r="F79" s="250">
        <f t="shared" si="88"/>
        <v>1.4098718828374748E-3</v>
      </c>
      <c r="G79" s="251">
        <v>115769.88793444348</v>
      </c>
      <c r="H79" s="249">
        <v>0.11831999999999998</v>
      </c>
      <c r="I79" s="250">
        <f t="shared" si="89"/>
        <v>2.1150414141089587E-3</v>
      </c>
      <c r="J79" s="251">
        <v>115532.3127304443</v>
      </c>
      <c r="K79" s="304">
        <v>0.17279999999999998</v>
      </c>
      <c r="L79" s="250">
        <f t="shared" si="90"/>
        <v>2.6564161797390093E-3</v>
      </c>
      <c r="M79" s="251">
        <v>113090.11575922342</v>
      </c>
      <c r="N79" s="249">
        <v>4.3200000000000002E-2</v>
      </c>
      <c r="O79" s="250">
        <f t="shared" si="91"/>
        <v>1.201724875771696E-3</v>
      </c>
      <c r="P79" s="251">
        <v>113090.11575922341</v>
      </c>
      <c r="Q79" s="249">
        <v>7.1999999999999998E-3</v>
      </c>
      <c r="R79" s="250">
        <f t="shared" si="92"/>
        <v>1.5966418010403372E-4</v>
      </c>
      <c r="S79" s="251">
        <v>114694.60053662737</v>
      </c>
      <c r="T79" s="249">
        <v>0.27540000000000003</v>
      </c>
      <c r="U79" s="250">
        <f t="shared" si="93"/>
        <v>8.2656864353147334E-3</v>
      </c>
      <c r="V79" s="251">
        <v>113396.38347983574</v>
      </c>
      <c r="W79" s="249"/>
      <c r="X79" s="250">
        <f t="shared" si="94"/>
        <v>0</v>
      </c>
      <c r="Y79" s="251">
        <v>0</v>
      </c>
      <c r="Z79" s="249">
        <v>0.21239999999999998</v>
      </c>
      <c r="AA79" s="250">
        <f t="shared" si="95"/>
        <v>5.1710960853925923E-3</v>
      </c>
      <c r="AB79" s="251">
        <v>112769.49152542373</v>
      </c>
      <c r="AC79" s="249">
        <v>2.8799999999999999E-2</v>
      </c>
      <c r="AD79" s="250">
        <f t="shared" si="96"/>
        <v>7.0592986478942681E-4</v>
      </c>
      <c r="AE79" s="251">
        <v>113292.70833333333</v>
      </c>
      <c r="AF79" s="249"/>
      <c r="AG79" s="250">
        <f t="shared" si="97"/>
        <v>0</v>
      </c>
      <c r="AH79" s="251">
        <v>0</v>
      </c>
      <c r="AI79" s="261">
        <v>4.1720400000000097</v>
      </c>
      <c r="AJ79" s="250">
        <f t="shared" si="98"/>
        <v>0.11309010267246897</v>
      </c>
      <c r="AK79" s="261">
        <v>112999.99041236383</v>
      </c>
      <c r="AL79" s="249">
        <v>6.8380800000000308</v>
      </c>
      <c r="AM79" s="250">
        <f t="shared" si="99"/>
        <v>1.2142749891732177E-2</v>
      </c>
      <c r="AN79" s="251">
        <v>113878.4416855045</v>
      </c>
      <c r="AO79" s="303"/>
      <c r="AP79" s="293">
        <v>6.5277600000000193</v>
      </c>
      <c r="AQ79" s="250">
        <f t="shared" si="100"/>
        <v>0.14611794139112133</v>
      </c>
      <c r="AR79" s="251">
        <v>112697.42147382849</v>
      </c>
      <c r="AS79" s="293">
        <v>6.4620000000000264</v>
      </c>
      <c r="AT79" s="250">
        <f t="shared" si="101"/>
        <v>0.13432085839966668</v>
      </c>
      <c r="AU79" s="251">
        <v>112637.83967811783</v>
      </c>
      <c r="AV79" s="297">
        <v>6.8223600000000237</v>
      </c>
      <c r="AW79" s="250">
        <f t="shared" si="102"/>
        <v>0.15843237233757965</v>
      </c>
      <c r="AX79" s="300">
        <v>112702.66447387679</v>
      </c>
      <c r="AY79" s="297">
        <v>7.4533200000000148</v>
      </c>
      <c r="AZ79" s="250">
        <f t="shared" si="103"/>
        <v>0.25785637660124988</v>
      </c>
      <c r="BA79" s="300">
        <v>113355.1195977094</v>
      </c>
      <c r="BB79" s="249">
        <v>1.1732999999999998</v>
      </c>
      <c r="BC79" s="250">
        <f t="shared" si="104"/>
        <v>5.1617724927546939E-2</v>
      </c>
      <c r="BD79" s="251">
        <v>112585.72402625075</v>
      </c>
      <c r="BE79" s="249">
        <v>2.0995200000000001</v>
      </c>
      <c r="BF79" s="250">
        <f t="shared" si="105"/>
        <v>4.6790857490067408E-2</v>
      </c>
      <c r="BG79" s="251">
        <v>113196.85928212159</v>
      </c>
      <c r="BH79" s="249">
        <v>0.44250000000000012</v>
      </c>
      <c r="BI79" s="250">
        <f t="shared" si="106"/>
        <v>2.0071222221768669E-2</v>
      </c>
      <c r="BJ79" s="251">
        <v>112626.39548022598</v>
      </c>
      <c r="BK79" s="249">
        <v>0.97920000000000018</v>
      </c>
      <c r="BL79" s="250">
        <f t="shared" si="107"/>
        <v>7.2152857951713653E-2</v>
      </c>
      <c r="BM79" s="251">
        <v>112459.79370915034</v>
      </c>
      <c r="BN79" s="249">
        <v>2.8944000000000014</v>
      </c>
      <c r="BO79" s="250">
        <f t="shared" si="108"/>
        <v>0.12985139229548412</v>
      </c>
      <c r="BP79" s="251">
        <v>112336.79519071295</v>
      </c>
      <c r="BQ79" s="249">
        <v>2.1006</v>
      </c>
      <c r="BR79" s="250">
        <f t="shared" si="109"/>
        <v>4.7698615595707969E-2</v>
      </c>
      <c r="BS79" s="261">
        <v>112375.3118156717</v>
      </c>
      <c r="BT79" s="249">
        <v>2.2608000000000001</v>
      </c>
      <c r="BU79" s="250">
        <f t="shared" si="110"/>
        <v>7.8870901367974838E-2</v>
      </c>
      <c r="BV79" s="251">
        <v>112279.13570417547</v>
      </c>
      <c r="BW79" s="249">
        <v>1.6703999999999997</v>
      </c>
      <c r="BX79" s="250">
        <f t="shared" si="111"/>
        <v>7.1770763562467962E-2</v>
      </c>
      <c r="BY79" s="251">
        <v>112725.13769157087</v>
      </c>
    </row>
    <row r="80" spans="1:77">
      <c r="A80" t="s">
        <v>259</v>
      </c>
      <c r="B80" s="249"/>
      <c r="C80" s="250">
        <f t="shared" si="87"/>
        <v>0</v>
      </c>
      <c r="D80" s="251">
        <v>0</v>
      </c>
      <c r="E80" s="249">
        <v>-2.2949999999999998E-2</v>
      </c>
      <c r="F80" s="250">
        <f t="shared" si="88"/>
        <v>-3.0262401525551856E-4</v>
      </c>
      <c r="G80" s="251">
        <v>105185.51223139936</v>
      </c>
      <c r="H80" s="249">
        <v>-1.5525000000000001E-2</v>
      </c>
      <c r="I80" s="250">
        <f t="shared" si="89"/>
        <v>-2.7751874538574703E-4</v>
      </c>
      <c r="J80" s="251">
        <v>107311.95391419801</v>
      </c>
      <c r="K80" s="304"/>
      <c r="L80" s="250">
        <f t="shared" si="90"/>
        <v>0</v>
      </c>
      <c r="M80" s="251">
        <v>0</v>
      </c>
      <c r="N80" s="249"/>
      <c r="O80" s="250">
        <f t="shared" si="91"/>
        <v>0</v>
      </c>
      <c r="P80" s="251">
        <v>0</v>
      </c>
      <c r="Q80" s="249"/>
      <c r="R80" s="250">
        <f t="shared" si="92"/>
        <v>0</v>
      </c>
      <c r="S80" s="251">
        <v>0</v>
      </c>
      <c r="T80" s="249"/>
      <c r="U80" s="250">
        <f t="shared" si="93"/>
        <v>0</v>
      </c>
      <c r="V80" s="251">
        <v>0</v>
      </c>
      <c r="W80" s="249"/>
      <c r="X80" s="250">
        <f t="shared" si="94"/>
        <v>0</v>
      </c>
      <c r="Y80" s="251">
        <v>0</v>
      </c>
      <c r="Z80" s="249"/>
      <c r="AA80" s="250">
        <f t="shared" si="95"/>
        <v>0</v>
      </c>
      <c r="AB80" s="251">
        <v>0</v>
      </c>
      <c r="AC80" s="249"/>
      <c r="AD80" s="250">
        <f t="shared" si="96"/>
        <v>0</v>
      </c>
      <c r="AE80" s="251">
        <v>0</v>
      </c>
      <c r="AF80" s="249"/>
      <c r="AG80" s="250">
        <f t="shared" si="97"/>
        <v>0</v>
      </c>
      <c r="AH80" s="251">
        <v>0</v>
      </c>
      <c r="AI80" s="261">
        <v>-3.5549999999999998E-2</v>
      </c>
      <c r="AJ80" s="250">
        <f t="shared" si="98"/>
        <v>-9.6364204322256313E-4</v>
      </c>
      <c r="AK80" s="261">
        <v>99350.210970464148</v>
      </c>
      <c r="AL80" s="249">
        <v>-7.4024999999999994E-2</v>
      </c>
      <c r="AM80" s="250">
        <f t="shared" si="99"/>
        <v>-1.3145021127794211E-4</v>
      </c>
      <c r="AN80" s="251">
        <v>102829.11975992624</v>
      </c>
      <c r="AO80" s="303"/>
      <c r="AP80" s="249"/>
      <c r="AQ80" s="250">
        <f t="shared" si="100"/>
        <v>0</v>
      </c>
      <c r="AR80" s="251"/>
      <c r="AS80" s="249"/>
      <c r="AT80" s="250">
        <f t="shared" si="101"/>
        <v>0</v>
      </c>
      <c r="AU80" s="251"/>
      <c r="AV80" s="297"/>
      <c r="AW80" s="250">
        <f t="shared" si="102"/>
        <v>0</v>
      </c>
      <c r="AX80" s="300"/>
      <c r="AY80" s="297"/>
      <c r="AZ80" s="250">
        <f t="shared" si="103"/>
        <v>0</v>
      </c>
      <c r="BA80" s="300"/>
      <c r="BB80" s="297"/>
      <c r="BC80" s="250">
        <f t="shared" si="104"/>
        <v>0</v>
      </c>
      <c r="BD80" s="300"/>
      <c r="BE80" s="249"/>
      <c r="BF80" s="250">
        <f t="shared" si="105"/>
        <v>0</v>
      </c>
      <c r="BG80" s="251"/>
      <c r="BH80" s="249"/>
      <c r="BI80" s="250">
        <f t="shared" si="106"/>
        <v>0</v>
      </c>
      <c r="BJ80" s="251"/>
      <c r="BK80" s="249"/>
      <c r="BL80" s="250">
        <f t="shared" si="107"/>
        <v>0</v>
      </c>
      <c r="BM80" s="251"/>
      <c r="BN80" s="249"/>
      <c r="BO80" s="250">
        <f t="shared" si="108"/>
        <v>0</v>
      </c>
      <c r="BP80" s="251"/>
      <c r="BQ80" s="249">
        <v>7.1856000000000089</v>
      </c>
      <c r="BR80" s="250">
        <f t="shared" si="109"/>
        <v>0.16316441598806036</v>
      </c>
      <c r="BS80" s="261">
        <v>84921.881262524912</v>
      </c>
      <c r="BT80" s="249">
        <v>6.6672000000000109</v>
      </c>
      <c r="BU80" s="250">
        <f t="shared" si="110"/>
        <v>0.23259380467116184</v>
      </c>
      <c r="BV80" s="251">
        <v>84896.292296616142</v>
      </c>
      <c r="BW80" s="249">
        <v>4.3632000000000026</v>
      </c>
      <c r="BX80" s="250">
        <f t="shared" si="111"/>
        <v>0.18747018413299837</v>
      </c>
      <c r="BY80" s="251">
        <v>84828.834341767462</v>
      </c>
    </row>
    <row r="81" spans="1:77" ht="15.75" thickBot="1">
      <c r="A81" t="s">
        <v>201</v>
      </c>
      <c r="B81" s="249"/>
      <c r="C81" s="250">
        <f t="shared" si="87"/>
        <v>0</v>
      </c>
      <c r="D81" s="251">
        <v>0</v>
      </c>
      <c r="E81" s="249">
        <v>-3.8300000000000001E-2</v>
      </c>
      <c r="F81" s="250">
        <f t="shared" si="88"/>
        <v>-5.0503267033927507E-4</v>
      </c>
      <c r="G81" s="251">
        <v>103962.42487987147</v>
      </c>
      <c r="H81" s="249"/>
      <c r="I81" s="250">
        <f t="shared" si="89"/>
        <v>0</v>
      </c>
      <c r="J81" s="251">
        <v>0</v>
      </c>
      <c r="K81" s="304"/>
      <c r="L81" s="250">
        <f t="shared" si="90"/>
        <v>0</v>
      </c>
      <c r="M81" s="251">
        <v>0</v>
      </c>
      <c r="N81" s="249"/>
      <c r="O81" s="250">
        <f t="shared" si="91"/>
        <v>0</v>
      </c>
      <c r="P81" s="251">
        <v>0</v>
      </c>
      <c r="Q81" s="249"/>
      <c r="R81" s="250">
        <f t="shared" si="92"/>
        <v>0</v>
      </c>
      <c r="S81" s="251">
        <v>0</v>
      </c>
      <c r="T81" s="249"/>
      <c r="U81" s="250">
        <f t="shared" si="93"/>
        <v>0</v>
      </c>
      <c r="V81" s="251">
        <v>0</v>
      </c>
      <c r="W81" s="249"/>
      <c r="X81" s="250">
        <f t="shared" si="94"/>
        <v>0</v>
      </c>
      <c r="Y81" s="251">
        <v>0</v>
      </c>
      <c r="Z81" s="249"/>
      <c r="AA81" s="250">
        <f t="shared" si="95"/>
        <v>0</v>
      </c>
      <c r="AB81" s="251">
        <v>0</v>
      </c>
      <c r="AC81" s="249"/>
      <c r="AD81" s="250">
        <f t="shared" si="96"/>
        <v>0</v>
      </c>
      <c r="AE81" s="251">
        <v>0</v>
      </c>
      <c r="AF81" s="249"/>
      <c r="AG81" s="250">
        <f t="shared" si="97"/>
        <v>0</v>
      </c>
      <c r="AH81" s="251">
        <v>0</v>
      </c>
      <c r="AI81" s="261">
        <v>-2.5999999999999999E-3</v>
      </c>
      <c r="AJ81" s="250">
        <f t="shared" si="98"/>
        <v>-7.0477336494477189E-5</v>
      </c>
      <c r="AK81" s="261">
        <v>101780.76923076923</v>
      </c>
      <c r="AL81" s="249">
        <v>-4.0899999999999999E-2</v>
      </c>
      <c r="AM81" s="250">
        <f t="shared" si="99"/>
        <v>-7.2628350439281756E-5</v>
      </c>
      <c r="AN81" s="251">
        <v>103823.73772369382</v>
      </c>
      <c r="AO81" s="303"/>
      <c r="AP81" s="249"/>
      <c r="AQ81" s="250">
        <f t="shared" si="100"/>
        <v>0</v>
      </c>
      <c r="AR81" s="251"/>
      <c r="AS81" s="249"/>
      <c r="AT81" s="250">
        <f t="shared" si="101"/>
        <v>0</v>
      </c>
      <c r="AU81" s="251"/>
      <c r="AV81" s="297"/>
      <c r="AW81" s="250">
        <f t="shared" si="102"/>
        <v>0</v>
      </c>
      <c r="AX81" s="300"/>
      <c r="AY81" s="297"/>
      <c r="AZ81" s="250">
        <f t="shared" si="103"/>
        <v>0</v>
      </c>
      <c r="BA81" s="300"/>
      <c r="BB81" s="297">
        <v>-2.8000000000000001E-2</v>
      </c>
      <c r="BC81" s="250">
        <f t="shared" si="104"/>
        <v>-1.2318216125213623E-3</v>
      </c>
      <c r="BD81" s="300">
        <v>81046.42857142858</v>
      </c>
      <c r="BE81" s="249">
        <v>0</v>
      </c>
      <c r="BF81" s="250">
        <f t="shared" si="105"/>
        <v>0</v>
      </c>
      <c r="BG81" s="251">
        <v>0</v>
      </c>
      <c r="BH81" s="249"/>
      <c r="BI81" s="250">
        <f t="shared" si="106"/>
        <v>0</v>
      </c>
      <c r="BJ81" s="251"/>
      <c r="BK81" s="249"/>
      <c r="BL81" s="250">
        <f t="shared" si="107"/>
        <v>0</v>
      </c>
      <c r="BM81" s="251"/>
      <c r="BN81" s="249"/>
      <c r="BO81" s="250">
        <f t="shared" si="108"/>
        <v>0</v>
      </c>
      <c r="BP81" s="251"/>
      <c r="BQ81" s="249"/>
      <c r="BR81" s="250">
        <f t="shared" si="109"/>
        <v>0</v>
      </c>
      <c r="BS81" s="261"/>
      <c r="BT81" s="262">
        <v>0</v>
      </c>
      <c r="BU81" s="263">
        <f t="shared" si="110"/>
        <v>0</v>
      </c>
      <c r="BV81" s="265">
        <v>0</v>
      </c>
      <c r="BW81" s="262"/>
      <c r="BX81" s="263">
        <f t="shared" si="111"/>
        <v>0</v>
      </c>
      <c r="BY81" s="265"/>
    </row>
    <row r="82" spans="1:77" ht="15.75" hidden="1" thickBot="1">
      <c r="B82" s="249"/>
      <c r="C82" s="250"/>
      <c r="D82" s="251"/>
      <c r="E82" s="249"/>
      <c r="F82" s="250"/>
      <c r="G82" s="251"/>
      <c r="H82" s="249"/>
      <c r="I82" s="250"/>
      <c r="J82" s="251"/>
      <c r="K82" s="304"/>
      <c r="L82" s="250"/>
      <c r="M82" s="251"/>
      <c r="N82" s="249"/>
      <c r="O82" s="250"/>
      <c r="P82" s="251"/>
      <c r="Q82" s="249"/>
      <c r="R82" s="250"/>
      <c r="S82" s="251"/>
      <c r="T82" s="249"/>
      <c r="U82" s="250"/>
      <c r="V82" s="251"/>
      <c r="W82" s="249"/>
      <c r="X82" s="250"/>
      <c r="Y82" s="251"/>
      <c r="Z82" s="249"/>
      <c r="AA82" s="250"/>
      <c r="AB82" s="251"/>
      <c r="AC82" s="249"/>
      <c r="AD82" s="250"/>
      <c r="AE82" s="251"/>
      <c r="AF82" s="249"/>
      <c r="AG82" s="250"/>
      <c r="AH82" s="251"/>
      <c r="AI82" s="261"/>
      <c r="AJ82" s="250"/>
      <c r="AK82" s="261"/>
      <c r="AL82" s="249"/>
      <c r="AM82" s="250"/>
      <c r="AN82" s="251"/>
      <c r="AO82" s="303"/>
      <c r="AP82" s="249"/>
      <c r="AQ82" s="250"/>
      <c r="AR82" s="251"/>
      <c r="AS82" s="249"/>
      <c r="AT82" s="250"/>
      <c r="AU82" s="251"/>
      <c r="AV82" s="249"/>
      <c r="AW82" s="250"/>
      <c r="AX82" s="251"/>
      <c r="AY82" s="249"/>
      <c r="AZ82" s="250"/>
      <c r="BA82" s="251"/>
      <c r="BB82" s="249"/>
      <c r="BC82" s="250"/>
      <c r="BD82" s="251"/>
      <c r="BE82" s="249"/>
      <c r="BF82" s="250"/>
      <c r="BG82" s="251"/>
      <c r="BH82" s="249"/>
      <c r="BI82" s="250"/>
      <c r="BJ82" s="251"/>
      <c r="BK82" s="249"/>
      <c r="BL82" s="250"/>
      <c r="BM82" s="251"/>
      <c r="BN82" s="249"/>
      <c r="BO82" s="250"/>
      <c r="BP82" s="251"/>
      <c r="BQ82" s="249"/>
      <c r="BR82" s="250"/>
      <c r="BS82" s="251"/>
      <c r="BT82" s="249"/>
      <c r="BU82" s="250"/>
      <c r="BV82" s="251"/>
      <c r="BW82" s="249"/>
      <c r="BX82" s="250"/>
      <c r="BY82" s="251"/>
    </row>
    <row r="83" spans="1:77" ht="15.75" hidden="1" thickBot="1">
      <c r="B83" s="249"/>
      <c r="C83" s="250"/>
      <c r="D83" s="251"/>
      <c r="E83" s="249"/>
      <c r="F83" s="250"/>
      <c r="G83" s="251"/>
      <c r="H83" s="249"/>
      <c r="I83" s="250"/>
      <c r="J83" s="251"/>
      <c r="K83" s="304"/>
      <c r="L83" s="250"/>
      <c r="M83" s="251"/>
      <c r="N83" s="249"/>
      <c r="O83" s="250"/>
      <c r="P83" s="251"/>
      <c r="Q83" s="249"/>
      <c r="R83" s="250"/>
      <c r="S83" s="251"/>
      <c r="T83" s="249"/>
      <c r="U83" s="250"/>
      <c r="V83" s="251"/>
      <c r="W83" s="249"/>
      <c r="X83" s="250"/>
      <c r="Y83" s="251"/>
      <c r="Z83" s="249"/>
      <c r="AA83" s="250"/>
      <c r="AB83" s="251"/>
      <c r="AC83" s="249"/>
      <c r="AD83" s="250"/>
      <c r="AE83" s="251"/>
      <c r="AF83" s="249"/>
      <c r="AG83" s="250"/>
      <c r="AH83" s="251"/>
      <c r="AI83" s="261"/>
      <c r="AJ83" s="250"/>
      <c r="AK83" s="261"/>
      <c r="AL83" s="249"/>
      <c r="AM83" s="250"/>
      <c r="AN83" s="251"/>
      <c r="AO83" s="303"/>
      <c r="AP83" s="249"/>
      <c r="AQ83" s="250"/>
      <c r="AR83" s="251"/>
      <c r="AS83" s="249"/>
      <c r="AT83" s="250"/>
      <c r="AU83" s="251"/>
      <c r="AV83" s="249"/>
      <c r="AW83" s="250"/>
      <c r="AX83" s="251"/>
      <c r="AY83" s="249"/>
      <c r="AZ83" s="250"/>
      <c r="BA83" s="251"/>
      <c r="BB83" s="249"/>
      <c r="BC83" s="250"/>
      <c r="BD83" s="251"/>
      <c r="BE83" s="249"/>
      <c r="BF83" s="250"/>
      <c r="BG83" s="251"/>
      <c r="BH83" s="249"/>
      <c r="BI83" s="250"/>
      <c r="BJ83" s="251"/>
      <c r="BK83" s="249"/>
      <c r="BL83" s="250"/>
      <c r="BM83" s="251"/>
      <c r="BN83" s="249"/>
      <c r="BO83" s="250"/>
      <c r="BP83" s="251"/>
      <c r="BQ83" s="249"/>
      <c r="BR83" s="250"/>
      <c r="BS83" s="251"/>
      <c r="BT83" s="249"/>
      <c r="BU83" s="250"/>
      <c r="BV83" s="251"/>
      <c r="BW83" s="249"/>
      <c r="BX83" s="250"/>
      <c r="BY83" s="251"/>
    </row>
    <row r="84" spans="1:77" ht="15.75" hidden="1" thickBot="1">
      <c r="B84" s="249"/>
      <c r="C84" s="250"/>
      <c r="D84" s="251"/>
      <c r="E84" s="249"/>
      <c r="F84" s="250"/>
      <c r="G84" s="251"/>
      <c r="H84" s="249"/>
      <c r="I84" s="250"/>
      <c r="J84" s="251"/>
      <c r="K84" s="304"/>
      <c r="L84" s="250"/>
      <c r="M84" s="251"/>
      <c r="N84" s="249"/>
      <c r="O84" s="250"/>
      <c r="P84" s="251"/>
      <c r="Q84" s="249"/>
      <c r="R84" s="250"/>
      <c r="S84" s="251"/>
      <c r="T84" s="249"/>
      <c r="U84" s="250"/>
      <c r="V84" s="251"/>
      <c r="W84" s="249"/>
      <c r="X84" s="250"/>
      <c r="Y84" s="251"/>
      <c r="Z84" s="249"/>
      <c r="AA84" s="250"/>
      <c r="AB84" s="251"/>
      <c r="AC84" s="249"/>
      <c r="AD84" s="250"/>
      <c r="AE84" s="251"/>
      <c r="AF84" s="249"/>
      <c r="AG84" s="250"/>
      <c r="AH84" s="251"/>
      <c r="AI84" s="261"/>
      <c r="AJ84" s="250"/>
      <c r="AK84" s="261"/>
      <c r="AL84" s="249"/>
      <c r="AM84" s="250"/>
      <c r="AN84" s="251"/>
      <c r="AO84" s="303"/>
      <c r="AP84" s="249"/>
      <c r="AQ84" s="250"/>
      <c r="AR84" s="251"/>
      <c r="AS84" s="249"/>
      <c r="AT84" s="250"/>
      <c r="AU84" s="251"/>
      <c r="AV84" s="249"/>
      <c r="AW84" s="250"/>
      <c r="AX84" s="251"/>
      <c r="AY84" s="249"/>
      <c r="AZ84" s="250"/>
      <c r="BA84" s="251"/>
      <c r="BB84" s="249"/>
      <c r="BC84" s="250"/>
      <c r="BD84" s="251"/>
      <c r="BE84" s="249"/>
      <c r="BF84" s="250"/>
      <c r="BG84" s="251"/>
      <c r="BH84" s="249"/>
      <c r="BI84" s="250"/>
      <c r="BJ84" s="251"/>
      <c r="BK84" s="249"/>
      <c r="BL84" s="250"/>
      <c r="BM84" s="251"/>
      <c r="BN84" s="249"/>
      <c r="BO84" s="250"/>
      <c r="BP84" s="251"/>
      <c r="BQ84" s="249"/>
      <c r="BR84" s="250"/>
      <c r="BS84" s="251"/>
      <c r="BT84" s="249"/>
      <c r="BU84" s="250"/>
      <c r="BV84" s="251"/>
      <c r="BW84" s="249"/>
      <c r="BX84" s="250"/>
      <c r="BY84" s="251"/>
    </row>
    <row r="85" spans="1:77" ht="15.75" hidden="1" thickBot="1">
      <c r="B85" s="249"/>
      <c r="C85" s="250"/>
      <c r="D85" s="251"/>
      <c r="E85" s="249"/>
      <c r="F85" s="250"/>
      <c r="G85" s="251"/>
      <c r="H85" s="249"/>
      <c r="I85" s="250"/>
      <c r="J85" s="251"/>
      <c r="K85" s="304"/>
      <c r="L85" s="250"/>
      <c r="M85" s="251"/>
      <c r="N85" s="249"/>
      <c r="O85" s="250"/>
      <c r="P85" s="251"/>
      <c r="Q85" s="249"/>
      <c r="R85" s="250"/>
      <c r="S85" s="251"/>
      <c r="T85" s="249"/>
      <c r="U85" s="250"/>
      <c r="V85" s="251"/>
      <c r="W85" s="249"/>
      <c r="X85" s="250"/>
      <c r="Y85" s="251"/>
      <c r="Z85" s="249"/>
      <c r="AA85" s="250"/>
      <c r="AB85" s="251"/>
      <c r="AC85" s="249"/>
      <c r="AD85" s="250"/>
      <c r="AE85" s="251"/>
      <c r="AF85" s="249"/>
      <c r="AG85" s="250"/>
      <c r="AH85" s="251"/>
      <c r="AI85" s="261"/>
      <c r="AJ85" s="250"/>
      <c r="AK85" s="261"/>
      <c r="AL85" s="249"/>
      <c r="AM85" s="250"/>
      <c r="AN85" s="251"/>
      <c r="AO85" s="303"/>
      <c r="AP85" s="249"/>
      <c r="AQ85" s="250"/>
      <c r="AR85" s="251"/>
      <c r="AS85" s="249"/>
      <c r="AT85" s="250"/>
      <c r="AU85" s="251"/>
      <c r="AV85" s="249"/>
      <c r="AW85" s="250"/>
      <c r="AX85" s="251"/>
      <c r="AY85" s="249"/>
      <c r="AZ85" s="250"/>
      <c r="BA85" s="251"/>
      <c r="BB85" s="249"/>
      <c r="BC85" s="250"/>
      <c r="BD85" s="251"/>
      <c r="BE85" s="249"/>
      <c r="BF85" s="250"/>
      <c r="BG85" s="251"/>
      <c r="BH85" s="249"/>
      <c r="BI85" s="250"/>
      <c r="BJ85" s="251"/>
      <c r="BK85" s="249"/>
      <c r="BL85" s="250"/>
      <c r="BM85" s="251"/>
      <c r="BN85" s="249"/>
      <c r="BO85" s="250"/>
      <c r="BP85" s="251"/>
      <c r="BQ85" s="249"/>
      <c r="BR85" s="250"/>
      <c r="BS85" s="251"/>
      <c r="BT85" s="249"/>
      <c r="BU85" s="250"/>
      <c r="BV85" s="251"/>
      <c r="BW85" s="249"/>
      <c r="BX85" s="250"/>
      <c r="BY85" s="251"/>
    </row>
    <row r="86" spans="1:77" ht="15.75" hidden="1" thickBot="1">
      <c r="B86" s="249"/>
      <c r="C86" s="250"/>
      <c r="D86" s="251"/>
      <c r="E86" s="249"/>
      <c r="F86" s="250"/>
      <c r="G86" s="251"/>
      <c r="H86" s="249"/>
      <c r="I86" s="250"/>
      <c r="J86" s="251"/>
      <c r="K86" s="304"/>
      <c r="L86" s="250"/>
      <c r="M86" s="251"/>
      <c r="N86" s="249"/>
      <c r="O86" s="250"/>
      <c r="P86" s="251"/>
      <c r="Q86" s="249"/>
      <c r="R86" s="250"/>
      <c r="S86" s="251"/>
      <c r="T86" s="249"/>
      <c r="U86" s="250"/>
      <c r="V86" s="251"/>
      <c r="W86" s="249"/>
      <c r="X86" s="250"/>
      <c r="Y86" s="251"/>
      <c r="Z86" s="249"/>
      <c r="AA86" s="250"/>
      <c r="AB86" s="251"/>
      <c r="AC86" s="249"/>
      <c r="AD86" s="250"/>
      <c r="AE86" s="251"/>
      <c r="AF86" s="249"/>
      <c r="AG86" s="250"/>
      <c r="AH86" s="251"/>
      <c r="AI86" s="261"/>
      <c r="AJ86" s="250"/>
      <c r="AK86" s="261"/>
      <c r="AL86" s="249"/>
      <c r="AM86" s="250"/>
      <c r="AN86" s="251"/>
      <c r="AO86" s="303"/>
      <c r="AP86" s="249"/>
      <c r="AQ86" s="250"/>
      <c r="AR86" s="251"/>
      <c r="AS86" s="249"/>
      <c r="AT86" s="250"/>
      <c r="AU86" s="251"/>
      <c r="AV86" s="249"/>
      <c r="AW86" s="250"/>
      <c r="AX86" s="251"/>
      <c r="AY86" s="249"/>
      <c r="AZ86" s="250"/>
      <c r="BA86" s="251"/>
      <c r="BB86" s="249"/>
      <c r="BC86" s="250"/>
      <c r="BD86" s="251"/>
      <c r="BE86" s="249"/>
      <c r="BF86" s="250"/>
      <c r="BG86" s="251"/>
      <c r="BH86" s="249"/>
      <c r="BI86" s="250"/>
      <c r="BJ86" s="251"/>
      <c r="BK86" s="249"/>
      <c r="BL86" s="250"/>
      <c r="BM86" s="251"/>
      <c r="BN86" s="249"/>
      <c r="BO86" s="250"/>
      <c r="BP86" s="251"/>
      <c r="BQ86" s="249"/>
      <c r="BR86" s="250"/>
      <c r="BS86" s="251"/>
      <c r="BT86" s="249"/>
      <c r="BU86" s="250"/>
      <c r="BV86" s="251"/>
      <c r="BW86" s="249"/>
      <c r="BX86" s="250"/>
      <c r="BY86" s="251"/>
    </row>
    <row r="87" spans="1:77" ht="15.75" hidden="1" thickBot="1">
      <c r="B87" s="249"/>
      <c r="C87" s="250"/>
      <c r="D87" s="251"/>
      <c r="E87" s="249"/>
      <c r="F87" s="250"/>
      <c r="G87" s="251"/>
      <c r="H87" s="249"/>
      <c r="I87" s="250"/>
      <c r="J87" s="251"/>
      <c r="K87" s="304"/>
      <c r="L87" s="250"/>
      <c r="M87" s="251"/>
      <c r="N87" s="249"/>
      <c r="O87" s="250"/>
      <c r="P87" s="251"/>
      <c r="Q87" s="249"/>
      <c r="R87" s="250"/>
      <c r="S87" s="251"/>
      <c r="T87" s="249"/>
      <c r="U87" s="250"/>
      <c r="V87" s="251"/>
      <c r="W87" s="249"/>
      <c r="X87" s="250"/>
      <c r="Y87" s="251"/>
      <c r="Z87" s="249"/>
      <c r="AA87" s="250"/>
      <c r="AB87" s="251"/>
      <c r="AC87" s="249"/>
      <c r="AD87" s="250"/>
      <c r="AE87" s="251"/>
      <c r="AF87" s="249"/>
      <c r="AG87" s="250"/>
      <c r="AH87" s="251"/>
      <c r="AI87" s="261"/>
      <c r="AJ87" s="250"/>
      <c r="AK87" s="261"/>
      <c r="AL87" s="249"/>
      <c r="AM87" s="250"/>
      <c r="AN87" s="251"/>
      <c r="AO87" s="303"/>
      <c r="AP87" s="249"/>
      <c r="AQ87" s="250"/>
      <c r="AR87" s="251"/>
      <c r="AS87" s="249"/>
      <c r="AT87" s="250"/>
      <c r="AU87" s="251"/>
      <c r="AV87" s="249"/>
      <c r="AW87" s="250"/>
      <c r="AX87" s="251"/>
      <c r="AY87" s="249"/>
      <c r="AZ87" s="250"/>
      <c r="BA87" s="251"/>
      <c r="BB87" s="249"/>
      <c r="BC87" s="250"/>
      <c r="BD87" s="251"/>
      <c r="BE87" s="249"/>
      <c r="BF87" s="250"/>
      <c r="BG87" s="251"/>
      <c r="BH87" s="249"/>
      <c r="BI87" s="250"/>
      <c r="BJ87" s="251"/>
      <c r="BK87" s="249"/>
      <c r="BL87" s="250"/>
      <c r="BM87" s="251"/>
      <c r="BN87" s="249"/>
      <c r="BO87" s="250"/>
      <c r="BP87" s="251"/>
      <c r="BQ87" s="249"/>
      <c r="BR87" s="250"/>
      <c r="BS87" s="251"/>
      <c r="BT87" s="249"/>
      <c r="BU87" s="250"/>
      <c r="BV87" s="251"/>
      <c r="BW87" s="249"/>
      <c r="BX87" s="250"/>
      <c r="BY87" s="251"/>
    </row>
    <row r="88" spans="1:77" ht="15.75" hidden="1" thickBot="1">
      <c r="B88" s="249"/>
      <c r="C88" s="250"/>
      <c r="D88" s="251"/>
      <c r="E88" s="249"/>
      <c r="F88" s="250"/>
      <c r="G88" s="251"/>
      <c r="H88" s="249"/>
      <c r="I88" s="250"/>
      <c r="J88" s="251"/>
      <c r="K88" s="304"/>
      <c r="L88" s="250"/>
      <c r="M88" s="251"/>
      <c r="N88" s="249"/>
      <c r="O88" s="250"/>
      <c r="P88" s="251"/>
      <c r="Q88" s="249"/>
      <c r="R88" s="250"/>
      <c r="S88" s="251"/>
      <c r="T88" s="249"/>
      <c r="U88" s="250"/>
      <c r="V88" s="251"/>
      <c r="W88" s="249"/>
      <c r="X88" s="250"/>
      <c r="Y88" s="251"/>
      <c r="Z88" s="249"/>
      <c r="AA88" s="250"/>
      <c r="AB88" s="251"/>
      <c r="AC88" s="249"/>
      <c r="AD88" s="250"/>
      <c r="AE88" s="251"/>
      <c r="AF88" s="249"/>
      <c r="AG88" s="250"/>
      <c r="AH88" s="251"/>
      <c r="AI88" s="261"/>
      <c r="AJ88" s="250"/>
      <c r="AK88" s="261"/>
      <c r="AL88" s="249"/>
      <c r="AM88" s="250"/>
      <c r="AN88" s="251"/>
      <c r="AO88" s="303"/>
      <c r="AP88" s="293"/>
      <c r="AQ88" s="250"/>
      <c r="AR88" s="251"/>
      <c r="AS88" s="293"/>
      <c r="AT88" s="250"/>
      <c r="AU88" s="251"/>
      <c r="AV88" s="293"/>
      <c r="AW88" s="250"/>
      <c r="AX88" s="251"/>
      <c r="AY88" s="293"/>
      <c r="AZ88" s="250"/>
      <c r="BA88" s="251"/>
      <c r="BB88" s="293"/>
      <c r="BC88" s="250"/>
      <c r="BD88" s="251"/>
      <c r="BE88" s="293"/>
      <c r="BF88" s="250"/>
      <c r="BG88" s="251"/>
      <c r="BH88" s="293"/>
      <c r="BI88" s="250"/>
      <c r="BJ88" s="251"/>
      <c r="BK88" s="293"/>
      <c r="BL88" s="250"/>
      <c r="BM88" s="251"/>
      <c r="BN88" s="293"/>
      <c r="BO88" s="250"/>
      <c r="BP88" s="251"/>
      <c r="BQ88" s="293"/>
      <c r="BR88" s="250"/>
      <c r="BS88" s="251"/>
      <c r="BT88" s="293"/>
      <c r="BU88" s="250"/>
      <c r="BV88" s="251"/>
      <c r="BW88" s="293"/>
      <c r="BX88" s="250"/>
      <c r="BY88" s="251"/>
    </row>
    <row r="89" spans="1:77" ht="15.75" hidden="1" thickBot="1">
      <c r="B89" s="249"/>
      <c r="C89" s="250"/>
      <c r="D89" s="251"/>
      <c r="E89" s="249"/>
      <c r="F89" s="250"/>
      <c r="G89" s="251"/>
      <c r="H89" s="249"/>
      <c r="I89" s="250"/>
      <c r="J89" s="251"/>
      <c r="K89" s="304"/>
      <c r="L89" s="250"/>
      <c r="M89" s="251"/>
      <c r="N89" s="249"/>
      <c r="O89" s="250"/>
      <c r="P89" s="251"/>
      <c r="Q89" s="249"/>
      <c r="R89" s="250"/>
      <c r="S89" s="251"/>
      <c r="T89" s="249"/>
      <c r="U89" s="250"/>
      <c r="V89" s="251"/>
      <c r="W89" s="249"/>
      <c r="X89" s="250"/>
      <c r="Y89" s="251"/>
      <c r="Z89" s="249"/>
      <c r="AA89" s="250"/>
      <c r="AB89" s="251"/>
      <c r="AC89" s="249"/>
      <c r="AD89" s="250"/>
      <c r="AE89" s="251"/>
      <c r="AF89" s="249"/>
      <c r="AG89" s="250"/>
      <c r="AH89" s="251"/>
      <c r="AI89" s="261"/>
      <c r="AJ89" s="250"/>
      <c r="AK89" s="261"/>
      <c r="AL89" s="249"/>
      <c r="AM89" s="250"/>
      <c r="AN89" s="251"/>
      <c r="AO89" s="303"/>
      <c r="AP89" s="249"/>
      <c r="AQ89" s="250"/>
      <c r="AR89" s="251"/>
      <c r="AS89" s="249"/>
      <c r="AT89" s="250"/>
      <c r="AU89" s="251"/>
      <c r="AV89" s="249"/>
      <c r="AW89" s="250"/>
      <c r="AX89" s="251"/>
      <c r="AY89" s="249"/>
      <c r="AZ89" s="250"/>
      <c r="BA89" s="251"/>
      <c r="BB89" s="249"/>
      <c r="BC89" s="250"/>
      <c r="BD89" s="251"/>
      <c r="BE89" s="249"/>
      <c r="BF89" s="250"/>
      <c r="BG89" s="251"/>
      <c r="BH89" s="249"/>
      <c r="BI89" s="250"/>
      <c r="BJ89" s="251"/>
      <c r="BK89" s="249"/>
      <c r="BL89" s="250"/>
      <c r="BM89" s="251"/>
      <c r="BN89" s="249"/>
      <c r="BO89" s="250"/>
      <c r="BP89" s="251"/>
      <c r="BQ89" s="249"/>
      <c r="BR89" s="250"/>
      <c r="BS89" s="251"/>
      <c r="BT89" s="249"/>
      <c r="BU89" s="250"/>
      <c r="BV89" s="251"/>
      <c r="BW89" s="249"/>
      <c r="BX89" s="250"/>
      <c r="BY89" s="251"/>
    </row>
    <row r="90" spans="1:77" ht="15.75" hidden="1" thickBot="1">
      <c r="B90" s="249"/>
      <c r="C90" s="250"/>
      <c r="D90" s="251"/>
      <c r="E90" s="249"/>
      <c r="F90" s="250"/>
      <c r="G90" s="251"/>
      <c r="H90" s="249"/>
      <c r="I90" s="250"/>
      <c r="J90" s="251"/>
      <c r="K90" s="304"/>
      <c r="L90" s="250"/>
      <c r="M90" s="251"/>
      <c r="N90" s="249"/>
      <c r="O90" s="250"/>
      <c r="P90" s="251"/>
      <c r="Q90" s="249"/>
      <c r="R90" s="250"/>
      <c r="S90" s="251"/>
      <c r="T90" s="249"/>
      <c r="U90" s="250"/>
      <c r="V90" s="251"/>
      <c r="W90" s="249"/>
      <c r="X90" s="250"/>
      <c r="Y90" s="251"/>
      <c r="Z90" s="249"/>
      <c r="AA90" s="250"/>
      <c r="AB90" s="251"/>
      <c r="AC90" s="249"/>
      <c r="AD90" s="250"/>
      <c r="AE90" s="251"/>
      <c r="AF90" s="249"/>
      <c r="AG90" s="250"/>
      <c r="AH90" s="251"/>
      <c r="AI90" s="261"/>
      <c r="AJ90" s="250"/>
      <c r="AK90" s="261"/>
      <c r="AL90" s="249"/>
      <c r="AM90" s="250"/>
      <c r="AN90" s="251"/>
      <c r="AO90" s="303"/>
      <c r="AP90" s="249"/>
      <c r="AQ90" s="250"/>
      <c r="AR90" s="251"/>
      <c r="AS90" s="249"/>
      <c r="AT90" s="250"/>
      <c r="AU90" s="251"/>
      <c r="AV90" s="249"/>
      <c r="AW90" s="250"/>
      <c r="AX90" s="251"/>
      <c r="AY90" s="249"/>
      <c r="AZ90" s="250"/>
      <c r="BA90" s="251"/>
      <c r="BB90" s="249"/>
      <c r="BC90" s="250"/>
      <c r="BD90" s="251"/>
      <c r="BE90" s="249"/>
      <c r="BF90" s="250"/>
      <c r="BG90" s="251"/>
      <c r="BH90" s="249"/>
      <c r="BI90" s="250"/>
      <c r="BJ90" s="251"/>
      <c r="BK90" s="249"/>
      <c r="BL90" s="250"/>
      <c r="BM90" s="251"/>
      <c r="BN90" s="249"/>
      <c r="BO90" s="250"/>
      <c r="BP90" s="251"/>
      <c r="BQ90" s="249"/>
      <c r="BR90" s="250"/>
      <c r="BS90" s="251"/>
      <c r="BT90" s="249"/>
      <c r="BU90" s="250"/>
      <c r="BV90" s="251"/>
      <c r="BW90" s="249"/>
      <c r="BX90" s="250"/>
      <c r="BY90" s="251"/>
    </row>
    <row r="91" spans="1:77" ht="15.75" hidden="1" thickBot="1">
      <c r="B91" s="249"/>
      <c r="C91" s="250"/>
      <c r="D91" s="251"/>
      <c r="E91" s="249"/>
      <c r="F91" s="250"/>
      <c r="G91" s="251"/>
      <c r="H91" s="249"/>
      <c r="I91" s="250"/>
      <c r="J91" s="251"/>
      <c r="K91" s="304"/>
      <c r="L91" s="250"/>
      <c r="M91" s="251"/>
      <c r="N91" s="249"/>
      <c r="O91" s="250"/>
      <c r="P91" s="251"/>
      <c r="Q91" s="249"/>
      <c r="R91" s="250"/>
      <c r="S91" s="251"/>
      <c r="T91" s="249"/>
      <c r="U91" s="250"/>
      <c r="V91" s="251"/>
      <c r="W91" s="249"/>
      <c r="X91" s="250"/>
      <c r="Y91" s="251"/>
      <c r="Z91" s="249"/>
      <c r="AA91" s="250"/>
      <c r="AB91" s="251"/>
      <c r="AC91" s="249"/>
      <c r="AD91" s="250"/>
      <c r="AE91" s="251"/>
      <c r="AF91" s="249"/>
      <c r="AG91" s="250"/>
      <c r="AH91" s="251"/>
      <c r="AI91" s="261"/>
      <c r="AJ91" s="250"/>
      <c r="AK91" s="261"/>
      <c r="AL91" s="249"/>
      <c r="AM91" s="250"/>
      <c r="AN91" s="251"/>
      <c r="AO91" s="303"/>
      <c r="AP91" s="249"/>
      <c r="AQ91" s="250"/>
      <c r="AR91" s="251"/>
      <c r="AS91" s="249"/>
      <c r="AT91" s="250"/>
      <c r="AU91" s="251"/>
      <c r="AV91" s="249"/>
      <c r="AW91" s="250"/>
      <c r="AX91" s="251"/>
      <c r="AY91" s="249"/>
      <c r="AZ91" s="250"/>
      <c r="BA91" s="251"/>
      <c r="BB91" s="249"/>
      <c r="BC91" s="250"/>
      <c r="BD91" s="251"/>
      <c r="BE91" s="249"/>
      <c r="BF91" s="250"/>
      <c r="BG91" s="251"/>
      <c r="BH91" s="249"/>
      <c r="BI91" s="250"/>
      <c r="BJ91" s="251"/>
      <c r="BK91" s="249"/>
      <c r="BL91" s="250"/>
      <c r="BM91" s="251"/>
      <c r="BN91" s="249"/>
      <c r="BO91" s="250"/>
      <c r="BP91" s="251"/>
      <c r="BQ91" s="249"/>
      <c r="BR91" s="250"/>
      <c r="BS91" s="251"/>
      <c r="BT91" s="249"/>
      <c r="BU91" s="250"/>
      <c r="BV91" s="251"/>
      <c r="BW91" s="249"/>
      <c r="BX91" s="250"/>
      <c r="BY91" s="251"/>
    </row>
    <row r="92" spans="1:77" ht="15.75" hidden="1" thickBot="1">
      <c r="B92" s="249"/>
      <c r="C92" s="250"/>
      <c r="D92" s="251"/>
      <c r="E92" s="249"/>
      <c r="F92" s="250"/>
      <c r="G92" s="251"/>
      <c r="H92" s="249"/>
      <c r="I92" s="250"/>
      <c r="J92" s="251"/>
      <c r="K92" s="304"/>
      <c r="L92" s="250"/>
      <c r="M92" s="251"/>
      <c r="N92" s="249"/>
      <c r="O92" s="250"/>
      <c r="P92" s="251"/>
      <c r="Q92" s="249"/>
      <c r="R92" s="250"/>
      <c r="S92" s="251"/>
      <c r="T92" s="249"/>
      <c r="U92" s="250"/>
      <c r="V92" s="251"/>
      <c r="W92" s="249"/>
      <c r="X92" s="250"/>
      <c r="Y92" s="251"/>
      <c r="Z92" s="249"/>
      <c r="AA92" s="250"/>
      <c r="AB92" s="251"/>
      <c r="AC92" s="249"/>
      <c r="AD92" s="250"/>
      <c r="AE92" s="251"/>
      <c r="AF92" s="249"/>
      <c r="AG92" s="250"/>
      <c r="AH92" s="251"/>
      <c r="AI92" s="261"/>
      <c r="AJ92" s="250"/>
      <c r="AK92" s="261"/>
      <c r="AL92" s="249"/>
      <c r="AM92" s="250"/>
      <c r="AN92" s="251"/>
      <c r="AO92" s="303"/>
      <c r="AP92" s="249"/>
      <c r="AQ92" s="250"/>
      <c r="AR92" s="251"/>
      <c r="AS92" s="249"/>
      <c r="AT92" s="250"/>
      <c r="AU92" s="251"/>
      <c r="AV92" s="249"/>
      <c r="AW92" s="250"/>
      <c r="AX92" s="251"/>
      <c r="AY92" s="249"/>
      <c r="AZ92" s="250"/>
      <c r="BA92" s="251"/>
      <c r="BB92" s="249"/>
      <c r="BC92" s="250"/>
      <c r="BD92" s="251"/>
      <c r="BE92" s="249"/>
      <c r="BF92" s="250"/>
      <c r="BG92" s="251"/>
      <c r="BH92" s="249"/>
      <c r="BI92" s="250"/>
      <c r="BJ92" s="251"/>
      <c r="BK92" s="249"/>
      <c r="BL92" s="250"/>
      <c r="BM92" s="251"/>
      <c r="BN92" s="249"/>
      <c r="BO92" s="250"/>
      <c r="BP92" s="251"/>
      <c r="BQ92" s="249"/>
      <c r="BR92" s="250"/>
      <c r="BS92" s="251"/>
      <c r="BT92" s="249"/>
      <c r="BU92" s="250"/>
      <c r="BV92" s="251"/>
      <c r="BW92" s="249"/>
      <c r="BX92" s="250"/>
      <c r="BY92" s="251"/>
    </row>
    <row r="93" spans="1:77" ht="15.75" hidden="1" thickBot="1">
      <c r="B93" s="247"/>
      <c r="C93" s="104"/>
      <c r="D93" s="248"/>
      <c r="E93" s="247"/>
      <c r="F93" s="104"/>
      <c r="G93" s="248"/>
      <c r="H93" s="247"/>
      <c r="I93" s="104"/>
      <c r="J93" s="248"/>
      <c r="K93" s="305"/>
      <c r="L93" s="104"/>
      <c r="M93" s="248"/>
      <c r="N93" s="247"/>
      <c r="O93" s="104"/>
      <c r="P93" s="248"/>
      <c r="Q93" s="247"/>
      <c r="R93" s="104"/>
      <c r="S93" s="248"/>
      <c r="T93" s="247"/>
      <c r="U93" s="104"/>
      <c r="V93" s="248"/>
      <c r="W93" s="247"/>
      <c r="X93" s="104"/>
      <c r="Y93" s="248"/>
      <c r="Z93" s="247"/>
      <c r="AA93" s="104"/>
      <c r="AB93" s="248"/>
      <c r="AC93" s="247"/>
      <c r="AD93" s="104"/>
      <c r="AE93" s="248"/>
      <c r="AF93" s="247"/>
      <c r="AG93" s="104"/>
      <c r="AH93" s="248"/>
      <c r="AI93" s="247"/>
      <c r="AJ93" s="104"/>
      <c r="AK93" s="248"/>
      <c r="AL93" s="247"/>
      <c r="AM93" s="104"/>
      <c r="AN93" s="248"/>
      <c r="AO93" s="282"/>
      <c r="AP93" s="247"/>
      <c r="AQ93" s="104"/>
      <c r="AR93" s="248"/>
      <c r="AS93" s="247"/>
      <c r="AT93" s="104"/>
      <c r="AU93" s="248"/>
      <c r="AV93" s="247"/>
      <c r="AW93" s="104"/>
      <c r="AX93" s="248"/>
      <c r="AY93" s="247"/>
      <c r="AZ93" s="104"/>
      <c r="BA93" s="248"/>
      <c r="BB93" s="247"/>
      <c r="BC93" s="104"/>
      <c r="BD93" s="248"/>
      <c r="BE93" s="247"/>
      <c r="BF93" s="104"/>
      <c r="BG93" s="248"/>
      <c r="BH93" s="247"/>
      <c r="BI93" s="104"/>
      <c r="BJ93" s="248"/>
      <c r="BK93" s="247"/>
      <c r="BL93" s="104"/>
      <c r="BM93" s="248"/>
      <c r="BN93" s="247"/>
      <c r="BO93" s="104"/>
      <c r="BP93" s="248"/>
      <c r="BQ93" s="247"/>
      <c r="BR93" s="104"/>
      <c r="BS93" s="248"/>
      <c r="BT93" s="247"/>
      <c r="BU93" s="104"/>
      <c r="BV93" s="248"/>
      <c r="BW93" s="247"/>
      <c r="BX93" s="104"/>
      <c r="BY93" s="248"/>
    </row>
    <row r="94" spans="1:77" ht="15.75" hidden="1" thickBot="1">
      <c r="B94" s="249"/>
      <c r="C94" s="250"/>
      <c r="D94" s="251"/>
      <c r="E94" s="249"/>
      <c r="F94" s="250"/>
      <c r="G94" s="251"/>
      <c r="H94" s="249"/>
      <c r="I94" s="250"/>
      <c r="J94" s="251"/>
      <c r="K94" s="304"/>
      <c r="L94" s="250"/>
      <c r="M94" s="251"/>
      <c r="N94" s="249"/>
      <c r="O94" s="250"/>
      <c r="P94" s="251"/>
      <c r="Q94" s="249"/>
      <c r="R94" s="250"/>
      <c r="S94" s="251"/>
      <c r="T94" s="249"/>
      <c r="U94" s="250"/>
      <c r="V94" s="251"/>
      <c r="W94" s="249"/>
      <c r="X94" s="250"/>
      <c r="Y94" s="251"/>
      <c r="Z94" s="249"/>
      <c r="AA94" s="250"/>
      <c r="AB94" s="251"/>
      <c r="AC94" s="249"/>
      <c r="AD94" s="250"/>
      <c r="AE94" s="251"/>
      <c r="AF94" s="249"/>
      <c r="AG94" s="250"/>
      <c r="AH94" s="251"/>
      <c r="AI94" s="261"/>
      <c r="AJ94" s="250"/>
      <c r="AK94" s="261"/>
      <c r="AL94" s="249"/>
      <c r="AM94" s="250"/>
      <c r="AN94" s="251"/>
      <c r="AO94" s="303"/>
      <c r="AP94" s="249"/>
      <c r="AQ94" s="250"/>
      <c r="AR94" s="251"/>
      <c r="AS94" s="249"/>
      <c r="AT94" s="250"/>
      <c r="AU94" s="251"/>
      <c r="AV94" s="249"/>
      <c r="AW94" s="250"/>
      <c r="AX94" s="251"/>
      <c r="AY94" s="249"/>
      <c r="AZ94" s="250"/>
      <c r="BA94" s="251"/>
      <c r="BB94" s="249"/>
      <c r="BC94" s="250"/>
      <c r="BD94" s="251"/>
      <c r="BE94" s="249"/>
      <c r="BF94" s="250"/>
      <c r="BG94" s="251"/>
      <c r="BH94" s="249"/>
      <c r="BI94" s="250"/>
      <c r="BJ94" s="251"/>
      <c r="BK94" s="249"/>
      <c r="BL94" s="250"/>
      <c r="BM94" s="251"/>
      <c r="BN94" s="249"/>
      <c r="BO94" s="250"/>
      <c r="BP94" s="251"/>
      <c r="BQ94" s="249"/>
      <c r="BR94" s="250"/>
      <c r="BS94" s="251"/>
      <c r="BT94" s="249"/>
      <c r="BU94" s="250"/>
      <c r="BV94" s="251"/>
      <c r="BW94" s="249"/>
      <c r="BX94" s="250"/>
      <c r="BY94" s="251"/>
    </row>
    <row r="95" spans="1:77" s="110" customFormat="1" ht="15.75" thickBot="1">
      <c r="A95" s="252" t="s">
        <v>140</v>
      </c>
      <c r="B95" s="253">
        <v>80.633912000000905</v>
      </c>
      <c r="C95" s="254">
        <v>1</v>
      </c>
      <c r="D95" s="255">
        <v>104622.54459095669</v>
      </c>
      <c r="E95" s="253">
        <v>75.836678000000489</v>
      </c>
      <c r="F95" s="254">
        <v>1</v>
      </c>
      <c r="G95" s="255">
        <v>103133.32478009051</v>
      </c>
      <c r="H95" s="253">
        <v>55.942167000000218</v>
      </c>
      <c r="I95" s="254">
        <v>1</v>
      </c>
      <c r="J95" s="255">
        <v>105440.9702818511</v>
      </c>
      <c r="K95" s="253">
        <v>65.050048000000302</v>
      </c>
      <c r="L95" s="254">
        <v>1</v>
      </c>
      <c r="M95" s="255">
        <v>103108.60004747947</v>
      </c>
      <c r="N95" s="253">
        <v>35.948327999999854</v>
      </c>
      <c r="O95" s="254">
        <v>1</v>
      </c>
      <c r="P95" s="255">
        <v>102571.78003920484</v>
      </c>
      <c r="Q95" s="253">
        <f>SUM(Q76:Q81)</f>
        <v>45.094647999999971</v>
      </c>
      <c r="R95" s="254">
        <v>1</v>
      </c>
      <c r="S95" s="255">
        <v>107386.63441860408</v>
      </c>
      <c r="T95" s="253">
        <v>33.318466911999863</v>
      </c>
      <c r="U95" s="254">
        <v>1</v>
      </c>
      <c r="V95" s="255">
        <v>101316.52463037361</v>
      </c>
      <c r="W95" s="253">
        <v>29.626251999999855</v>
      </c>
      <c r="X95" s="254">
        <v>1</v>
      </c>
      <c r="Y95" s="255">
        <v>102109.22932802774</v>
      </c>
      <c r="Z95" s="253">
        <v>41.074464000000198</v>
      </c>
      <c r="AA95" s="254">
        <v>1</v>
      </c>
      <c r="AB95" s="255">
        <v>111823.17656050248</v>
      </c>
      <c r="AC95" s="253">
        <v>40.797254000000137</v>
      </c>
      <c r="AD95" s="254">
        <v>1</v>
      </c>
      <c r="AE95" s="255">
        <v>100462.53211061707</v>
      </c>
      <c r="AF95" s="253">
        <v>22.927463999999897</v>
      </c>
      <c r="AG95" s="254">
        <v>1</v>
      </c>
      <c r="AH95" s="255">
        <v>99892.298162588486</v>
      </c>
      <c r="AI95" s="253">
        <v>36.891291999999794</v>
      </c>
      <c r="AJ95" s="254">
        <v>1</v>
      </c>
      <c r="AK95" s="287">
        <v>108034.01680808717</v>
      </c>
      <c r="AL95" s="253">
        <v>563.14097391201153</v>
      </c>
      <c r="AM95" s="254">
        <v>1</v>
      </c>
      <c r="AN95" s="255">
        <v>104345.7460624261</v>
      </c>
      <c r="AP95" s="253">
        <f>SUM(AP76:AP81)</f>
        <v>44.674595999999973</v>
      </c>
      <c r="AQ95" s="254">
        <v>1</v>
      </c>
      <c r="AR95" s="255">
        <v>106637.904906853</v>
      </c>
      <c r="AS95" s="253">
        <f>SUM(AS76:AS81)</f>
        <v>48.108685999999999</v>
      </c>
      <c r="AT95" s="254">
        <v>1</v>
      </c>
      <c r="AU95" s="255">
        <v>110313.45690880019</v>
      </c>
      <c r="AV95" s="253">
        <f>SUM(AV76:AV81)</f>
        <v>43.061653999999983</v>
      </c>
      <c r="AW95" s="254">
        <v>1</v>
      </c>
      <c r="AX95" s="255">
        <v>108126.78096387236</v>
      </c>
      <c r="AY95" s="253">
        <f>SUM(AY76:AY81)</f>
        <v>28.904928000000009</v>
      </c>
      <c r="AZ95" s="254">
        <v>1</v>
      </c>
      <c r="BA95" s="255">
        <v>110109.36681800419</v>
      </c>
      <c r="BB95" s="253">
        <f>SUM(BB76:BB81)</f>
        <v>22.730563999999976</v>
      </c>
      <c r="BC95" s="254">
        <v>1</v>
      </c>
      <c r="BD95" s="255">
        <f>SUMPRODUCT(BB76:BB94,BD76:BD94)/BB95</f>
        <v>104504.75095998507</v>
      </c>
      <c r="BE95" s="253">
        <f>SUM(BE76:BE81)</f>
        <v>44.870303999999969</v>
      </c>
      <c r="BF95" s="254">
        <v>1</v>
      </c>
      <c r="BG95" s="255">
        <f>SUMPRODUCT(BE76:BE94,BG76:BG94)/BE95</f>
        <v>103078.82291147402</v>
      </c>
      <c r="BH95" s="253">
        <f>SUM(BH76:BH81)</f>
        <v>22.04648999999997</v>
      </c>
      <c r="BI95" s="254">
        <v>1</v>
      </c>
      <c r="BJ95" s="255">
        <f>SUMPRODUCT(BH76:BH94,BJ76:BJ94)/BH95</f>
        <v>101206.74765007959</v>
      </c>
      <c r="BK95" s="253">
        <f>SUM(BK76:BK81)</f>
        <v>13.571187999999989</v>
      </c>
      <c r="BL95" s="254">
        <v>1</v>
      </c>
      <c r="BM95" s="255">
        <f>SUMPRODUCT(BK76:BK94,BM76:BM94)/BK95</f>
        <v>102928.93739295352</v>
      </c>
      <c r="BN95" s="253">
        <f>SUM(BN76:BN81)</f>
        <v>22.290096000000002</v>
      </c>
      <c r="BO95" s="254">
        <v>1</v>
      </c>
      <c r="BP95" s="255">
        <f>SUMPRODUCT(BN76:BN94,BP76:BP94)/BN95</f>
        <v>107462.07553345662</v>
      </c>
      <c r="BQ95" s="253">
        <f>SUM(BQ76:BQ81)</f>
        <v>44.039013999999966</v>
      </c>
      <c r="BR95" s="254">
        <v>1</v>
      </c>
      <c r="BS95" s="255">
        <f>SUMPRODUCT(BQ76:BQ94,BS76:BS94)/BQ95</f>
        <v>98285.672335897543</v>
      </c>
      <c r="BT95" s="253">
        <f>SUM(BT76:BT81)</f>
        <v>28.664563999999974</v>
      </c>
      <c r="BU95" s="254">
        <v>1</v>
      </c>
      <c r="BV95" s="255">
        <f>SUMPRODUCT(BT76:BT94,BV76:BV94)/BT95</f>
        <v>100751.51151784501</v>
      </c>
      <c r="BW95" s="253">
        <f>SUM(BW76:BW81)</f>
        <v>23.274101000000005</v>
      </c>
      <c r="BX95" s="254">
        <v>1</v>
      </c>
      <c r="BY95" s="255">
        <f>SUMPRODUCT(BW76:BW94,BY76:BY94)/BW95</f>
        <v>105925.76443661557</v>
      </c>
    </row>
    <row r="96" spans="1:77">
      <c r="B96"/>
    </row>
    <row r="97" spans="2:77">
      <c r="B97"/>
      <c r="D97" s="303">
        <f>SUMPRODUCT(B76:B94,D76:D94)/B95</f>
        <v>104622.5445909566</v>
      </c>
      <c r="G97" s="303">
        <f>SUMPRODUCT(E76:E94,G76:G94)/E95</f>
        <v>103133.32478009061</v>
      </c>
      <c r="J97" s="303">
        <f t="shared" ref="J97" si="112">SUMPRODUCT(H76:H94,J76:J94)/H95</f>
        <v>105440.97028185136</v>
      </c>
      <c r="M97" s="303">
        <f t="shared" ref="M97" si="113">SUMPRODUCT(K76:K94,M76:M94)/K95</f>
        <v>103108.60004747943</v>
      </c>
      <c r="P97" s="303">
        <f t="shared" ref="P97" si="114">SUMPRODUCT(N76:N94,P76:P94)/N95</f>
        <v>102571.78003920453</v>
      </c>
      <c r="S97" s="303">
        <f t="shared" ref="S97" si="115">SUMPRODUCT(Q76:Q94,S76:S94)/Q95</f>
        <v>107386.63441860453</v>
      </c>
      <c r="V97" s="303">
        <f t="shared" ref="V97" si="116">SUMPRODUCT(T76:T94,V76:V94)/T95</f>
        <v>101316.52463037349</v>
      </c>
      <c r="Y97" s="303">
        <f t="shared" ref="Y97" si="117">SUMPRODUCT(W76:W94,Y76:Y94)/W95</f>
        <v>102109.22932802749</v>
      </c>
      <c r="AB97" s="303">
        <f t="shared" ref="AB97" si="118">SUMPRODUCT(Z76:Z94,AB76:AB94)/Z95</f>
        <v>111823.17656050199</v>
      </c>
      <c r="AE97" s="303">
        <f t="shared" ref="AE97" si="119">SUMPRODUCT(AC76:AC94,AE76:AE94)/AC95</f>
        <v>100462.53211061686</v>
      </c>
      <c r="AH97" s="303">
        <f t="shared" ref="AH97" si="120">SUMPRODUCT(AF76:AF94,AH76:AH94)/AF95</f>
        <v>99892.298162588384</v>
      </c>
      <c r="AK97" s="303">
        <f t="shared" ref="AK97" si="121">SUMPRODUCT(AI76:AI94,AK76:AK94)/AI95</f>
        <v>108034.01680808638</v>
      </c>
      <c r="AN97" s="303">
        <f t="shared" ref="AN97" si="122">SUMPRODUCT(AL76:AL94,AN76:AN94)/AL95</f>
        <v>104345.7460624261</v>
      </c>
      <c r="AR97" s="303">
        <f t="shared" ref="AR97" si="123">SUMPRODUCT(AP76:AP94,AR76:AR94)/AP95</f>
        <v>106637.90490685144</v>
      </c>
      <c r="AU97" s="303">
        <f t="shared" ref="AU97" si="124">SUMPRODUCT(AS76:AS94,AU76:AU94)/AS95</f>
        <v>110313.45690880029</v>
      </c>
      <c r="AX97" s="303">
        <f t="shared" ref="AX97" si="125">SUMPRODUCT(AV76:AV94,AX76:AX94)/AV95</f>
        <v>108126.7809638711</v>
      </c>
      <c r="BA97" s="303">
        <f t="shared" ref="BA97" si="126">SUMPRODUCT(AY76:AY94,BA76:BA94)/AY95</f>
        <v>110109.36681800419</v>
      </c>
      <c r="BD97" s="303">
        <f t="shared" ref="BD97" si="127">SUMPRODUCT(BB76:BB94,BD76:BD94)/BB95</f>
        <v>104504.75095998507</v>
      </c>
      <c r="BG97" s="303">
        <f t="shared" ref="BG97" si="128">SUMPRODUCT(BE76:BE94,BG76:BG94)/BE95</f>
        <v>103078.82291147402</v>
      </c>
      <c r="BJ97" s="303">
        <f t="shared" ref="BJ97" si="129">SUMPRODUCT(BH76:BH94,BJ76:BJ94)/BH95</f>
        <v>101206.74765007959</v>
      </c>
      <c r="BM97" s="303">
        <f t="shared" ref="BM97" si="130">SUMPRODUCT(BK76:BK94,BM76:BM94)/BK95</f>
        <v>102928.93739295352</v>
      </c>
      <c r="BP97" s="303">
        <f t="shared" ref="BP97" si="131">SUMPRODUCT(BN76:BN94,BP76:BP94)/BN95</f>
        <v>107462.07553345662</v>
      </c>
      <c r="BS97" s="303">
        <f t="shared" ref="BS97" si="132">SUMPRODUCT(BQ76:BQ94,BS76:BS94)/BQ95</f>
        <v>98285.672335897543</v>
      </c>
      <c r="BV97" s="303">
        <f t="shared" ref="BV97" si="133">SUMPRODUCT(BT76:BT94,BV76:BV94)/BT95</f>
        <v>100751.51151784501</v>
      </c>
      <c r="BY97" s="303">
        <f t="shared" ref="BY97" si="134">SUMPRODUCT(BW76:BW94,BY76:BY94)/BW95</f>
        <v>105925.76443661557</v>
      </c>
    </row>
    <row r="98" spans="2:77">
      <c r="B98"/>
    </row>
    <row r="99" spans="2:77">
      <c r="B99"/>
    </row>
    <row r="100" spans="2:77">
      <c r="B100"/>
    </row>
    <row r="101" spans="2:77">
      <c r="B101"/>
    </row>
    <row r="102" spans="2:77">
      <c r="B102"/>
    </row>
    <row r="103" spans="2:77">
      <c r="B103"/>
    </row>
    <row r="104" spans="2:77">
      <c r="B104"/>
    </row>
    <row r="105" spans="2:77">
      <c r="B105"/>
    </row>
    <row r="106" spans="2:77">
      <c r="B106"/>
    </row>
    <row r="107" spans="2:77">
      <c r="B107"/>
    </row>
    <row r="108" spans="2:77">
      <c r="B108"/>
    </row>
    <row r="109" spans="2:77">
      <c r="B109"/>
    </row>
    <row r="110" spans="2:77">
      <c r="B110"/>
    </row>
    <row r="111" spans="2:77">
      <c r="B111"/>
    </row>
    <row r="112" spans="2:77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</sheetData>
  <mergeCells count="74">
    <mergeCell ref="BQ34:BS34"/>
    <mergeCell ref="BQ74:BS74"/>
    <mergeCell ref="B4:D4"/>
    <mergeCell ref="E4:G4"/>
    <mergeCell ref="H4:J4"/>
    <mergeCell ref="K4:M4"/>
    <mergeCell ref="N4:P4"/>
    <mergeCell ref="BB4:BD4"/>
    <mergeCell ref="Q4:S4"/>
    <mergeCell ref="T4:V4"/>
    <mergeCell ref="W4:Y4"/>
    <mergeCell ref="Z4:AB4"/>
    <mergeCell ref="AC4:AE4"/>
    <mergeCell ref="AF4:AH4"/>
    <mergeCell ref="AI4:AK4"/>
    <mergeCell ref="AP4:AR4"/>
    <mergeCell ref="AS4:AU4"/>
    <mergeCell ref="AV4:AX4"/>
    <mergeCell ref="AY4:BA4"/>
    <mergeCell ref="AY34:BA34"/>
    <mergeCell ref="A32:D32"/>
    <mergeCell ref="B34:D34"/>
    <mergeCell ref="E34:G34"/>
    <mergeCell ref="H34:J34"/>
    <mergeCell ref="K34:M34"/>
    <mergeCell ref="A72:D72"/>
    <mergeCell ref="B74:D74"/>
    <mergeCell ref="E74:G74"/>
    <mergeCell ref="H74:J74"/>
    <mergeCell ref="K74:M74"/>
    <mergeCell ref="N74:P74"/>
    <mergeCell ref="AI34:AK34"/>
    <mergeCell ref="AP34:AR34"/>
    <mergeCell ref="AS34:AU34"/>
    <mergeCell ref="AV34:AX34"/>
    <mergeCell ref="N34:P34"/>
    <mergeCell ref="Q34:S34"/>
    <mergeCell ref="T34:V34"/>
    <mergeCell ref="W34:Y34"/>
    <mergeCell ref="Z34:AB34"/>
    <mergeCell ref="AC34:AE34"/>
    <mergeCell ref="AF34:AH34"/>
    <mergeCell ref="BE4:BG4"/>
    <mergeCell ref="BE34:BG34"/>
    <mergeCell ref="BE74:BG74"/>
    <mergeCell ref="BB74:BD74"/>
    <mergeCell ref="Q74:S74"/>
    <mergeCell ref="T74:V74"/>
    <mergeCell ref="W74:Y74"/>
    <mergeCell ref="Z74:AB74"/>
    <mergeCell ref="AC74:AE74"/>
    <mergeCell ref="AF74:AH74"/>
    <mergeCell ref="AI74:AK74"/>
    <mergeCell ref="AP74:AR74"/>
    <mergeCell ref="AS74:AU74"/>
    <mergeCell ref="AV74:AX74"/>
    <mergeCell ref="AY74:BA74"/>
    <mergeCell ref="BB34:BD34"/>
    <mergeCell ref="BW4:BY4"/>
    <mergeCell ref="BW34:BY34"/>
    <mergeCell ref="BW74:BY74"/>
    <mergeCell ref="BH4:BJ4"/>
    <mergeCell ref="BH34:BJ34"/>
    <mergeCell ref="BH74:BJ74"/>
    <mergeCell ref="BN4:BP4"/>
    <mergeCell ref="BN34:BP34"/>
    <mergeCell ref="BN74:BP74"/>
    <mergeCell ref="BK4:BM4"/>
    <mergeCell ref="BK34:BM34"/>
    <mergeCell ref="BK74:BM74"/>
    <mergeCell ref="BT4:BV4"/>
    <mergeCell ref="BT34:BV34"/>
    <mergeCell ref="BT74:BV74"/>
    <mergeCell ref="BQ4:BS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73"/>
  <sheetViews>
    <sheetView zoomScale="90" zoomScaleNormal="90" workbookViewId="0">
      <pane xSplit="1" ySplit="5" topLeftCell="DI6" activePane="bottomRight" state="frozen"/>
      <selection activeCell="BB29" sqref="BB29"/>
      <selection pane="topRight" activeCell="BB29" sqref="BB29"/>
      <selection pane="bottomLeft" activeCell="BB29" sqref="BB29"/>
      <selection pane="bottomRight" activeCell="DN10" sqref="DN10"/>
    </sheetView>
  </sheetViews>
  <sheetFormatPr defaultRowHeight="15"/>
  <cols>
    <col min="1" max="1" width="15.140625" customWidth="1"/>
    <col min="2" max="2" width="6.7109375" style="256" customWidth="1"/>
    <col min="3" max="3" width="9.28515625" customWidth="1"/>
    <col min="4" max="4" width="8.85546875" customWidth="1"/>
    <col min="5" max="5" width="7.85546875" customWidth="1"/>
    <col min="6" max="6" width="10.28515625" customWidth="1"/>
    <col min="7" max="7" width="6.7109375" style="256" customWidth="1"/>
    <col min="8" max="8" width="9.28515625" customWidth="1"/>
    <col min="9" max="9" width="9.140625" customWidth="1"/>
    <col min="10" max="10" width="7.85546875" customWidth="1"/>
    <col min="11" max="11" width="8.85546875" customWidth="1"/>
    <col min="12" max="12" width="6.7109375" style="256" customWidth="1"/>
    <col min="13" max="13" width="9.28515625" customWidth="1"/>
    <col min="14" max="14" width="8.85546875" customWidth="1"/>
    <col min="15" max="15" width="7.85546875" customWidth="1"/>
    <col min="16" max="16" width="8.85546875" customWidth="1"/>
    <col min="17" max="17" width="6.7109375" style="256" customWidth="1"/>
    <col min="18" max="18" width="9.28515625" customWidth="1"/>
    <col min="19" max="19" width="8.85546875" customWidth="1"/>
    <col min="20" max="20" width="7.85546875" customWidth="1"/>
    <col min="21" max="21" width="8.85546875" customWidth="1"/>
    <col min="22" max="22" width="6.7109375" style="256" customWidth="1"/>
    <col min="23" max="23" width="9.28515625" customWidth="1"/>
    <col min="24" max="24" width="8.85546875" customWidth="1"/>
    <col min="25" max="25" width="7.85546875" customWidth="1"/>
    <col min="26" max="26" width="8.85546875" customWidth="1"/>
    <col min="27" max="27" width="6.7109375" style="256" customWidth="1"/>
    <col min="28" max="28" width="9.28515625" customWidth="1"/>
    <col min="29" max="29" width="8.85546875" customWidth="1"/>
    <col min="30" max="30" width="7.85546875" customWidth="1"/>
    <col min="31" max="31" width="8.85546875" customWidth="1"/>
    <col min="32" max="32" width="6.7109375" customWidth="1"/>
    <col min="33" max="33" width="9.28515625" customWidth="1"/>
    <col min="34" max="34" width="8.85546875" customWidth="1"/>
    <col min="35" max="35" width="7.85546875" customWidth="1"/>
    <col min="36" max="36" width="8.42578125" customWidth="1"/>
    <col min="37" max="37" width="6.7109375" customWidth="1"/>
    <col min="38" max="38" width="9.28515625" customWidth="1"/>
    <col min="39" max="39" width="8.85546875" customWidth="1"/>
    <col min="40" max="40" width="7.85546875" customWidth="1"/>
    <col min="41" max="41" width="8.85546875" customWidth="1"/>
    <col min="42" max="42" width="6.7109375" customWidth="1"/>
    <col min="43" max="43" width="9.28515625" customWidth="1"/>
    <col min="44" max="44" width="8.85546875" customWidth="1"/>
    <col min="45" max="45" width="9.42578125" customWidth="1"/>
    <col min="46" max="46" width="8.85546875" customWidth="1"/>
    <col min="47" max="47" width="6.7109375" customWidth="1"/>
    <col min="48" max="48" width="9.28515625" customWidth="1"/>
    <col min="49" max="49" width="8.85546875" customWidth="1"/>
    <col min="50" max="50" width="7.85546875" customWidth="1"/>
    <col min="51" max="51" width="8.42578125" customWidth="1"/>
    <col min="52" max="52" width="6.7109375" customWidth="1"/>
    <col min="53" max="53" width="9.28515625" customWidth="1"/>
    <col min="54" max="54" width="8.85546875" customWidth="1"/>
    <col min="55" max="55" width="7.85546875" customWidth="1"/>
    <col min="56" max="56" width="8.85546875" customWidth="1"/>
    <col min="57" max="57" width="6.7109375" customWidth="1"/>
    <col min="58" max="58" width="9.28515625" customWidth="1"/>
    <col min="59" max="59" width="8.85546875" customWidth="1"/>
    <col min="60" max="60" width="7.85546875" customWidth="1"/>
    <col min="61" max="61" width="8.85546875" customWidth="1"/>
    <col min="62" max="62" width="3.140625" customWidth="1"/>
    <col min="63" max="63" width="8" style="256" customWidth="1"/>
    <col min="64" max="64" width="9.28515625" customWidth="1"/>
    <col min="65" max="65" width="8.85546875" customWidth="1"/>
    <col min="66" max="66" width="7.85546875" customWidth="1"/>
    <col min="67" max="67" width="8.85546875" customWidth="1"/>
    <col min="68" max="68" width="6.7109375" customWidth="1"/>
    <col min="69" max="69" width="9.28515625" customWidth="1"/>
    <col min="70" max="70" width="8.85546875" customWidth="1"/>
    <col min="71" max="71" width="7.85546875" customWidth="1"/>
    <col min="72" max="72" width="9.42578125" customWidth="1"/>
    <col min="73" max="74" width="9.140625" customWidth="1"/>
    <col min="75" max="75" width="10.5703125" customWidth="1"/>
    <col min="76" max="79" width="9.140625" customWidth="1"/>
    <col min="80" max="80" width="10.5703125" customWidth="1"/>
    <col min="81" max="84" width="9.140625" customWidth="1"/>
    <col min="85" max="85" width="10.5703125" customWidth="1"/>
    <col min="86" max="89" width="9.140625" customWidth="1"/>
    <col min="90" max="90" width="10.5703125" customWidth="1"/>
    <col min="91" max="91" width="9.140625" customWidth="1"/>
    <col min="92" max="92" width="12.42578125" customWidth="1"/>
    <col min="93" max="93" width="5.42578125" customWidth="1"/>
    <col min="94" max="94" width="9.28515625" customWidth="1"/>
    <col min="95" max="95" width="9.7109375" customWidth="1"/>
    <col min="96" max="96" width="8.7109375" customWidth="1"/>
    <col min="97" max="97" width="9.7109375" customWidth="1"/>
    <col min="98" max="98" width="7" bestFit="1" customWidth="1"/>
    <col min="99" max="99" width="9.28515625" bestFit="1" customWidth="1"/>
    <col min="100" max="100" width="9.7109375" bestFit="1" customWidth="1"/>
    <col min="101" max="101" width="8.140625" bestFit="1" customWidth="1"/>
    <col min="102" max="102" width="9.7109375" bestFit="1" customWidth="1"/>
    <col min="103" max="103" width="7" bestFit="1" customWidth="1"/>
    <col min="104" max="104" width="9.28515625" bestFit="1" customWidth="1"/>
    <col min="105" max="105" width="9.7109375" bestFit="1" customWidth="1"/>
    <col min="106" max="106" width="8.140625" bestFit="1" customWidth="1"/>
    <col min="107" max="107" width="9.7109375" bestFit="1" customWidth="1"/>
    <col min="108" max="108" width="7" bestFit="1" customWidth="1"/>
    <col min="109" max="109" width="9.28515625" bestFit="1" customWidth="1"/>
    <col min="110" max="110" width="9.7109375" bestFit="1" customWidth="1"/>
    <col min="111" max="111" width="8.140625" bestFit="1" customWidth="1"/>
    <col min="112" max="112" width="9.7109375" bestFit="1" customWidth="1"/>
    <col min="113" max="113" width="7" bestFit="1" customWidth="1"/>
    <col min="114" max="114" width="9.28515625" bestFit="1" customWidth="1"/>
    <col min="115" max="115" width="9.7109375" bestFit="1" customWidth="1"/>
    <col min="116" max="116" width="8.140625" bestFit="1" customWidth="1"/>
    <col min="117" max="117" width="9.7109375" bestFit="1" customWidth="1"/>
    <col min="120" max="120" width="11.85546875" bestFit="1" customWidth="1"/>
    <col min="121" max="122" width="11.85546875" customWidth="1"/>
  </cols>
  <sheetData>
    <row r="1" spans="1:122">
      <c r="B1"/>
      <c r="G1"/>
      <c r="L1"/>
      <c r="Q1"/>
      <c r="V1"/>
      <c r="AA1"/>
      <c r="BK1"/>
    </row>
    <row r="2" spans="1:122">
      <c r="A2" s="428" t="s">
        <v>149</v>
      </c>
      <c r="B2" s="428"/>
      <c r="C2" s="428"/>
      <c r="D2" s="428"/>
      <c r="E2" s="340"/>
      <c r="F2" s="340"/>
      <c r="G2"/>
      <c r="L2"/>
      <c r="Q2"/>
      <c r="T2" s="340"/>
      <c r="U2" s="340"/>
      <c r="V2"/>
      <c r="Y2" s="340"/>
      <c r="Z2" s="340"/>
      <c r="AA2"/>
      <c r="AD2" s="340"/>
      <c r="AE2" s="340"/>
    </row>
    <row r="3" spans="1:122" ht="15.75" thickBot="1">
      <c r="A3" s="110" t="s">
        <v>277</v>
      </c>
      <c r="B3"/>
      <c r="G3"/>
      <c r="L3"/>
      <c r="Q3"/>
      <c r="V3"/>
      <c r="AA3"/>
      <c r="BK3" s="110" t="s">
        <v>169</v>
      </c>
    </row>
    <row r="4" spans="1:122" s="110" customFormat="1" ht="15.75" thickBot="1">
      <c r="A4" s="129" t="s">
        <v>142</v>
      </c>
      <c r="B4" s="422" t="s">
        <v>80</v>
      </c>
      <c r="C4" s="423"/>
      <c r="D4" s="423"/>
      <c r="E4" s="423"/>
      <c r="F4" s="424"/>
      <c r="G4" s="422" t="s">
        <v>81</v>
      </c>
      <c r="H4" s="423"/>
      <c r="I4" s="423"/>
      <c r="J4" s="423"/>
      <c r="K4" s="424"/>
      <c r="L4" s="422" t="s">
        <v>82</v>
      </c>
      <c r="M4" s="423"/>
      <c r="N4" s="423"/>
      <c r="O4" s="423"/>
      <c r="P4" s="424"/>
      <c r="Q4" s="422" t="s">
        <v>83</v>
      </c>
      <c r="R4" s="423"/>
      <c r="S4" s="423"/>
      <c r="T4" s="423"/>
      <c r="U4" s="424"/>
      <c r="V4" s="422" t="s">
        <v>119</v>
      </c>
      <c r="W4" s="423"/>
      <c r="X4" s="423"/>
      <c r="Y4" s="423"/>
      <c r="Z4" s="424"/>
      <c r="AA4" s="422" t="s">
        <v>143</v>
      </c>
      <c r="AB4" s="423"/>
      <c r="AC4" s="423"/>
      <c r="AD4" s="423"/>
      <c r="AE4" s="424"/>
      <c r="AF4" s="422" t="s">
        <v>146</v>
      </c>
      <c r="AG4" s="423"/>
      <c r="AH4" s="423"/>
      <c r="AI4" s="423"/>
      <c r="AJ4" s="424"/>
      <c r="AK4" s="422" t="s">
        <v>156</v>
      </c>
      <c r="AL4" s="423"/>
      <c r="AM4" s="423"/>
      <c r="AN4" s="423"/>
      <c r="AO4" s="424"/>
      <c r="AP4" s="422" t="s">
        <v>157</v>
      </c>
      <c r="AQ4" s="423"/>
      <c r="AR4" s="423"/>
      <c r="AS4" s="423"/>
      <c r="AT4" s="424"/>
      <c r="AU4" s="422" t="s">
        <v>158</v>
      </c>
      <c r="AV4" s="423"/>
      <c r="AW4" s="423"/>
      <c r="AX4" s="423"/>
      <c r="AY4" s="424"/>
      <c r="AZ4" s="422" t="s">
        <v>160</v>
      </c>
      <c r="BA4" s="423"/>
      <c r="BB4" s="423"/>
      <c r="BC4" s="423"/>
      <c r="BD4" s="424"/>
      <c r="BE4" s="422" t="s">
        <v>161</v>
      </c>
      <c r="BF4" s="423"/>
      <c r="BG4" s="423"/>
      <c r="BH4" s="423"/>
      <c r="BI4" s="424"/>
      <c r="BK4" s="422" t="s">
        <v>80</v>
      </c>
      <c r="BL4" s="423"/>
      <c r="BM4" s="423"/>
      <c r="BN4" s="423"/>
      <c r="BO4" s="424"/>
      <c r="BP4" s="422" t="s">
        <v>172</v>
      </c>
      <c r="BQ4" s="423"/>
      <c r="BR4" s="423"/>
      <c r="BS4" s="423"/>
      <c r="BT4" s="424"/>
      <c r="BU4" s="422" t="s">
        <v>204</v>
      </c>
      <c r="BV4" s="423"/>
      <c r="BW4" s="423"/>
      <c r="BX4" s="423"/>
      <c r="BY4" s="424"/>
      <c r="BZ4" s="422" t="s">
        <v>209</v>
      </c>
      <c r="CA4" s="423"/>
      <c r="CB4" s="423"/>
      <c r="CC4" s="423"/>
      <c r="CD4" s="424"/>
      <c r="CE4" s="422" t="s">
        <v>217</v>
      </c>
      <c r="CF4" s="423"/>
      <c r="CG4" s="423"/>
      <c r="CH4" s="423"/>
      <c r="CI4" s="424"/>
      <c r="CJ4" s="422" t="s">
        <v>236</v>
      </c>
      <c r="CK4" s="423"/>
      <c r="CL4" s="423"/>
      <c r="CM4" s="423"/>
      <c r="CN4" s="424"/>
      <c r="CO4" s="422" t="s">
        <v>146</v>
      </c>
      <c r="CP4" s="423"/>
      <c r="CQ4" s="423"/>
      <c r="CR4" s="423"/>
      <c r="CS4" s="424"/>
      <c r="CT4" s="422" t="s">
        <v>156</v>
      </c>
      <c r="CU4" s="423"/>
      <c r="CV4" s="423"/>
      <c r="CW4" s="423"/>
      <c r="CX4" s="424"/>
      <c r="CY4" s="422" t="s">
        <v>157</v>
      </c>
      <c r="CZ4" s="423"/>
      <c r="DA4" s="423"/>
      <c r="DB4" s="423"/>
      <c r="DC4" s="424"/>
      <c r="DD4" s="427" t="s">
        <v>261</v>
      </c>
      <c r="DE4" s="423"/>
      <c r="DF4" s="423"/>
      <c r="DG4" s="423"/>
      <c r="DH4" s="424"/>
      <c r="DI4" s="427" t="s">
        <v>267</v>
      </c>
      <c r="DJ4" s="423"/>
      <c r="DK4" s="423"/>
      <c r="DL4" s="423"/>
      <c r="DM4" s="424"/>
      <c r="DN4" s="427" t="s">
        <v>276</v>
      </c>
      <c r="DO4" s="423"/>
      <c r="DP4" s="423"/>
      <c r="DQ4" s="423"/>
      <c r="DR4" s="424"/>
    </row>
    <row r="5" spans="1:122" s="110" customFormat="1">
      <c r="A5" s="307" t="s">
        <v>144</v>
      </c>
      <c r="B5" s="308" t="s">
        <v>122</v>
      </c>
      <c r="C5" s="309" t="s">
        <v>123</v>
      </c>
      <c r="D5" s="309" t="s">
        <v>108</v>
      </c>
      <c r="E5" s="309" t="s">
        <v>150</v>
      </c>
      <c r="F5" s="310" t="s">
        <v>218</v>
      </c>
      <c r="G5" s="308" t="s">
        <v>122</v>
      </c>
      <c r="H5" s="309" t="s">
        <v>123</v>
      </c>
      <c r="I5" s="309" t="s">
        <v>108</v>
      </c>
      <c r="J5" s="309" t="s">
        <v>150</v>
      </c>
      <c r="K5" s="310" t="s">
        <v>218</v>
      </c>
      <c r="L5" s="308" t="s">
        <v>122</v>
      </c>
      <c r="M5" s="309" t="s">
        <v>123</v>
      </c>
      <c r="N5" s="309" t="s">
        <v>108</v>
      </c>
      <c r="O5" s="309" t="s">
        <v>150</v>
      </c>
      <c r="P5" s="310" t="s">
        <v>218</v>
      </c>
      <c r="Q5" s="308" t="s">
        <v>122</v>
      </c>
      <c r="R5" s="309" t="s">
        <v>123</v>
      </c>
      <c r="S5" s="309" t="s">
        <v>108</v>
      </c>
      <c r="T5" s="309" t="s">
        <v>150</v>
      </c>
      <c r="U5" s="310" t="s">
        <v>218</v>
      </c>
      <c r="V5" s="308" t="s">
        <v>122</v>
      </c>
      <c r="W5" s="309" t="s">
        <v>123</v>
      </c>
      <c r="X5" s="309" t="s">
        <v>108</v>
      </c>
      <c r="Y5" s="309" t="s">
        <v>150</v>
      </c>
      <c r="Z5" s="310" t="s">
        <v>218</v>
      </c>
      <c r="AA5" s="308" t="s">
        <v>122</v>
      </c>
      <c r="AB5" s="309" t="s">
        <v>123</v>
      </c>
      <c r="AC5" s="309" t="s">
        <v>108</v>
      </c>
      <c r="AD5" s="309" t="s">
        <v>150</v>
      </c>
      <c r="AE5" s="310" t="s">
        <v>218</v>
      </c>
      <c r="AF5" s="308" t="s">
        <v>122</v>
      </c>
      <c r="AG5" s="309" t="s">
        <v>123</v>
      </c>
      <c r="AH5" s="309" t="s">
        <v>108</v>
      </c>
      <c r="AI5" s="309" t="s">
        <v>150</v>
      </c>
      <c r="AJ5" s="310" t="s">
        <v>218</v>
      </c>
      <c r="AK5" s="308" t="s">
        <v>122</v>
      </c>
      <c r="AL5" s="309" t="s">
        <v>123</v>
      </c>
      <c r="AM5" s="309" t="s">
        <v>108</v>
      </c>
      <c r="AN5" s="309" t="s">
        <v>150</v>
      </c>
      <c r="AO5" s="310" t="s">
        <v>218</v>
      </c>
      <c r="AP5" s="308" t="s">
        <v>122</v>
      </c>
      <c r="AQ5" s="309" t="s">
        <v>123</v>
      </c>
      <c r="AR5" s="309" t="s">
        <v>108</v>
      </c>
      <c r="AS5" s="309" t="s">
        <v>150</v>
      </c>
      <c r="AT5" s="310" t="s">
        <v>218</v>
      </c>
      <c r="AU5" s="308" t="s">
        <v>122</v>
      </c>
      <c r="AV5" s="309" t="s">
        <v>123</v>
      </c>
      <c r="AW5" s="309" t="s">
        <v>108</v>
      </c>
      <c r="AX5" s="309" t="s">
        <v>150</v>
      </c>
      <c r="AY5" s="310" t="s">
        <v>218</v>
      </c>
      <c r="AZ5" s="308" t="s">
        <v>122</v>
      </c>
      <c r="BA5" s="309" t="s">
        <v>123</v>
      </c>
      <c r="BB5" s="309" t="s">
        <v>108</v>
      </c>
      <c r="BC5" s="309" t="s">
        <v>150</v>
      </c>
      <c r="BD5" s="310" t="s">
        <v>218</v>
      </c>
      <c r="BE5" s="308" t="s">
        <v>122</v>
      </c>
      <c r="BF5" s="309" t="s">
        <v>123</v>
      </c>
      <c r="BG5" s="309" t="s">
        <v>108</v>
      </c>
      <c r="BH5" s="309" t="s">
        <v>150</v>
      </c>
      <c r="BI5" s="310" t="s">
        <v>218</v>
      </c>
      <c r="BK5" s="308" t="s">
        <v>122</v>
      </c>
      <c r="BL5" s="309" t="s">
        <v>123</v>
      </c>
      <c r="BM5" s="309" t="s">
        <v>108</v>
      </c>
      <c r="BN5" s="309" t="s">
        <v>150</v>
      </c>
      <c r="BO5" s="310" t="s">
        <v>218</v>
      </c>
      <c r="BP5" s="308" t="s">
        <v>122</v>
      </c>
      <c r="BQ5" s="309" t="s">
        <v>123</v>
      </c>
      <c r="BR5" s="309" t="s">
        <v>108</v>
      </c>
      <c r="BS5" s="309" t="s">
        <v>150</v>
      </c>
      <c r="BT5" s="310" t="s">
        <v>218</v>
      </c>
      <c r="BU5" s="308" t="s">
        <v>122</v>
      </c>
      <c r="BV5" s="309" t="s">
        <v>123</v>
      </c>
      <c r="BW5" s="309" t="s">
        <v>108</v>
      </c>
      <c r="BX5" s="309" t="s">
        <v>150</v>
      </c>
      <c r="BY5" s="310" t="s">
        <v>218</v>
      </c>
      <c r="BZ5" s="308" t="s">
        <v>122</v>
      </c>
      <c r="CA5" s="309" t="s">
        <v>123</v>
      </c>
      <c r="CB5" s="309" t="s">
        <v>108</v>
      </c>
      <c r="CC5" s="309" t="s">
        <v>150</v>
      </c>
      <c r="CD5" s="310" t="s">
        <v>218</v>
      </c>
      <c r="CE5" s="308" t="s">
        <v>122</v>
      </c>
      <c r="CF5" s="309" t="s">
        <v>123</v>
      </c>
      <c r="CG5" s="309" t="s">
        <v>108</v>
      </c>
      <c r="CH5" s="309" t="s">
        <v>150</v>
      </c>
      <c r="CI5" s="310" t="s">
        <v>218</v>
      </c>
      <c r="CJ5" s="308" t="s">
        <v>122</v>
      </c>
      <c r="CK5" s="309" t="s">
        <v>123</v>
      </c>
      <c r="CL5" s="309" t="s">
        <v>108</v>
      </c>
      <c r="CM5" s="309" t="s">
        <v>150</v>
      </c>
      <c r="CN5" s="310" t="s">
        <v>218</v>
      </c>
      <c r="CO5" s="308" t="s">
        <v>122</v>
      </c>
      <c r="CP5" s="309" t="s">
        <v>123</v>
      </c>
      <c r="CQ5" s="309" t="s">
        <v>108</v>
      </c>
      <c r="CR5" s="309" t="s">
        <v>150</v>
      </c>
      <c r="CS5" s="310" t="s">
        <v>218</v>
      </c>
      <c r="CT5" s="308" t="s">
        <v>122</v>
      </c>
      <c r="CU5" s="309" t="s">
        <v>123</v>
      </c>
      <c r="CV5" s="309" t="s">
        <v>108</v>
      </c>
      <c r="CW5" s="309" t="s">
        <v>150</v>
      </c>
      <c r="CX5" s="310" t="s">
        <v>218</v>
      </c>
      <c r="CY5" s="308" t="s">
        <v>122</v>
      </c>
      <c r="CZ5" s="309" t="s">
        <v>123</v>
      </c>
      <c r="DA5" s="309" t="s">
        <v>108</v>
      </c>
      <c r="DB5" s="309" t="s">
        <v>150</v>
      </c>
      <c r="DC5" s="310" t="s">
        <v>218</v>
      </c>
      <c r="DD5" s="308" t="s">
        <v>122</v>
      </c>
      <c r="DE5" s="309" t="s">
        <v>123</v>
      </c>
      <c r="DF5" s="309" t="s">
        <v>108</v>
      </c>
      <c r="DG5" s="309" t="s">
        <v>150</v>
      </c>
      <c r="DH5" s="310" t="s">
        <v>218</v>
      </c>
      <c r="DI5" s="308" t="s">
        <v>122</v>
      </c>
      <c r="DJ5" s="309" t="s">
        <v>123</v>
      </c>
      <c r="DK5" s="309" t="s">
        <v>108</v>
      </c>
      <c r="DL5" s="309" t="s">
        <v>150</v>
      </c>
      <c r="DM5" s="310" t="s">
        <v>218</v>
      </c>
      <c r="DN5" s="308" t="s">
        <v>122</v>
      </c>
      <c r="DO5" s="309" t="s">
        <v>123</v>
      </c>
      <c r="DP5" s="309" t="s">
        <v>108</v>
      </c>
      <c r="DQ5" s="309" t="s">
        <v>150</v>
      </c>
      <c r="DR5" s="310" t="s">
        <v>218</v>
      </c>
    </row>
    <row r="6" spans="1:122">
      <c r="A6" s="103" t="s">
        <v>124</v>
      </c>
      <c r="B6" s="249">
        <v>266.08453999999813</v>
      </c>
      <c r="C6" s="250">
        <f>B6/B$27</f>
        <v>0.21277924690530217</v>
      </c>
      <c r="D6" s="261">
        <v>112041.64156160172</v>
      </c>
      <c r="E6" s="261">
        <v>11106.348110259316</v>
      </c>
      <c r="F6" s="251">
        <f>D6-E6</f>
        <v>100935.2934513424</v>
      </c>
      <c r="G6" s="249">
        <v>305.97104000000525</v>
      </c>
      <c r="H6" s="250">
        <f>G6/G$27</f>
        <v>0.22640257112946877</v>
      </c>
      <c r="I6" s="261">
        <v>111034.07307780607</v>
      </c>
      <c r="J6" s="261">
        <v>16878.071264423506</v>
      </c>
      <c r="K6" s="251">
        <f>I6-J6</f>
        <v>94156.001813382565</v>
      </c>
      <c r="L6" s="249">
        <v>255.10561999999979</v>
      </c>
      <c r="M6" s="250">
        <f>L6/L$27</f>
        <v>0.1704478430373485</v>
      </c>
      <c r="N6" s="261">
        <v>108651.14043378641</v>
      </c>
      <c r="O6" s="261">
        <v>13945.942262264913</v>
      </c>
      <c r="P6" s="251">
        <f>N6-O6</f>
        <v>94705.198171521493</v>
      </c>
      <c r="Q6" s="249">
        <v>159.87161359999752</v>
      </c>
      <c r="R6" s="250">
        <f>Q6/Q$27</f>
        <v>0.11312505794460621</v>
      </c>
      <c r="S6" s="261">
        <v>104083.69006807121</v>
      </c>
      <c r="T6" s="261">
        <v>10950.151169106784</v>
      </c>
      <c r="U6" s="251">
        <f>S6-T6</f>
        <v>93133.538898964427</v>
      </c>
      <c r="V6" s="249">
        <v>146.30965999999847</v>
      </c>
      <c r="W6" s="250">
        <f>V6/V$27</f>
        <v>9.990804307414633E-2</v>
      </c>
      <c r="X6" s="261">
        <v>107680.39165386015</v>
      </c>
      <c r="Y6" s="261">
        <v>23406.523013886217</v>
      </c>
      <c r="Z6" s="251">
        <f>X6-Y6</f>
        <v>84273.868639973924</v>
      </c>
      <c r="AA6" s="249">
        <v>85.278679999999412</v>
      </c>
      <c r="AB6" s="250">
        <f>AA6/AA$27</f>
        <v>5.883079270204606E-2</v>
      </c>
      <c r="AC6" s="261">
        <v>109552.18946682701</v>
      </c>
      <c r="AD6" s="261">
        <v>28673.702983140327</v>
      </c>
      <c r="AE6" s="251">
        <f>AC6-AD6</f>
        <v>80878.486483686691</v>
      </c>
      <c r="AF6" s="249">
        <v>28.43758000000005</v>
      </c>
      <c r="AG6" s="250">
        <f>AF6/AF$27</f>
        <v>1.9038051137812276E-2</v>
      </c>
      <c r="AH6" s="261">
        <v>102314.29362402372</v>
      </c>
      <c r="AI6" s="261">
        <v>17374.470574143787</v>
      </c>
      <c r="AJ6" s="251">
        <f>AH6-AI6</f>
        <v>84939.823049879924</v>
      </c>
      <c r="AK6" s="249">
        <v>7.4662399999999947</v>
      </c>
      <c r="AL6" s="250">
        <f>AK6/AK$27</f>
        <v>5.6577744381192665E-3</v>
      </c>
      <c r="AM6" s="261">
        <v>102837.05276085819</v>
      </c>
      <c r="AN6" s="261">
        <v>5220.7539208449371</v>
      </c>
      <c r="AO6" s="251">
        <f>AM6-AN6</f>
        <v>97616.29884001326</v>
      </c>
      <c r="AP6" s="249">
        <v>8.3354799999999969</v>
      </c>
      <c r="AQ6" s="250">
        <f>AP6/AP$27</f>
        <v>7.3646810452315603E-3</v>
      </c>
      <c r="AR6" s="261">
        <v>96505.576163580394</v>
      </c>
      <c r="AS6" s="261">
        <v>3246.0446189061709</v>
      </c>
      <c r="AT6" s="251">
        <f>AR6-AS6</f>
        <v>93259.531544674217</v>
      </c>
      <c r="AU6" s="249">
        <v>9.1001200000000004</v>
      </c>
      <c r="AV6" s="250">
        <f>AU6/AU$27</f>
        <v>6.8174776981425982E-3</v>
      </c>
      <c r="AW6" s="261">
        <v>103114.42266695386</v>
      </c>
      <c r="AX6" s="261">
        <v>7612.8611490837493</v>
      </c>
      <c r="AY6" s="251">
        <f>AW6-AX6</f>
        <v>95501.561517870112</v>
      </c>
      <c r="AZ6" s="249">
        <v>25.144039999999997</v>
      </c>
      <c r="BA6" s="250">
        <f>AZ6/AZ$27</f>
        <v>1.7783270773495605E-2</v>
      </c>
      <c r="BB6" s="261">
        <v>102941.47957130217</v>
      </c>
      <c r="BC6" s="261">
        <v>24210.105058693851</v>
      </c>
      <c r="BD6" s="251">
        <f>BB6-BC6</f>
        <v>78731.374512608323</v>
      </c>
      <c r="BE6" s="249">
        <v>2.0458363200000003</v>
      </c>
      <c r="BF6" s="250">
        <f>BE6/BE$27</f>
        <v>1.282120918835822E-3</v>
      </c>
      <c r="BG6" s="261">
        <v>107127.33362755046</v>
      </c>
      <c r="BH6" s="261">
        <v>9711.8180011585628</v>
      </c>
      <c r="BI6" s="251">
        <f>BG6-BH6</f>
        <v>97415.515626391891</v>
      </c>
      <c r="BJ6" s="94"/>
      <c r="BK6" s="249">
        <v>2.5201400000000009</v>
      </c>
      <c r="BL6" s="250">
        <f>BK6/BK$27</f>
        <v>1.273864047384701E-3</v>
      </c>
      <c r="BM6" s="261">
        <v>101465.17653781139</v>
      </c>
      <c r="BN6" s="261">
        <v>420.98851651098727</v>
      </c>
      <c r="BO6" s="251">
        <f>BM6-BN6</f>
        <v>101044.1880213004</v>
      </c>
      <c r="BP6" s="249">
        <v>15.200040000000003</v>
      </c>
      <c r="BQ6" s="250">
        <f>BP6/BP$27</f>
        <v>7.3972860001403039E-3</v>
      </c>
      <c r="BR6" s="261">
        <v>103007.83616358899</v>
      </c>
      <c r="BS6" s="261">
        <v>29091.609627343074</v>
      </c>
      <c r="BT6" s="251">
        <f>BR6-BS6</f>
        <v>73916.226536245915</v>
      </c>
      <c r="BU6" s="249">
        <v>12.623920000000007</v>
      </c>
      <c r="BV6" s="250">
        <f>BU6/BU$27</f>
        <v>5.974535733155594E-3</v>
      </c>
      <c r="BW6" s="261">
        <v>101547.60644870998</v>
      </c>
      <c r="BX6" s="261">
        <v>28221.503304837144</v>
      </c>
      <c r="BY6" s="251">
        <f>BW6-BX6</f>
        <v>73326.103143872839</v>
      </c>
      <c r="BZ6" s="249">
        <f>'NR '!AY6</f>
        <v>3.4301399999999997</v>
      </c>
      <c r="CA6" s="250">
        <f>BZ6/BZ$27</f>
        <v>2.2446522878980112E-3</v>
      </c>
      <c r="CB6" s="261">
        <f>'NR '!BA6</f>
        <v>101306.08663203251</v>
      </c>
      <c r="CC6" s="261">
        <v>28865.177514620398</v>
      </c>
      <c r="CD6" s="251">
        <f>CB6-CC6</f>
        <v>72440.909117412113</v>
      </c>
      <c r="CE6" s="249">
        <f>'NR '!BB6</f>
        <v>74.832579999999624</v>
      </c>
      <c r="CF6" s="250">
        <f>CE6/CE$27</f>
        <v>4.37933914313509E-2</v>
      </c>
      <c r="CG6" s="261">
        <f>'NR '!BD6</f>
        <v>100316.83619621296</v>
      </c>
      <c r="CH6" s="261">
        <v>13264.673354840968</v>
      </c>
      <c r="CI6" s="251">
        <f>CG6-CH6</f>
        <v>87052.162841371988</v>
      </c>
      <c r="CJ6" s="249">
        <f>'NR '!BE6</f>
        <v>156.84639263999867</v>
      </c>
      <c r="CK6" s="250">
        <f t="shared" ref="CK6:CK14" si="0">CJ6/CJ$27</f>
        <v>0.10011179418271379</v>
      </c>
      <c r="CL6" s="261">
        <f>'NR '!BG6</f>
        <v>100086.0885339646</v>
      </c>
      <c r="CM6" s="261">
        <v>13990.459347296433</v>
      </c>
      <c r="CN6" s="251">
        <f>CL6-CM6</f>
        <v>86095.629186668171</v>
      </c>
      <c r="CO6" s="249">
        <f>'NR '!BH6</f>
        <v>117.7597799999981</v>
      </c>
      <c r="CP6" s="250">
        <f t="shared" ref="CP6:CP14" si="1">CO6/CO$27</f>
        <v>0.11887987386066383</v>
      </c>
      <c r="CQ6" s="261">
        <f>'NR '!BJ6</f>
        <v>100088.69989397119</v>
      </c>
      <c r="CR6" s="261">
        <v>3966.9876251467808</v>
      </c>
      <c r="CS6" s="251">
        <f>CQ6-CR6</f>
        <v>96121.712268824413</v>
      </c>
      <c r="CT6" s="249">
        <v>126.79001727999868</v>
      </c>
      <c r="CU6" s="250">
        <f t="shared" ref="CU6:CU14" si="2">CT6/CT$27</f>
        <v>0.11610353015707484</v>
      </c>
      <c r="CV6" s="261">
        <v>102649.99784058734</v>
      </c>
      <c r="CW6" s="261">
        <v>4835.3450307219919</v>
      </c>
      <c r="CX6" s="251">
        <f>CV6-CW6</f>
        <v>97814.652809865351</v>
      </c>
      <c r="CY6" s="249">
        <v>138.58375999999899</v>
      </c>
      <c r="CZ6" s="250">
        <f t="shared" ref="CZ6:CZ14" si="3">CY6/CY$27</f>
        <v>0.10011111143337575</v>
      </c>
      <c r="DA6" s="261">
        <v>106544.59570154539</v>
      </c>
      <c r="DB6" s="261">
        <v>6296.7450154332837</v>
      </c>
      <c r="DC6" s="251">
        <f>DA6-DB6</f>
        <v>100247.8506861121</v>
      </c>
      <c r="DD6" s="249">
        <f>'NR '!BQ6</f>
        <v>141.2431636799993</v>
      </c>
      <c r="DE6" s="250">
        <f t="shared" ref="DE6:DE14" si="4">DD6/DD$27</f>
        <v>0.11427013513959547</v>
      </c>
      <c r="DF6" s="261">
        <f>'NR '!BS6</f>
        <v>112012.79097545674</v>
      </c>
      <c r="DG6" s="261">
        <v>11876.518383576349</v>
      </c>
      <c r="DH6" s="251">
        <f>DF6-DG6</f>
        <v>100136.27259188039</v>
      </c>
      <c r="DI6" s="373">
        <f>'NR '!BT6</f>
        <v>157.81945999999863</v>
      </c>
      <c r="DJ6" s="250">
        <f t="shared" ref="DJ6:DJ14" si="5">DI6/DI$27</f>
        <v>0.11461702808090063</v>
      </c>
      <c r="DK6" s="261">
        <f>'NR '!BV6</f>
        <v>114415.4998375994</v>
      </c>
      <c r="DL6" s="261">
        <v>13424.636100009555</v>
      </c>
      <c r="DM6" s="251">
        <f>DK6-DL6</f>
        <v>100990.86373758985</v>
      </c>
      <c r="DN6" s="249">
        <v>140.81451999999854</v>
      </c>
      <c r="DO6" s="250">
        <f t="shared" ref="DO6:DO18" si="6">DN6/DN$27</f>
        <v>9.6190197638491251E-2</v>
      </c>
      <c r="DP6" s="261">
        <v>114801.5411336854</v>
      </c>
      <c r="DQ6" s="93">
        <v>11875.599334500488</v>
      </c>
      <c r="DR6" s="251">
        <f>DP6-DQ6</f>
        <v>102925.94179918492</v>
      </c>
    </row>
    <row r="7" spans="1:122">
      <c r="A7" s="103" t="s">
        <v>125</v>
      </c>
      <c r="B7" s="249">
        <v>215.46864000000107</v>
      </c>
      <c r="C7" s="250">
        <f>B7/B$27</f>
        <v>0.17230333994943944</v>
      </c>
      <c r="D7" s="261">
        <v>115389.40583334165</v>
      </c>
      <c r="E7" s="261">
        <v>20520.758710351973</v>
      </c>
      <c r="F7" s="251">
        <f t="shared" ref="F7:F26" si="7">D7-E7</f>
        <v>94868.647122989671</v>
      </c>
      <c r="G7" s="249">
        <v>199.60053000000158</v>
      </c>
      <c r="H7" s="250">
        <f>G7/G$27</f>
        <v>0.14769395558090809</v>
      </c>
      <c r="I7" s="261">
        <v>115373.92879721032</v>
      </c>
      <c r="J7" s="261">
        <v>19740.800658387172</v>
      </c>
      <c r="K7" s="251">
        <f t="shared" ref="K7:K26" si="8">I7-J7</f>
        <v>95633.128138823144</v>
      </c>
      <c r="L7" s="249">
        <v>211.98234000000014</v>
      </c>
      <c r="M7" s="250">
        <f>L7/L$27</f>
        <v>0.14163518865248792</v>
      </c>
      <c r="N7" s="261">
        <v>115420.43137486455</v>
      </c>
      <c r="O7" s="261">
        <v>19846.093417133554</v>
      </c>
      <c r="P7" s="251">
        <f t="shared" ref="P7:P26" si="9">N7-O7</f>
        <v>95574.337957730997</v>
      </c>
      <c r="Q7" s="249">
        <v>104.81183999999897</v>
      </c>
      <c r="R7" s="250">
        <f>Q7/Q$27</f>
        <v>7.4164795152107374E-2</v>
      </c>
      <c r="S7" s="261">
        <v>112932.7802704725</v>
      </c>
      <c r="T7" s="261">
        <v>18430.044316190688</v>
      </c>
      <c r="U7" s="251">
        <f t="shared" ref="U7:U26" si="10">S7-T7</f>
        <v>94502.735954281816</v>
      </c>
      <c r="V7" s="249">
        <v>129.0815999999993</v>
      </c>
      <c r="W7" s="250">
        <f>V7/V$27</f>
        <v>8.8143804400063475E-2</v>
      </c>
      <c r="X7" s="261">
        <v>112942.55674809573</v>
      </c>
      <c r="Y7" s="261">
        <v>18229.901218556879</v>
      </c>
      <c r="Z7" s="251">
        <f t="shared" ref="Z7:Z26" si="11">X7-Y7</f>
        <v>94712.655529538839</v>
      </c>
      <c r="AA7" s="249">
        <v>113.192639999999</v>
      </c>
      <c r="AB7" s="250">
        <f>AA7/AA$27</f>
        <v>7.8087661995205768E-2</v>
      </c>
      <c r="AC7" s="261">
        <v>112898.10913105577</v>
      </c>
      <c r="AD7" s="261">
        <v>18160.946906393427</v>
      </c>
      <c r="AE7" s="251">
        <f t="shared" ref="AE7:AE26" si="12">AC7-AD7</f>
        <v>94737.162224662345</v>
      </c>
      <c r="AF7" s="249">
        <v>131.57783999999941</v>
      </c>
      <c r="AG7" s="250">
        <f>AF7/AF$27</f>
        <v>8.8087159544618987E-2</v>
      </c>
      <c r="AH7" s="261">
        <v>112905.38467280091</v>
      </c>
      <c r="AI7" s="261">
        <v>21029.345507979702</v>
      </c>
      <c r="AJ7" s="251">
        <f t="shared" ref="AJ7:AJ26" si="13">AH7-AI7</f>
        <v>91876.03916482121</v>
      </c>
      <c r="AK7" s="249">
        <v>142.4438100000005</v>
      </c>
      <c r="AL7" s="250">
        <f>AK7/AK$27</f>
        <v>0.10794120562509657</v>
      </c>
      <c r="AM7" s="261">
        <v>112921.42487125198</v>
      </c>
      <c r="AN7" s="261">
        <v>19914.865161740898</v>
      </c>
      <c r="AO7" s="251">
        <f t="shared" ref="AO7:AO26" si="14">AM7-AN7</f>
        <v>93006.559709511086</v>
      </c>
      <c r="AP7" s="249">
        <v>79.176959999999397</v>
      </c>
      <c r="AQ7" s="250">
        <f>AP7/AP$27</f>
        <v>6.995554623501625E-2</v>
      </c>
      <c r="AR7" s="261">
        <v>112906.25176819216</v>
      </c>
      <c r="AS7" s="261">
        <v>17656.120164249925</v>
      </c>
      <c r="AT7" s="251">
        <f t="shared" ref="AT7:AT26" si="15">AR7-AS7</f>
        <v>95250.131603942238</v>
      </c>
      <c r="AU7" s="249">
        <v>81.267509999999234</v>
      </c>
      <c r="AV7" s="250">
        <f>AU7/AU$27</f>
        <v>6.0882651768171779E-2</v>
      </c>
      <c r="AW7" s="261">
        <v>112847.70543603577</v>
      </c>
      <c r="AX7" s="261">
        <v>17516.461375524006</v>
      </c>
      <c r="AY7" s="251">
        <f t="shared" ref="AY7:AY26" si="16">AW7-AX7</f>
        <v>95331.244060511759</v>
      </c>
      <c r="AZ7" s="249">
        <v>108.35423999999909</v>
      </c>
      <c r="BA7" s="250">
        <f>AZ7/AZ$27</f>
        <v>7.6634176106000165E-2</v>
      </c>
      <c r="BB7" s="261">
        <v>112810.39819023338</v>
      </c>
      <c r="BC7" s="261">
        <v>17885.794501442844</v>
      </c>
      <c r="BD7" s="251">
        <f t="shared" ref="BD7:BD26" si="17">BB7-BC7</f>
        <v>94924.603688790536</v>
      </c>
      <c r="BE7" s="249">
        <v>140.329620000002</v>
      </c>
      <c r="BF7" s="250">
        <f>BE7/BE$27</f>
        <v>8.794425026841067E-2</v>
      </c>
      <c r="BG7" s="261">
        <v>112886.6478082086</v>
      </c>
      <c r="BH7" s="261">
        <v>20173.506206316099</v>
      </c>
      <c r="BI7" s="251">
        <f t="shared" ref="BI7:BI26" si="18">BG7-BH7</f>
        <v>92713.141601892494</v>
      </c>
      <c r="BJ7" s="94"/>
      <c r="BK7" s="249">
        <v>155.02753200000296</v>
      </c>
      <c r="BL7" s="250">
        <f>BK7/BK$27</f>
        <v>7.8362312954671151E-2</v>
      </c>
      <c r="BM7" s="261">
        <v>112749.77679448295</v>
      </c>
      <c r="BN7" s="261">
        <v>20058.779881756229</v>
      </c>
      <c r="BO7" s="251">
        <f t="shared" ref="BO7:BO26" si="19">BM7-BN7</f>
        <v>92690.996912726725</v>
      </c>
      <c r="BP7" s="249">
        <v>141.85150799999928</v>
      </c>
      <c r="BQ7" s="250">
        <f>BP7/BP$27</f>
        <v>6.9033777162901197E-2</v>
      </c>
      <c r="BR7" s="261">
        <v>112710.45824905853</v>
      </c>
      <c r="BS7" s="261">
        <v>20031.621235919662</v>
      </c>
      <c r="BT7" s="251">
        <f t="shared" ref="BT7:BT26" si="20">BR7-BS7</f>
        <v>92678.837013138866</v>
      </c>
      <c r="BU7" s="249">
        <v>182.34423000000399</v>
      </c>
      <c r="BV7" s="250">
        <f>BU7/BU$27</f>
        <v>8.6298243166129496E-2</v>
      </c>
      <c r="BW7" s="261">
        <v>112802.74933843261</v>
      </c>
      <c r="BX7" s="261">
        <v>22027.644856104802</v>
      </c>
      <c r="BY7" s="251">
        <f t="shared" ref="BY7:BY26" si="21">BW7-BX7</f>
        <v>90775.104482327806</v>
      </c>
      <c r="BZ7" s="249">
        <f>'NR '!AY7</f>
        <v>104.29343999999929</v>
      </c>
      <c r="CA7" s="250">
        <f>BZ7/BZ$27</f>
        <v>6.8248674604754436E-2</v>
      </c>
      <c r="CB7" s="261">
        <f>'NR '!BA7</f>
        <v>112713.8129684866</v>
      </c>
      <c r="CC7" s="261">
        <v>21266.661450614931</v>
      </c>
      <c r="CD7" s="251">
        <f t="shared" ref="CD7:CD26" si="22">CB7-CC7</f>
        <v>91447.151517871665</v>
      </c>
      <c r="CE7" s="249">
        <f>'NR '!BB7</f>
        <v>85.27679999999927</v>
      </c>
      <c r="CF7" s="250">
        <f>CE7/CE$27</f>
        <v>4.9905539571307195E-2</v>
      </c>
      <c r="CG7" s="261">
        <f>'NR '!BD7</f>
        <v>112718.14608428189</v>
      </c>
      <c r="CH7" s="261">
        <v>21277.366411497882</v>
      </c>
      <c r="CI7" s="251">
        <f t="shared" ref="CI7:CI26" si="23">CG7-CH7</f>
        <v>91440.779672784003</v>
      </c>
      <c r="CJ7" s="249">
        <f>'NR '!BE7</f>
        <v>78.831359999999322</v>
      </c>
      <c r="CK7" s="250">
        <f t="shared" si="0"/>
        <v>5.0316419489336468E-2</v>
      </c>
      <c r="CL7" s="261">
        <f>'NR '!BG7</f>
        <v>112676.24381971936</v>
      </c>
      <c r="CM7" s="261">
        <v>20744.782279539744</v>
      </c>
      <c r="CN7" s="251">
        <f t="shared" ref="CN7:CN26" si="24">CL7-CM7</f>
        <v>91931.461540179618</v>
      </c>
      <c r="CO7" s="249">
        <f>'NR '!BH7</f>
        <v>54.717119999999561</v>
      </c>
      <c r="CP7" s="250">
        <f t="shared" si="1"/>
        <v>5.5237571975923001E-2</v>
      </c>
      <c r="CQ7" s="261">
        <f>'NR '!BJ7</f>
        <v>112721.41187255537</v>
      </c>
      <c r="CR7" s="261">
        <v>14640.936328520325</v>
      </c>
      <c r="CS7" s="251">
        <f t="shared" ref="CS7:CS26" si="25">CQ7-CR7</f>
        <v>98080.475544035042</v>
      </c>
      <c r="CT7" s="249">
        <v>64.825919999999527</v>
      </c>
      <c r="CU7" s="250">
        <f t="shared" si="2"/>
        <v>5.9362072181587962E-2</v>
      </c>
      <c r="CV7" s="261">
        <v>112612.47661429332</v>
      </c>
      <c r="CW7" s="261">
        <v>14603.306054121676</v>
      </c>
      <c r="CX7" s="251">
        <f t="shared" ref="CX7:CX26" si="26">CV7-CW7</f>
        <v>98009.170560171653</v>
      </c>
      <c r="CY7" s="249">
        <v>77.0428799999994</v>
      </c>
      <c r="CZ7" s="250">
        <f t="shared" si="3"/>
        <v>5.5654777622054653E-2</v>
      </c>
      <c r="DA7" s="261">
        <v>112637.58442052106</v>
      </c>
      <c r="DB7" s="261">
        <v>14712.282562645725</v>
      </c>
      <c r="DC7" s="251">
        <f t="shared" ref="DC7:DC26" si="27">DA7-DB7</f>
        <v>97925.30185787534</v>
      </c>
      <c r="DD7" s="249">
        <f>'NR '!BQ7</f>
        <v>75.081599999999526</v>
      </c>
      <c r="DE7" s="250">
        <f t="shared" si="4"/>
        <v>6.0743361695967925E-2</v>
      </c>
      <c r="DF7" s="261">
        <f>'NR '!BS7</f>
        <v>112650.58216660359</v>
      </c>
      <c r="DG7" s="261">
        <v>16398.307707880547</v>
      </c>
      <c r="DH7" s="251">
        <f t="shared" ref="DH7:DH15" si="28">DF7-DG7</f>
        <v>96252.274458723041</v>
      </c>
      <c r="DI7" s="373">
        <f>'NR '!BT7</f>
        <v>135.56735999999995</v>
      </c>
      <c r="DJ7" s="250">
        <f t="shared" si="5"/>
        <v>9.8456349476634217E-2</v>
      </c>
      <c r="DK7" s="261">
        <f>'NR '!BV7</f>
        <v>112734.36673842363</v>
      </c>
      <c r="DL7" s="261">
        <v>19697.527634970567</v>
      </c>
      <c r="DM7" s="251">
        <f t="shared" ref="DM7:DM26" si="29">DK7-DL7</f>
        <v>93036.839103453065</v>
      </c>
      <c r="DN7" s="249">
        <v>107.26475999999899</v>
      </c>
      <c r="DO7" s="250">
        <f t="shared" si="6"/>
        <v>7.3272404465429708E-2</v>
      </c>
      <c r="DP7" s="261">
        <v>112587.15826148351</v>
      </c>
      <c r="DQ7" s="261">
        <v>18977.712717578725</v>
      </c>
      <c r="DR7" s="251">
        <f t="shared" ref="DR7:DR26" si="30">DP7-DQ7</f>
        <v>93609.445543904789</v>
      </c>
    </row>
    <row r="8" spans="1:122">
      <c r="A8" s="103" t="s">
        <v>237</v>
      </c>
      <c r="B8" s="249"/>
      <c r="C8" s="250"/>
      <c r="D8" s="261"/>
      <c r="E8" s="261"/>
      <c r="F8" s="251"/>
      <c r="G8" s="249"/>
      <c r="H8" s="250"/>
      <c r="I8" s="261"/>
      <c r="J8" s="261"/>
      <c r="K8" s="251"/>
      <c r="L8" s="249"/>
      <c r="M8" s="250"/>
      <c r="N8" s="261"/>
      <c r="O8" s="261"/>
      <c r="P8" s="251"/>
      <c r="Q8" s="249"/>
      <c r="R8" s="250"/>
      <c r="S8" s="261"/>
      <c r="T8" s="261"/>
      <c r="U8" s="251"/>
      <c r="V8" s="249"/>
      <c r="W8" s="250"/>
      <c r="X8" s="261"/>
      <c r="Y8" s="261"/>
      <c r="Z8" s="251"/>
      <c r="AA8" s="249"/>
      <c r="AB8" s="250"/>
      <c r="AC8" s="261"/>
      <c r="AD8" s="261"/>
      <c r="AE8" s="251"/>
      <c r="AF8" s="249"/>
      <c r="AG8" s="250"/>
      <c r="AH8" s="261"/>
      <c r="AI8" s="261"/>
      <c r="AJ8" s="251"/>
      <c r="AK8" s="249"/>
      <c r="AL8" s="250"/>
      <c r="AM8" s="261"/>
      <c r="AN8" s="261"/>
      <c r="AO8" s="251"/>
      <c r="AP8" s="249"/>
      <c r="AQ8" s="250"/>
      <c r="AR8" s="261"/>
      <c r="AS8" s="261"/>
      <c r="AT8" s="251"/>
      <c r="AU8" s="249"/>
      <c r="AV8" s="250"/>
      <c r="AW8" s="261"/>
      <c r="AX8" s="261"/>
      <c r="AY8" s="251"/>
      <c r="AZ8" s="249"/>
      <c r="BA8" s="250"/>
      <c r="BB8" s="261"/>
      <c r="BC8" s="261"/>
      <c r="BD8" s="251"/>
      <c r="BE8" s="249"/>
      <c r="BF8" s="250"/>
      <c r="BG8" s="261"/>
      <c r="BH8" s="261"/>
      <c r="BI8" s="251"/>
      <c r="BJ8" s="94"/>
      <c r="BK8" s="249"/>
      <c r="BL8" s="250"/>
      <c r="BM8" s="261"/>
      <c r="BN8" s="261"/>
      <c r="BO8" s="251"/>
      <c r="BP8" s="249"/>
      <c r="BQ8" s="250"/>
      <c r="BR8" s="261"/>
      <c r="BS8" s="261"/>
      <c r="BT8" s="251"/>
      <c r="BU8" s="249"/>
      <c r="BV8" s="250"/>
      <c r="BW8" s="261"/>
      <c r="BX8" s="261"/>
      <c r="BY8" s="251"/>
      <c r="BZ8" s="249"/>
      <c r="CA8" s="250"/>
      <c r="CB8" s="261"/>
      <c r="CC8" s="261"/>
      <c r="CD8" s="251"/>
      <c r="CE8" s="249"/>
      <c r="CF8" s="250"/>
      <c r="CG8" s="261"/>
      <c r="CH8" s="261"/>
      <c r="CI8" s="251"/>
      <c r="CJ8" s="249">
        <f>'NR '!BE8</f>
        <v>161.20000000000016</v>
      </c>
      <c r="CK8" s="250">
        <f t="shared" si="0"/>
        <v>0.10289061132119395</v>
      </c>
      <c r="CL8" s="261">
        <f>'NR '!BG8</f>
        <v>87342.156265508325</v>
      </c>
      <c r="CM8" s="261">
        <v>3326.7178039702108</v>
      </c>
      <c r="CN8" s="251">
        <f t="shared" si="24"/>
        <v>84015.438461538113</v>
      </c>
      <c r="CO8" s="249">
        <f>'NR '!BH8</f>
        <v>404.53749999999985</v>
      </c>
      <c r="CP8" s="250">
        <f t="shared" si="1"/>
        <v>0.40838533302209845</v>
      </c>
      <c r="CQ8" s="261">
        <f>'NR '!BJ8</f>
        <v>87309.930822235066</v>
      </c>
      <c r="CR8" s="261">
        <v>1214.6952260297289</v>
      </c>
      <c r="CS8" s="251">
        <f t="shared" si="25"/>
        <v>86095.235596205341</v>
      </c>
      <c r="CT8" s="249">
        <v>383.30974999999944</v>
      </c>
      <c r="CU8" s="250">
        <f t="shared" si="2"/>
        <v>0.35100251639169283</v>
      </c>
      <c r="CV8" s="261">
        <v>87283.079754688923</v>
      </c>
      <c r="CW8" s="261">
        <v>1138.964558036944</v>
      </c>
      <c r="CX8" s="251">
        <f t="shared" si="26"/>
        <v>86144.115196651983</v>
      </c>
      <c r="CY8" s="249">
        <v>537.39499999999896</v>
      </c>
      <c r="CZ8" s="250">
        <f t="shared" si="3"/>
        <v>0.38820718047150149</v>
      </c>
      <c r="DA8" s="261">
        <v>87341.153434624503</v>
      </c>
      <c r="DB8" s="261">
        <v>1240.5879101964115</v>
      </c>
      <c r="DC8" s="251">
        <f t="shared" si="27"/>
        <v>86100.565524428093</v>
      </c>
      <c r="DD8" s="249">
        <f>'NR '!BQ8</f>
        <v>595.41150000000073</v>
      </c>
      <c r="DE8" s="250">
        <f t="shared" si="4"/>
        <v>0.48170651800759545</v>
      </c>
      <c r="DF8" s="261">
        <f>'NR '!BS8</f>
        <v>89106.802035232118</v>
      </c>
      <c r="DG8" s="261">
        <v>2900.1835705222261</v>
      </c>
      <c r="DH8" s="251">
        <f t="shared" si="28"/>
        <v>86206.618464709885</v>
      </c>
      <c r="DI8" s="373">
        <f>'NR '!BT8</f>
        <v>515.33749999999986</v>
      </c>
      <c r="DJ8" s="250">
        <f t="shared" si="5"/>
        <v>0.37426596636841636</v>
      </c>
      <c r="DK8" s="261">
        <f>'NR '!BV8</f>
        <v>89084.284900672908</v>
      </c>
      <c r="DL8" s="261">
        <v>2984.8052198801843</v>
      </c>
      <c r="DM8" s="251">
        <f t="shared" si="29"/>
        <v>86099.47968079272</v>
      </c>
      <c r="DN8" s="249">
        <v>502.59974999999753</v>
      </c>
      <c r="DO8" s="250">
        <f t="shared" si="6"/>
        <v>0.34332517190383888</v>
      </c>
      <c r="DP8" s="261">
        <v>89095.243183071478</v>
      </c>
      <c r="DQ8" s="261">
        <v>3004.3910487420844</v>
      </c>
      <c r="DR8" s="251">
        <f t="shared" si="30"/>
        <v>86090.852134329398</v>
      </c>
    </row>
    <row r="9" spans="1:122">
      <c r="A9" s="103" t="s">
        <v>126</v>
      </c>
      <c r="B9" s="249">
        <v>378.05625000000055</v>
      </c>
      <c r="C9" s="250">
        <f t="shared" ref="C9:C14" si="31">B9/B$27</f>
        <v>0.30231942134948286</v>
      </c>
      <c r="D9" s="261">
        <v>78820.665906609502</v>
      </c>
      <c r="E9" s="261">
        <v>3638.0613507193916</v>
      </c>
      <c r="F9" s="251">
        <f t="shared" si="7"/>
        <v>75182.60455589011</v>
      </c>
      <c r="G9" s="249">
        <v>401.73237500000005</v>
      </c>
      <c r="H9" s="250">
        <f t="shared" ref="H9:H14" si="32">G9/G$27</f>
        <v>0.29726095190559987</v>
      </c>
      <c r="I9" s="261">
        <v>78492.78317053002</v>
      </c>
      <c r="J9" s="261">
        <v>3205.2400690427262</v>
      </c>
      <c r="K9" s="251">
        <f t="shared" si="8"/>
        <v>75287.543101487288</v>
      </c>
      <c r="L9" s="249">
        <v>448.27749999999872</v>
      </c>
      <c r="M9" s="250">
        <f t="shared" ref="M9:M14" si="33">L9/L$27</f>
        <v>0.29951489487834426</v>
      </c>
      <c r="N9" s="261">
        <v>78409.935395829554</v>
      </c>
      <c r="O9" s="261">
        <v>3373.2454620717517</v>
      </c>
      <c r="P9" s="251">
        <f t="shared" si="9"/>
        <v>75036.689933757807</v>
      </c>
      <c r="Q9" s="249">
        <v>446.18749999999955</v>
      </c>
      <c r="R9" s="250">
        <f t="shared" ref="R9:R14" si="34">Q9/Q$27</f>
        <v>0.31572200752253943</v>
      </c>
      <c r="S9" s="261">
        <v>76996.594794503791</v>
      </c>
      <c r="T9" s="261">
        <v>4034.624754662424</v>
      </c>
      <c r="U9" s="251">
        <f t="shared" si="10"/>
        <v>72961.97003984137</v>
      </c>
      <c r="V9" s="249">
        <v>479.13222499999796</v>
      </c>
      <c r="W9" s="250">
        <f t="shared" ref="W9:W14" si="35">V9/V$27</f>
        <v>0.32717705019280247</v>
      </c>
      <c r="X9" s="261">
        <v>76985.321582219447</v>
      </c>
      <c r="Y9" s="261">
        <v>2671.1208562864545</v>
      </c>
      <c r="Z9" s="251">
        <f t="shared" si="11"/>
        <v>74314.200725932998</v>
      </c>
      <c r="AA9" s="249">
        <v>488.87849999999935</v>
      </c>
      <c r="AB9" s="250">
        <f t="shared" ref="AB9:AB14" si="36">AA9/AA$27</f>
        <v>0.33726025883594102</v>
      </c>
      <c r="AC9" s="261">
        <v>76882.307587441086</v>
      </c>
      <c r="AD9" s="261">
        <v>2909.9836225442091</v>
      </c>
      <c r="AE9" s="251">
        <f t="shared" si="12"/>
        <v>73972.323964896874</v>
      </c>
      <c r="AF9" s="249">
        <v>487.34124999999841</v>
      </c>
      <c r="AG9" s="250">
        <f t="shared" ref="AG9:AG14" si="37">AF9/AF$27</f>
        <v>0.32625939475388938</v>
      </c>
      <c r="AH9" s="261">
        <v>76911.834943781287</v>
      </c>
      <c r="AI9" s="261">
        <v>3945.7641785738269</v>
      </c>
      <c r="AJ9" s="251">
        <f t="shared" si="13"/>
        <v>72966.070765207463</v>
      </c>
      <c r="AK9" s="249">
        <v>485.99264999999872</v>
      </c>
      <c r="AL9" s="250">
        <f t="shared" ref="AL9:AL14" si="38">AK9/AK$27</f>
        <v>0.36827597187926431</v>
      </c>
      <c r="AM9" s="261">
        <v>76924.178919288752</v>
      </c>
      <c r="AN9" s="261">
        <v>3340.7558189753072</v>
      </c>
      <c r="AO9" s="251">
        <f t="shared" si="14"/>
        <v>73583.423100313448</v>
      </c>
      <c r="AP9" s="249">
        <v>450.93069999999892</v>
      </c>
      <c r="AQ9" s="250">
        <f t="shared" ref="AQ9:AQ14" si="39">AP9/AP$27</f>
        <v>0.3984126623785304</v>
      </c>
      <c r="AR9" s="261">
        <v>76890.389764990832</v>
      </c>
      <c r="AS9" s="261">
        <v>2030.2305875381739</v>
      </c>
      <c r="AT9" s="251">
        <f t="shared" si="15"/>
        <v>74860.159177452661</v>
      </c>
      <c r="AU9" s="249">
        <v>475.29982499999886</v>
      </c>
      <c r="AV9" s="250">
        <f t="shared" ref="AV9:AV14" si="40">AU9/AU$27</f>
        <v>0.3560772777577188</v>
      </c>
      <c r="AW9" s="261">
        <v>76736.451733387439</v>
      </c>
      <c r="AX9" s="261">
        <v>2056.9657689228084</v>
      </c>
      <c r="AY9" s="251">
        <f t="shared" si="16"/>
        <v>74679.485964464635</v>
      </c>
      <c r="AZ9" s="249">
        <v>510.03122499999876</v>
      </c>
      <c r="BA9" s="250">
        <f t="shared" ref="BA9:BA14" si="41">AZ9/AZ$27</f>
        <v>0.36072259577667865</v>
      </c>
      <c r="BB9" s="261">
        <v>76695.000781569819</v>
      </c>
      <c r="BC9" s="261">
        <v>2329.0786755261993</v>
      </c>
      <c r="BD9" s="251">
        <f t="shared" si="17"/>
        <v>74365.922106043625</v>
      </c>
      <c r="BE9" s="249">
        <v>520.61267499999963</v>
      </c>
      <c r="BF9" s="250">
        <f t="shared" ref="BF9:BF14" si="42">BE9/BE$27</f>
        <v>0.32626676665344112</v>
      </c>
      <c r="BG9" s="261">
        <v>76719.237809567348</v>
      </c>
      <c r="BH9" s="261">
        <v>2228.2317463745958</v>
      </c>
      <c r="BI9" s="251">
        <f t="shared" si="18"/>
        <v>74491.006063192748</v>
      </c>
      <c r="BJ9" s="94"/>
      <c r="BK9" s="249">
        <v>682.91245000000242</v>
      </c>
      <c r="BL9" s="250">
        <f t="shared" ref="BL9:BL14" si="43">BK9/BK$27</f>
        <v>0.34519416285063725</v>
      </c>
      <c r="BM9" s="261">
        <v>76724.601286739271</v>
      </c>
      <c r="BN9" s="261">
        <v>2170.8401860296917</v>
      </c>
      <c r="BO9" s="251">
        <f t="shared" si="19"/>
        <v>74553.761100709584</v>
      </c>
      <c r="BP9" s="249">
        <v>716.64560000000256</v>
      </c>
      <c r="BQ9" s="250">
        <f t="shared" ref="BQ9:BQ14" si="44">BP9/BP$27</f>
        <v>0.3487643758794165</v>
      </c>
      <c r="BR9" s="261">
        <v>76656.097839712616</v>
      </c>
      <c r="BS9" s="261">
        <v>2275.0840164231731</v>
      </c>
      <c r="BT9" s="251">
        <f t="shared" si="20"/>
        <v>74381.013823289439</v>
      </c>
      <c r="BU9" s="249">
        <v>742.28165000000422</v>
      </c>
      <c r="BV9" s="250">
        <f t="shared" ref="BV9:BV14" si="45">BU9/BU$27</f>
        <v>0.35130040763809633</v>
      </c>
      <c r="BW9" s="261">
        <v>76627.23809755969</v>
      </c>
      <c r="BX9" s="261">
        <v>1235.6641309939334</v>
      </c>
      <c r="BY9" s="251">
        <f t="shared" si="21"/>
        <v>75391.57396656576</v>
      </c>
      <c r="BZ9" s="249">
        <f>'NR '!AY9</f>
        <v>534.10967500000015</v>
      </c>
      <c r="CA9" s="250">
        <f t="shared" ref="CA9:CA14" si="46">BZ9/BZ$27</f>
        <v>0.34951649319771599</v>
      </c>
      <c r="CB9" s="261">
        <f>'NR '!BA9</f>
        <v>76619.232126809875</v>
      </c>
      <c r="CC9" s="261">
        <v>8.617144035071183</v>
      </c>
      <c r="CD9" s="251">
        <f t="shared" si="22"/>
        <v>76610.614982774801</v>
      </c>
      <c r="CE9" s="249">
        <f>'NR '!BB9</f>
        <v>557.53499999999974</v>
      </c>
      <c r="CF9" s="250">
        <f t="shared" ref="CF9:CF14" si="47">CE9/CE$27</f>
        <v>0.32627965642342327</v>
      </c>
      <c r="CG9" s="261">
        <f>'NR '!BD9</f>
        <v>79572.686737155367</v>
      </c>
      <c r="CH9" s="261">
        <v>2947.7264386989109</v>
      </c>
      <c r="CI9" s="251">
        <f t="shared" si="23"/>
        <v>76624.960298456455</v>
      </c>
      <c r="CJ9" s="249">
        <f>'NR '!BE9</f>
        <v>417.61197499999827</v>
      </c>
      <c r="CK9" s="250">
        <f t="shared" si="0"/>
        <v>0.26655304840447236</v>
      </c>
      <c r="CL9" s="261">
        <f>'NR '!BG9</f>
        <v>79431.87900682239</v>
      </c>
      <c r="CM9" s="261">
        <v>2667.2990639217301</v>
      </c>
      <c r="CN9" s="251">
        <f t="shared" si="24"/>
        <v>76764.579942900658</v>
      </c>
      <c r="CO9" s="249">
        <f>'NR '!BH9</f>
        <v>42.133850000000052</v>
      </c>
      <c r="CP9" s="250">
        <f t="shared" si="1"/>
        <v>4.2534613883145986E-2</v>
      </c>
      <c r="CQ9" s="261">
        <f>'NR '!BJ9</f>
        <v>79421.191749626523</v>
      </c>
      <c r="CR9" s="261">
        <v>1038.3406690819829</v>
      </c>
      <c r="CS9" s="251">
        <f t="shared" si="25"/>
        <v>78382.85108054454</v>
      </c>
      <c r="CT9" s="249">
        <v>14.497999999999987</v>
      </c>
      <c r="CU9" s="250">
        <f t="shared" si="2"/>
        <v>1.32760371544078E-2</v>
      </c>
      <c r="CV9" s="261">
        <v>79553.00110360056</v>
      </c>
      <c r="CW9" s="261">
        <v>621.97751413988203</v>
      </c>
      <c r="CX9" s="251">
        <f t="shared" si="26"/>
        <v>78931.023589460674</v>
      </c>
      <c r="CY9" s="249">
        <v>4.4354749999999949</v>
      </c>
      <c r="CZ9" s="250">
        <f t="shared" si="3"/>
        <v>3.2041296323967183E-3</v>
      </c>
      <c r="DA9" s="261">
        <v>79646.781911745769</v>
      </c>
      <c r="DB9" s="261">
        <v>2050.6732649828969</v>
      </c>
      <c r="DC9" s="251">
        <f t="shared" si="27"/>
        <v>77596.108646762877</v>
      </c>
      <c r="DD9" s="249">
        <f>'NR '!BQ9</f>
        <v>0.91712500000000041</v>
      </c>
      <c r="DE9" s="250">
        <f t="shared" si="4"/>
        <v>7.4198279732204647E-4</v>
      </c>
      <c r="DF9" s="261">
        <f>'NR '!BS9</f>
        <v>81250.963609104452</v>
      </c>
      <c r="DG9" s="261">
        <v>2177.3149788741985</v>
      </c>
      <c r="DH9" s="251">
        <f t="shared" si="28"/>
        <v>79073.648630230251</v>
      </c>
      <c r="DI9" s="373">
        <f>'NR '!BT9</f>
        <v>0.16142500000000001</v>
      </c>
      <c r="DJ9" s="250">
        <f t="shared" si="5"/>
        <v>1.1723556624740413E-4</v>
      </c>
      <c r="DK9" s="261">
        <f>'NR '!BV9</f>
        <v>81612.327706365177</v>
      </c>
      <c r="DL9" s="261">
        <v>1938.2995199008828</v>
      </c>
      <c r="DM9" s="251">
        <f t="shared" si="29"/>
        <v>79674.028186464289</v>
      </c>
      <c r="DN9" s="249">
        <v>0.16719999999999999</v>
      </c>
      <c r="DO9" s="250">
        <f t="shared" si="6"/>
        <v>1.1421408136856841E-4</v>
      </c>
      <c r="DP9" s="261">
        <v>81681.51913875599</v>
      </c>
      <c r="DQ9" s="261">
        <v>2004.904306220096</v>
      </c>
      <c r="DR9" s="251">
        <f t="shared" si="30"/>
        <v>79676.614832535895</v>
      </c>
    </row>
    <row r="10" spans="1:122">
      <c r="A10" s="103" t="s">
        <v>148</v>
      </c>
      <c r="B10" s="249">
        <v>89.244539999999148</v>
      </c>
      <c r="C10" s="250">
        <f t="shared" si="31"/>
        <v>7.1365987710560214E-2</v>
      </c>
      <c r="D10" s="261">
        <v>97473.656051966842</v>
      </c>
      <c r="E10" s="261">
        <v>19770.630746441424</v>
      </c>
      <c r="F10" s="251">
        <f t="shared" si="7"/>
        <v>77703.025305525414</v>
      </c>
      <c r="G10" s="249">
        <v>199.34822000000088</v>
      </c>
      <c r="H10" s="250">
        <f t="shared" si="32"/>
        <v>0.14750725937357476</v>
      </c>
      <c r="I10" s="261">
        <v>87093.910221367172</v>
      </c>
      <c r="J10" s="261">
        <v>12726.00696143433</v>
      </c>
      <c r="K10" s="251">
        <f t="shared" si="8"/>
        <v>74367.903259932849</v>
      </c>
      <c r="L10" s="249">
        <v>271.87625999999898</v>
      </c>
      <c r="M10" s="250">
        <f t="shared" si="33"/>
        <v>0.18165308192763929</v>
      </c>
      <c r="N10" s="261">
        <v>83269.538194716646</v>
      </c>
      <c r="O10" s="261">
        <v>8589.5496587550169</v>
      </c>
      <c r="P10" s="251">
        <f t="shared" si="9"/>
        <v>74679.988535961631</v>
      </c>
      <c r="Q10" s="249">
        <v>139.29351999999963</v>
      </c>
      <c r="R10" s="250">
        <f t="shared" si="34"/>
        <v>9.856401124926388E-2</v>
      </c>
      <c r="S10" s="261">
        <v>81318.132855622112</v>
      </c>
      <c r="T10" s="261">
        <v>6091.5481997796087</v>
      </c>
      <c r="U10" s="251">
        <f t="shared" si="10"/>
        <v>75226.584655842511</v>
      </c>
      <c r="V10" s="249">
        <v>151.16257999999823</v>
      </c>
      <c r="W10" s="250">
        <f t="shared" si="35"/>
        <v>0.10322187580669022</v>
      </c>
      <c r="X10" s="261">
        <v>81245.43059290848</v>
      </c>
      <c r="Y10" s="261">
        <v>5501.074880004935</v>
      </c>
      <c r="Z10" s="251">
        <f t="shared" si="11"/>
        <v>75744.355712903547</v>
      </c>
      <c r="AA10" s="249">
        <v>213.71175199999686</v>
      </c>
      <c r="AB10" s="250">
        <f t="shared" si="36"/>
        <v>0.14743229820047613</v>
      </c>
      <c r="AC10" s="261">
        <v>81153.945204668998</v>
      </c>
      <c r="AD10" s="261">
        <v>9049.3109681744045</v>
      </c>
      <c r="AE10" s="251">
        <f t="shared" si="12"/>
        <v>72104.634236494589</v>
      </c>
      <c r="AF10" s="249">
        <v>231.57375999999721</v>
      </c>
      <c r="AG10" s="250">
        <f t="shared" si="37"/>
        <v>0.15503123279320552</v>
      </c>
      <c r="AH10" s="261">
        <v>81104.873902993233</v>
      </c>
      <c r="AI10" s="261">
        <v>10153.363248243717</v>
      </c>
      <c r="AJ10" s="251">
        <f t="shared" si="13"/>
        <v>70951.510654749523</v>
      </c>
      <c r="AK10" s="249">
        <v>160.04111999999805</v>
      </c>
      <c r="AL10" s="250">
        <f t="shared" si="38"/>
        <v>0.1212761119096048</v>
      </c>
      <c r="AM10" s="261">
        <v>81057.246142995093</v>
      </c>
      <c r="AN10" s="261">
        <v>6148.1909576761909</v>
      </c>
      <c r="AO10" s="251">
        <f t="shared" si="14"/>
        <v>74909.055185318895</v>
      </c>
      <c r="AP10" s="249">
        <v>134.69897999999867</v>
      </c>
      <c r="AQ10" s="250">
        <f t="shared" si="39"/>
        <v>0.11901114570702775</v>
      </c>
      <c r="AR10" s="261">
        <v>81059.668454803366</v>
      </c>
      <c r="AS10" s="261">
        <v>5025.8138554575617</v>
      </c>
      <c r="AT10" s="251">
        <f t="shared" si="15"/>
        <v>76033.85459934581</v>
      </c>
      <c r="AU10" s="249">
        <v>144.95771999999829</v>
      </c>
      <c r="AV10" s="250">
        <f t="shared" si="40"/>
        <v>0.10859703204722439</v>
      </c>
      <c r="AW10" s="261">
        <v>81041.387999206112</v>
      </c>
      <c r="AX10" s="261">
        <v>5033.3515179460619</v>
      </c>
      <c r="AY10" s="251">
        <f t="shared" si="16"/>
        <v>76008.036481260046</v>
      </c>
      <c r="AZ10" s="249">
        <v>178.60283999999723</v>
      </c>
      <c r="BA10" s="250">
        <f t="shared" si="41"/>
        <v>0.12631791329616332</v>
      </c>
      <c r="BB10" s="261">
        <v>81083.923861459392</v>
      </c>
      <c r="BC10" s="261">
        <v>5487.2053546293373</v>
      </c>
      <c r="BD10" s="251">
        <f t="shared" si="17"/>
        <v>75596.718506830061</v>
      </c>
      <c r="BE10" s="249">
        <v>175.87175999999744</v>
      </c>
      <c r="BF10" s="250">
        <f t="shared" si="42"/>
        <v>0.11021842770318491</v>
      </c>
      <c r="BG10" s="261">
        <v>81086.343879201377</v>
      </c>
      <c r="BH10" s="261">
        <v>5336.7096002223789</v>
      </c>
      <c r="BI10" s="251">
        <f t="shared" si="18"/>
        <v>75749.634278978992</v>
      </c>
      <c r="BJ10" s="94"/>
      <c r="BK10" s="249">
        <v>222.05512743999751</v>
      </c>
      <c r="BL10" s="250">
        <f t="shared" si="43"/>
        <v>0.11224298784323121</v>
      </c>
      <c r="BM10" s="261">
        <v>81022.612931383788</v>
      </c>
      <c r="BN10" s="261">
        <v>5309.705043035251</v>
      </c>
      <c r="BO10" s="251">
        <f t="shared" si="19"/>
        <v>75712.907888348534</v>
      </c>
      <c r="BP10" s="293">
        <v>250.28639999999751</v>
      </c>
      <c r="BQ10" s="250">
        <f t="shared" si="44"/>
        <v>0.12180494806234045</v>
      </c>
      <c r="BR10" s="261">
        <v>81048.175210478279</v>
      </c>
      <c r="BS10" s="261">
        <v>5211.7678387639307</v>
      </c>
      <c r="BT10" s="251">
        <f t="shared" si="20"/>
        <v>75836.407371714347</v>
      </c>
      <c r="BU10" s="293">
        <v>321.22116000000182</v>
      </c>
      <c r="BV10" s="250">
        <f t="shared" si="45"/>
        <v>0.15202467210388693</v>
      </c>
      <c r="BW10" s="261">
        <v>80996.243086846865</v>
      </c>
      <c r="BX10" s="261">
        <v>6189.8468021221552</v>
      </c>
      <c r="BY10" s="251">
        <f t="shared" si="21"/>
        <v>74806.396284724717</v>
      </c>
      <c r="BZ10" s="293">
        <f>'NR '!AY10</f>
        <v>199.76389999999662</v>
      </c>
      <c r="CA10" s="250">
        <f t="shared" si="46"/>
        <v>0.13072367167941307</v>
      </c>
      <c r="CB10" s="261">
        <f>'NR '!BA10</f>
        <v>80979.371147642189</v>
      </c>
      <c r="CC10" s="261">
        <v>7077.6338968152704</v>
      </c>
      <c r="CD10" s="251">
        <f t="shared" si="22"/>
        <v>73901.737250826918</v>
      </c>
      <c r="CE10" s="249">
        <f>'NR '!BB10</f>
        <v>234.11621999999829</v>
      </c>
      <c r="CF10" s="250">
        <f t="shared" si="47"/>
        <v>0.13700908431712816</v>
      </c>
      <c r="CG10" s="261">
        <f>'NR '!BD10</f>
        <v>80973.031385864524</v>
      </c>
      <c r="CH10" s="261">
        <v>7291.7699593817615</v>
      </c>
      <c r="CI10" s="251">
        <f t="shared" si="23"/>
        <v>73681.261426482757</v>
      </c>
      <c r="CJ10" s="249">
        <f>'NR '!BE10</f>
        <v>279.76037999999971</v>
      </c>
      <c r="CK10" s="250">
        <f t="shared" si="0"/>
        <v>0.1785652389680488</v>
      </c>
      <c r="CL10" s="261">
        <f>'NR '!BG10</f>
        <v>80974.707891086975</v>
      </c>
      <c r="CM10" s="261">
        <v>6941.4902853649264</v>
      </c>
      <c r="CN10" s="251">
        <f t="shared" si="24"/>
        <v>74033.217605722049</v>
      </c>
      <c r="CO10" s="249">
        <f>'NR '!BH10</f>
        <v>97.002355319999438</v>
      </c>
      <c r="CP10" s="250">
        <f t="shared" si="1"/>
        <v>9.7925011108453253E-2</v>
      </c>
      <c r="CQ10" s="261">
        <f>'NR '!BJ10</f>
        <v>80992.596355856193</v>
      </c>
      <c r="CR10" s="261">
        <v>779.45880541326619</v>
      </c>
      <c r="CS10" s="251">
        <f t="shared" si="25"/>
        <v>80213.137550442931</v>
      </c>
      <c r="CT10" s="249">
        <v>152.98950051999816</v>
      </c>
      <c r="CU10" s="250">
        <f t="shared" si="2"/>
        <v>0.14009479191183535</v>
      </c>
      <c r="CV10" s="261">
        <v>81009.018709621087</v>
      </c>
      <c r="CW10" s="261">
        <v>678.97254155961969</v>
      </c>
      <c r="CX10" s="251">
        <f t="shared" si="26"/>
        <v>80330.046168061468</v>
      </c>
      <c r="CY10" s="249">
        <v>84.946159999999693</v>
      </c>
      <c r="CZ10" s="250">
        <f t="shared" si="3"/>
        <v>6.1364004625054175E-2</v>
      </c>
      <c r="DA10" s="261">
        <v>80932.343616239261</v>
      </c>
      <c r="DB10" s="261">
        <v>817.84685735058827</v>
      </c>
      <c r="DC10" s="251">
        <f t="shared" si="27"/>
        <v>80114.496758888679</v>
      </c>
      <c r="DD10" s="249">
        <f>'NR '!BQ10</f>
        <v>6.1635542799999907</v>
      </c>
      <c r="DE10" s="250">
        <f t="shared" si="4"/>
        <v>4.9865081053516837E-3</v>
      </c>
      <c r="DF10" s="261">
        <f>'NR '!BS10</f>
        <v>80989.930050555311</v>
      </c>
      <c r="DG10" s="261"/>
      <c r="DH10" s="251">
        <f t="shared" si="28"/>
        <v>80989.930050555311</v>
      </c>
      <c r="DI10" s="373">
        <f>'NR '!BT10</f>
        <v>93.956079999999872</v>
      </c>
      <c r="DJ10" s="250">
        <f t="shared" si="5"/>
        <v>6.8235987246005186E-2</v>
      </c>
      <c r="DK10" s="261">
        <f>'NR '!BV10</f>
        <v>95481.174821256791</v>
      </c>
      <c r="DL10" s="261">
        <v>6291.098883648634</v>
      </c>
      <c r="DM10" s="251">
        <f t="shared" si="29"/>
        <v>89190.075937608155</v>
      </c>
      <c r="DN10" s="249">
        <v>290.15822000000026</v>
      </c>
      <c r="DO10" s="250">
        <f t="shared" si="6"/>
        <v>0.19820666596195577</v>
      </c>
      <c r="DP10" s="261">
        <v>95679.61169038745</v>
      </c>
      <c r="DQ10" s="261">
        <v>4293.9340712940566</v>
      </c>
      <c r="DR10" s="251">
        <f t="shared" si="30"/>
        <v>91385.677619093389</v>
      </c>
    </row>
    <row r="11" spans="1:122">
      <c r="A11" s="103" t="s">
        <v>127</v>
      </c>
      <c r="B11" s="249">
        <v>104.616</v>
      </c>
      <c r="C11" s="250">
        <f t="shared" si="31"/>
        <v>8.3658049784648317E-2</v>
      </c>
      <c r="D11" s="261">
        <v>92408.506211143933</v>
      </c>
      <c r="E11" s="261">
        <v>10566.691981007083</v>
      </c>
      <c r="F11" s="251">
        <f t="shared" si="7"/>
        <v>81841.81423013685</v>
      </c>
      <c r="G11" s="249">
        <v>33.638639999999974</v>
      </c>
      <c r="H11" s="250">
        <f t="shared" si="32"/>
        <v>2.4890834718535638E-2</v>
      </c>
      <c r="I11" s="261">
        <v>92400.690145312343</v>
      </c>
      <c r="J11" s="261">
        <v>9926.8255657691261</v>
      </c>
      <c r="K11" s="251">
        <f t="shared" si="8"/>
        <v>82473.864579543209</v>
      </c>
      <c r="L11" s="249">
        <v>2.15544</v>
      </c>
      <c r="M11" s="250">
        <f t="shared" si="33"/>
        <v>1.4401489814157085E-3</v>
      </c>
      <c r="N11" s="261">
        <v>92035.827321003264</v>
      </c>
      <c r="O11" s="261">
        <v>11044.224678387378</v>
      </c>
      <c r="P11" s="251">
        <f t="shared" si="9"/>
        <v>80991.602642615879</v>
      </c>
      <c r="Q11" s="249">
        <v>0.15840000000000001</v>
      </c>
      <c r="R11" s="250">
        <f t="shared" si="34"/>
        <v>1.1208374504344093E-4</v>
      </c>
      <c r="S11" s="261">
        <v>85331.632800141262</v>
      </c>
      <c r="T11" s="261"/>
      <c r="U11" s="251">
        <f t="shared" si="10"/>
        <v>85331.632800141262</v>
      </c>
      <c r="V11" s="249">
        <v>0.53184000000000009</v>
      </c>
      <c r="W11" s="250">
        <f t="shared" si="35"/>
        <v>3.6316873150108163E-4</v>
      </c>
      <c r="X11" s="261">
        <v>84818.29816971111</v>
      </c>
      <c r="Y11" s="261"/>
      <c r="Z11" s="251">
        <f t="shared" si="11"/>
        <v>84818.29816971111</v>
      </c>
      <c r="AA11" s="249">
        <v>2.8799999999999999E-2</v>
      </c>
      <c r="AB11" s="250">
        <f t="shared" si="36"/>
        <v>1.9868117445285719E-5</v>
      </c>
      <c r="AC11" s="261">
        <v>85515.655904305779</v>
      </c>
      <c r="AD11" s="261"/>
      <c r="AE11" s="251">
        <f t="shared" si="12"/>
        <v>85515.655904305779</v>
      </c>
      <c r="AF11" s="249">
        <v>1.44E-2</v>
      </c>
      <c r="AG11" s="250">
        <f t="shared" si="37"/>
        <v>9.6403398736635207E-6</v>
      </c>
      <c r="AH11" s="261">
        <v>90051.73200722973</v>
      </c>
      <c r="AI11" s="261">
        <v>2537.8431183408325</v>
      </c>
      <c r="AJ11" s="251">
        <f t="shared" si="13"/>
        <v>87513.888888888891</v>
      </c>
      <c r="AK11" s="249">
        <v>2.1024000000000003</v>
      </c>
      <c r="AL11" s="250">
        <f t="shared" si="38"/>
        <v>1.5931586687143672E-3</v>
      </c>
      <c r="AM11" s="261">
        <v>90472.092607378712</v>
      </c>
      <c r="AN11" s="261">
        <v>8792.4502938323021</v>
      </c>
      <c r="AO11" s="251">
        <f t="shared" si="14"/>
        <v>81679.642313546414</v>
      </c>
      <c r="AP11" s="249"/>
      <c r="AQ11" s="250">
        <f t="shared" si="39"/>
        <v>0</v>
      </c>
      <c r="AR11" s="261">
        <v>0</v>
      </c>
      <c r="AS11" s="261"/>
      <c r="AT11" s="251">
        <f t="shared" si="15"/>
        <v>0</v>
      </c>
      <c r="AU11" s="249"/>
      <c r="AV11" s="250">
        <f t="shared" si="40"/>
        <v>0</v>
      </c>
      <c r="AW11" s="261">
        <v>0</v>
      </c>
      <c r="AX11" s="261"/>
      <c r="AY11" s="251">
        <f t="shared" si="16"/>
        <v>0</v>
      </c>
      <c r="AZ11" s="249">
        <v>8.6400000000000005E-2</v>
      </c>
      <c r="BA11" s="250">
        <f t="shared" si="41"/>
        <v>6.1106910219281411E-5</v>
      </c>
      <c r="BB11" s="261">
        <v>84423.495370370365</v>
      </c>
      <c r="BC11" s="261">
        <v>2379.6296296296296</v>
      </c>
      <c r="BD11" s="251">
        <f t="shared" si="17"/>
        <v>82043.86574074073</v>
      </c>
      <c r="BE11" s="249">
        <v>-0.15911999999999998</v>
      </c>
      <c r="BF11" s="250">
        <f t="shared" si="42"/>
        <v>-9.9720138219638196E-5</v>
      </c>
      <c r="BG11" s="261">
        <v>85404.537456008024</v>
      </c>
      <c r="BH11" s="261">
        <v>5770.1734539969857</v>
      </c>
      <c r="BI11" s="251">
        <f t="shared" si="18"/>
        <v>79634.364002011032</v>
      </c>
      <c r="BJ11" s="94"/>
      <c r="BK11" s="249">
        <v>0</v>
      </c>
      <c r="BL11" s="250">
        <f t="shared" si="43"/>
        <v>0</v>
      </c>
      <c r="BM11" s="261">
        <v>0</v>
      </c>
      <c r="BN11" s="261"/>
      <c r="BO11" s="251">
        <f t="shared" si="19"/>
        <v>0</v>
      </c>
      <c r="BP11" s="249"/>
      <c r="BQ11" s="250">
        <f t="shared" si="44"/>
        <v>0</v>
      </c>
      <c r="BR11" s="261"/>
      <c r="BS11" s="261"/>
      <c r="BT11" s="251">
        <f t="shared" si="20"/>
        <v>0</v>
      </c>
      <c r="BU11" s="249"/>
      <c r="BV11" s="250">
        <f t="shared" si="45"/>
        <v>0</v>
      </c>
      <c r="BW11" s="261"/>
      <c r="BX11" s="261"/>
      <c r="BY11" s="251">
        <f t="shared" si="21"/>
        <v>0</v>
      </c>
      <c r="BZ11" s="249">
        <f>'NR '!AY11</f>
        <v>0</v>
      </c>
      <c r="CA11" s="250">
        <f t="shared" si="46"/>
        <v>0</v>
      </c>
      <c r="CB11" s="261">
        <f>'NR '!BA11</f>
        <v>0</v>
      </c>
      <c r="CC11" s="261"/>
      <c r="CD11" s="251">
        <f t="shared" si="22"/>
        <v>0</v>
      </c>
      <c r="CE11" s="249">
        <f>'NR '!BB11</f>
        <v>-2.0160000000000001E-2</v>
      </c>
      <c r="CF11" s="250">
        <f t="shared" si="47"/>
        <v>-1.1797999898654284E-5</v>
      </c>
      <c r="CG11" s="261">
        <f>'NR '!BD11</f>
        <v>112564.48412698413</v>
      </c>
      <c r="CH11" s="261"/>
      <c r="CI11" s="251">
        <f t="shared" si="23"/>
        <v>112564.48412698413</v>
      </c>
      <c r="CJ11" s="249">
        <f>'NR '!BE11</f>
        <v>0</v>
      </c>
      <c r="CK11" s="250">
        <f t="shared" si="0"/>
        <v>0</v>
      </c>
      <c r="CL11" s="261">
        <f>'NR '!BG11</f>
        <v>0</v>
      </c>
      <c r="CM11" s="261"/>
      <c r="CN11" s="251">
        <f t="shared" si="24"/>
        <v>0</v>
      </c>
      <c r="CO11" s="249">
        <f>'NR '!BH11</f>
        <v>-1.464E-2</v>
      </c>
      <c r="CP11" s="250">
        <f t="shared" si="1"/>
        <v>-1.4779251059403698E-5</v>
      </c>
      <c r="CQ11" s="261">
        <f>'NR '!BJ11</f>
        <v>84423.497267759565</v>
      </c>
      <c r="CR11" s="261"/>
      <c r="CS11" s="251">
        <f t="shared" si="25"/>
        <v>84423.497267759565</v>
      </c>
      <c r="CT11" s="249">
        <v>-2.6400000000000009E-3</v>
      </c>
      <c r="CU11" s="250">
        <f t="shared" si="2"/>
        <v>-2.4174877974642459E-6</v>
      </c>
      <c r="CV11" s="261">
        <v>82886.363636363589</v>
      </c>
      <c r="CW11" s="261">
        <v>0</v>
      </c>
      <c r="CX11" s="251">
        <f t="shared" si="26"/>
        <v>82886.363636363589</v>
      </c>
      <c r="CY11" s="249">
        <v>0</v>
      </c>
      <c r="CZ11" s="250">
        <f t="shared" si="3"/>
        <v>0</v>
      </c>
      <c r="DA11" s="261">
        <v>0</v>
      </c>
      <c r="DB11" s="261">
        <v>0</v>
      </c>
      <c r="DC11" s="251">
        <f t="shared" si="27"/>
        <v>0</v>
      </c>
      <c r="DD11" s="249">
        <f>'NR '!BQ11</f>
        <v>0</v>
      </c>
      <c r="DE11" s="250">
        <f t="shared" si="4"/>
        <v>0</v>
      </c>
      <c r="DF11" s="261">
        <f>'NR '!BS11</f>
        <v>0</v>
      </c>
      <c r="DG11" s="261"/>
      <c r="DH11" s="251">
        <f t="shared" si="28"/>
        <v>0</v>
      </c>
      <c r="DI11" s="373">
        <f>'NR '!BT11</f>
        <v>0</v>
      </c>
      <c r="DJ11" s="250">
        <f t="shared" si="5"/>
        <v>0</v>
      </c>
      <c r="DK11" s="261">
        <f>'NR '!BV11</f>
        <v>0</v>
      </c>
      <c r="DL11" s="261"/>
      <c r="DM11" s="251">
        <f t="shared" si="29"/>
        <v>0</v>
      </c>
      <c r="DN11" s="249"/>
      <c r="DO11" s="250">
        <f t="shared" si="6"/>
        <v>0</v>
      </c>
      <c r="DP11" s="261"/>
      <c r="DQ11" s="261"/>
      <c r="DR11" s="251">
        <f t="shared" si="30"/>
        <v>0</v>
      </c>
    </row>
    <row r="12" spans="1:122">
      <c r="A12" s="103" t="s">
        <v>128</v>
      </c>
      <c r="B12" s="249">
        <v>47.059199999999898</v>
      </c>
      <c r="C12" s="250">
        <f t="shared" si="31"/>
        <v>3.7631728382137665E-2</v>
      </c>
      <c r="D12" s="261">
        <v>92439.363559856793</v>
      </c>
      <c r="E12" s="261">
        <v>18218.6026884436</v>
      </c>
      <c r="F12" s="251">
        <f t="shared" si="7"/>
        <v>74220.760871413193</v>
      </c>
      <c r="G12" s="249">
        <v>43.76159999999993</v>
      </c>
      <c r="H12" s="250">
        <f t="shared" si="32"/>
        <v>3.2381295813941002E-2</v>
      </c>
      <c r="I12" s="261">
        <v>92297.320760497649</v>
      </c>
      <c r="J12" s="261">
        <v>18257.882303037</v>
      </c>
      <c r="K12" s="251">
        <f t="shared" si="8"/>
        <v>74039.438457460652</v>
      </c>
      <c r="L12" s="249">
        <v>63.763199999999934</v>
      </c>
      <c r="M12" s="250">
        <f t="shared" si="33"/>
        <v>4.260313788915767E-2</v>
      </c>
      <c r="N12" s="261">
        <v>92275.135117111611</v>
      </c>
      <c r="O12" s="261">
        <v>18186.328250454942</v>
      </c>
      <c r="P12" s="251">
        <f t="shared" si="9"/>
        <v>74088.806866656669</v>
      </c>
      <c r="Q12" s="249">
        <v>60.134399999999964</v>
      </c>
      <c r="R12" s="250">
        <f t="shared" si="34"/>
        <v>4.2551065391037181E-2</v>
      </c>
      <c r="S12" s="261">
        <v>90338.522681191112</v>
      </c>
      <c r="T12" s="261">
        <v>15608.677700614227</v>
      </c>
      <c r="U12" s="251">
        <f t="shared" si="10"/>
        <v>74729.844980576891</v>
      </c>
      <c r="V12" s="249">
        <v>54.777599999999943</v>
      </c>
      <c r="W12" s="250">
        <f t="shared" si="35"/>
        <v>3.740506826615829E-2</v>
      </c>
      <c r="X12" s="261">
        <v>90374.197866135946</v>
      </c>
      <c r="Y12" s="261">
        <v>14771.437613770042</v>
      </c>
      <c r="Z12" s="251">
        <f t="shared" si="11"/>
        <v>75602.760252365901</v>
      </c>
      <c r="AA12" s="249">
        <v>78.998399999999833</v>
      </c>
      <c r="AB12" s="250">
        <f t="shared" si="36"/>
        <v>5.4498246152418613E-2</v>
      </c>
      <c r="AC12" s="261">
        <v>90927.170588396097</v>
      </c>
      <c r="AD12" s="261">
        <v>14518.836115798906</v>
      </c>
      <c r="AE12" s="251">
        <f t="shared" si="12"/>
        <v>76408.334472597198</v>
      </c>
      <c r="AF12" s="249">
        <v>61.761599999999937</v>
      </c>
      <c r="AG12" s="250">
        <f t="shared" si="37"/>
        <v>4.13474177181428E-2</v>
      </c>
      <c r="AH12" s="261">
        <v>90479.777781373312</v>
      </c>
      <c r="AI12" s="261">
        <v>11820.234958648371</v>
      </c>
      <c r="AJ12" s="251">
        <f t="shared" si="13"/>
        <v>78659.542822724936</v>
      </c>
      <c r="AK12" s="249">
        <v>39.369599999999977</v>
      </c>
      <c r="AL12" s="250">
        <f t="shared" si="38"/>
        <v>2.9833532878527923E-2</v>
      </c>
      <c r="AM12" s="261">
        <v>90537.31496397662</v>
      </c>
      <c r="AN12" s="261">
        <v>8879.3496811186196</v>
      </c>
      <c r="AO12" s="251">
        <f t="shared" si="14"/>
        <v>81657.965282858</v>
      </c>
      <c r="AP12" s="249">
        <v>41.630399999999895</v>
      </c>
      <c r="AQ12" s="250">
        <f t="shared" si="39"/>
        <v>3.6781879122187E-2</v>
      </c>
      <c r="AR12" s="261">
        <v>90131.018198240155</v>
      </c>
      <c r="AS12" s="261">
        <v>8492.3601502748061</v>
      </c>
      <c r="AT12" s="251">
        <f t="shared" si="15"/>
        <v>81638.658047965349</v>
      </c>
      <c r="AU12" s="311">
        <v>90.230399999999719</v>
      </c>
      <c r="AV12" s="312">
        <f t="shared" si="40"/>
        <v>6.759732175998602E-2</v>
      </c>
      <c r="AW12" s="284">
        <v>90404.629814342465</v>
      </c>
      <c r="AX12" s="284">
        <v>17836.431513104315</v>
      </c>
      <c r="AY12" s="251">
        <f t="shared" si="16"/>
        <v>72568.198301238153</v>
      </c>
      <c r="AZ12" s="311">
        <v>68.428799999999882</v>
      </c>
      <c r="BA12" s="312">
        <f t="shared" si="41"/>
        <v>4.8396672893670785E-2</v>
      </c>
      <c r="BB12" s="284">
        <v>90254.058963477713</v>
      </c>
      <c r="BC12" s="284">
        <v>17830.375368266054</v>
      </c>
      <c r="BD12" s="251">
        <f t="shared" si="17"/>
        <v>72423.683595211653</v>
      </c>
      <c r="BE12" s="311">
        <v>78.304499999999777</v>
      </c>
      <c r="BF12" s="312">
        <f t="shared" si="42"/>
        <v>4.9073250145925326E-2</v>
      </c>
      <c r="BG12" s="284">
        <v>90312.351652842786</v>
      </c>
      <c r="BH12" s="284">
        <v>17313.620928554556</v>
      </c>
      <c r="BI12" s="251">
        <f t="shared" si="18"/>
        <v>72998.730724288238</v>
      </c>
      <c r="BJ12" s="94"/>
      <c r="BK12" s="249">
        <v>104.0255999999998</v>
      </c>
      <c r="BL12" s="250">
        <f t="shared" si="43"/>
        <v>5.2582186643449033E-2</v>
      </c>
      <c r="BM12" s="261">
        <v>90402.436707887813</v>
      </c>
      <c r="BN12" s="261">
        <v>17266.589474129454</v>
      </c>
      <c r="BO12" s="251">
        <f t="shared" si="19"/>
        <v>73135.847233758366</v>
      </c>
      <c r="BP12" s="249">
        <v>104.54399999999954</v>
      </c>
      <c r="BQ12" s="250">
        <f t="shared" si="44"/>
        <v>5.0877620558805396E-2</v>
      </c>
      <c r="BR12" s="261">
        <v>90209.062500000771</v>
      </c>
      <c r="BS12" s="261">
        <v>17040.626530456146</v>
      </c>
      <c r="BT12" s="251">
        <f t="shared" si="20"/>
        <v>73168.435969544633</v>
      </c>
      <c r="BU12" s="249">
        <v>114.76799999999953</v>
      </c>
      <c r="BV12" s="250">
        <f t="shared" si="45"/>
        <v>5.4316370590339454E-2</v>
      </c>
      <c r="BW12" s="261">
        <v>90211.346891120615</v>
      </c>
      <c r="BX12" s="261">
        <v>17133.677331660503</v>
      </c>
      <c r="BY12" s="251">
        <f t="shared" si="21"/>
        <v>73077.669559460104</v>
      </c>
      <c r="BZ12" s="249">
        <f>'NR '!AY12</f>
        <v>83.001599999999854</v>
      </c>
      <c r="CA12" s="250">
        <f t="shared" si="46"/>
        <v>5.4315488971061018E-2</v>
      </c>
      <c r="CB12" s="261">
        <f>'NR '!BA12</f>
        <v>90186.284360783742</v>
      </c>
      <c r="CC12" s="261">
        <v>16432.26889602124</v>
      </c>
      <c r="CD12" s="251">
        <f t="shared" si="22"/>
        <v>73754.015464762502</v>
      </c>
      <c r="CE12" s="249">
        <f>'NR '!BB12</f>
        <v>104.44379999999957</v>
      </c>
      <c r="CF12" s="250">
        <f t="shared" si="47"/>
        <v>6.1122417748763057E-2</v>
      </c>
      <c r="CG12" s="261">
        <f>'NR '!BD12</f>
        <v>90191.575277805634</v>
      </c>
      <c r="CH12" s="261">
        <v>17089.802937082008</v>
      </c>
      <c r="CI12" s="251">
        <f t="shared" si="23"/>
        <v>73101.772340723634</v>
      </c>
      <c r="CJ12" s="249">
        <f>'NR '!BE12</f>
        <v>91.209599999999526</v>
      </c>
      <c r="CK12" s="250">
        <f t="shared" si="0"/>
        <v>5.8217192942689296E-2</v>
      </c>
      <c r="CL12" s="261">
        <f>'NR '!BG12</f>
        <v>90330.944549697218</v>
      </c>
      <c r="CM12" s="261">
        <v>16593.160478721624</v>
      </c>
      <c r="CN12" s="251">
        <f t="shared" si="24"/>
        <v>73737.784070975598</v>
      </c>
      <c r="CO12" s="249">
        <f>'NR '!BH12</f>
        <v>102.36960000000002</v>
      </c>
      <c r="CP12" s="250">
        <f t="shared" si="1"/>
        <v>0.10334330732586974</v>
      </c>
      <c r="CQ12" s="261">
        <f>'NR '!BJ12</f>
        <v>90309.58927259699</v>
      </c>
      <c r="CR12" s="261">
        <v>13414.963133586516</v>
      </c>
      <c r="CS12" s="251">
        <f t="shared" si="25"/>
        <v>76894.626139010477</v>
      </c>
      <c r="CT12" s="249">
        <v>54.18719999999999</v>
      </c>
      <c r="CU12" s="250">
        <f t="shared" si="2"/>
        <v>4.9620035901043379E-2</v>
      </c>
      <c r="CV12" s="261">
        <v>90204.726762039863</v>
      </c>
      <c r="CW12" s="261">
        <v>12942.245954764216</v>
      </c>
      <c r="CX12" s="251">
        <f t="shared" si="26"/>
        <v>77262.480807275642</v>
      </c>
      <c r="CY12" s="249">
        <v>111.06719999999967</v>
      </c>
      <c r="CZ12" s="250">
        <f t="shared" si="3"/>
        <v>8.0233505251936302E-2</v>
      </c>
      <c r="DA12" s="261">
        <v>90284.376485587782</v>
      </c>
      <c r="DB12" s="261">
        <v>13157.947800970975</v>
      </c>
      <c r="DC12" s="251">
        <f t="shared" si="27"/>
        <v>77126.428684616811</v>
      </c>
      <c r="DD12" s="249">
        <f>'NR '!BQ12</f>
        <v>42.393599999999886</v>
      </c>
      <c r="DE12" s="250">
        <f t="shared" si="4"/>
        <v>3.429774776235716E-2</v>
      </c>
      <c r="DF12" s="261">
        <f>'NR '!BS12</f>
        <v>90117.194104771086</v>
      </c>
      <c r="DG12" s="261">
        <v>7433.02880623493</v>
      </c>
      <c r="DH12" s="251">
        <f t="shared" si="28"/>
        <v>82684.165298536158</v>
      </c>
      <c r="DI12" s="373">
        <f>'NR '!BT12</f>
        <v>44.899199999999858</v>
      </c>
      <c r="DJ12" s="250">
        <f t="shared" si="5"/>
        <v>3.2608227573519784E-2</v>
      </c>
      <c r="DK12" s="261">
        <f>'NR '!BV12</f>
        <v>90194.627075761164</v>
      </c>
      <c r="DL12" s="261">
        <v>2930.8508837574027</v>
      </c>
      <c r="DM12" s="251">
        <f t="shared" si="29"/>
        <v>87263.776192003759</v>
      </c>
      <c r="DN12" s="249">
        <v>51.695999999999927</v>
      </c>
      <c r="DO12" s="250">
        <f t="shared" si="6"/>
        <v>3.531346381835828E-2</v>
      </c>
      <c r="DP12" s="261">
        <v>90607.205586505937</v>
      </c>
      <c r="DQ12" s="261">
        <v>11584.651810584977</v>
      </c>
      <c r="DR12" s="251">
        <f t="shared" si="30"/>
        <v>79022.553775920955</v>
      </c>
    </row>
    <row r="13" spans="1:122">
      <c r="A13" s="103" t="s">
        <v>129</v>
      </c>
      <c r="B13" s="249">
        <v>35.404799999999938</v>
      </c>
      <c r="C13" s="250">
        <f t="shared" si="31"/>
        <v>2.8312079615121125E-2</v>
      </c>
      <c r="D13" s="261">
        <v>146666.13061541138</v>
      </c>
      <c r="E13" s="261">
        <v>63705.369645147075</v>
      </c>
      <c r="F13" s="251">
        <f t="shared" si="7"/>
        <v>82960.760970264309</v>
      </c>
      <c r="G13" s="249">
        <v>16.439200000000007</v>
      </c>
      <c r="H13" s="250">
        <f t="shared" si="32"/>
        <v>1.2164148434804485E-2</v>
      </c>
      <c r="I13" s="261">
        <v>86510.355259164644</v>
      </c>
      <c r="J13" s="261">
        <v>3538.3785206372368</v>
      </c>
      <c r="K13" s="251">
        <f t="shared" si="8"/>
        <v>82971.976738527403</v>
      </c>
      <c r="L13" s="249">
        <v>9.5096000000000167</v>
      </c>
      <c r="M13" s="250">
        <f t="shared" si="33"/>
        <v>6.3538028215449488E-3</v>
      </c>
      <c r="N13" s="261">
        <v>119355.84275415825</v>
      </c>
      <c r="O13" s="261">
        <v>35864.157509773519</v>
      </c>
      <c r="P13" s="251">
        <f t="shared" si="9"/>
        <v>83491.685244384731</v>
      </c>
      <c r="Q13" s="249">
        <v>30.103999999999935</v>
      </c>
      <c r="R13" s="250">
        <f t="shared" si="34"/>
        <v>2.1301572353457945E-2</v>
      </c>
      <c r="S13" s="261">
        <v>115997.58975227571</v>
      </c>
      <c r="T13" s="261">
        <v>32616.396555358249</v>
      </c>
      <c r="U13" s="251">
        <f t="shared" si="10"/>
        <v>83381.193196917462</v>
      </c>
      <c r="V13" s="249">
        <v>43.959791999999972</v>
      </c>
      <c r="W13" s="250">
        <f t="shared" si="35"/>
        <v>3.0018091714973272E-2</v>
      </c>
      <c r="X13" s="261">
        <v>116420.81884302576</v>
      </c>
      <c r="Y13" s="261">
        <v>31799.416858229997</v>
      </c>
      <c r="Z13" s="251">
        <f t="shared" si="11"/>
        <v>84621.401984795753</v>
      </c>
      <c r="AA13" s="249">
        <v>12.604142400000015</v>
      </c>
      <c r="AB13" s="250">
        <f t="shared" si="36"/>
        <v>8.6951590798717247E-3</v>
      </c>
      <c r="AC13" s="261">
        <v>84561.643905021236</v>
      </c>
      <c r="AD13" s="261">
        <v>-804.3814740635205</v>
      </c>
      <c r="AE13" s="251">
        <f t="shared" si="12"/>
        <v>85366.025379084749</v>
      </c>
      <c r="AF13" s="249">
        <v>19.635999999999989</v>
      </c>
      <c r="AG13" s="250">
        <f t="shared" si="37"/>
        <v>1.3145674566615055E-2</v>
      </c>
      <c r="AH13" s="261">
        <v>84349.481763233387</v>
      </c>
      <c r="AI13" s="261">
        <v>-1330.5854602337315</v>
      </c>
      <c r="AJ13" s="251">
        <f t="shared" si="13"/>
        <v>85680.067223467122</v>
      </c>
      <c r="AK13" s="249">
        <v>12.438400000000021</v>
      </c>
      <c r="AL13" s="250">
        <f t="shared" si="38"/>
        <v>9.4255825651335685E-3</v>
      </c>
      <c r="AM13" s="261">
        <v>84329.913366894529</v>
      </c>
      <c r="AN13" s="261">
        <v>-1974.7021785130642</v>
      </c>
      <c r="AO13" s="251">
        <f t="shared" si="14"/>
        <v>86304.615545407592</v>
      </c>
      <c r="AP13" s="249">
        <v>20.998400000000043</v>
      </c>
      <c r="AQ13" s="250">
        <f t="shared" si="39"/>
        <v>1.85528030131667E-2</v>
      </c>
      <c r="AR13" s="261">
        <v>84549.700929594532</v>
      </c>
      <c r="AS13" s="261">
        <v>-1385.4960377933523</v>
      </c>
      <c r="AT13" s="251">
        <f t="shared" si="15"/>
        <v>85935.196967387878</v>
      </c>
      <c r="AU13" s="249">
        <v>58.204799999999956</v>
      </c>
      <c r="AV13" s="250">
        <f t="shared" si="40"/>
        <v>4.3604911355548059E-2</v>
      </c>
      <c r="AW13" s="261">
        <v>84456.374560173994</v>
      </c>
      <c r="AX13" s="261">
        <v>244.15202869866371</v>
      </c>
      <c r="AY13" s="251">
        <f t="shared" si="16"/>
        <v>84212.22253147533</v>
      </c>
      <c r="AZ13" s="249">
        <v>6.2640000000000029</v>
      </c>
      <c r="BA13" s="250">
        <f t="shared" si="41"/>
        <v>4.4302509908979038E-3</v>
      </c>
      <c r="BB13" s="261">
        <v>84006.580459770077</v>
      </c>
      <c r="BC13" s="261">
        <v>1063.6893358876123</v>
      </c>
      <c r="BD13" s="251">
        <f t="shared" si="17"/>
        <v>82942.891123882466</v>
      </c>
      <c r="BE13" s="249">
        <v>8.0380000000000162</v>
      </c>
      <c r="BF13" s="250">
        <f t="shared" si="42"/>
        <v>5.0373961224827396E-3</v>
      </c>
      <c r="BG13" s="261">
        <v>83958.457327693235</v>
      </c>
      <c r="BH13" s="261">
        <v>1157.892510574768</v>
      </c>
      <c r="BI13" s="251">
        <f t="shared" si="18"/>
        <v>82800.564817118473</v>
      </c>
      <c r="BJ13" s="94"/>
      <c r="BK13" s="249">
        <v>17.18</v>
      </c>
      <c r="BL13" s="250">
        <f t="shared" si="43"/>
        <v>8.6840351464875579E-3</v>
      </c>
      <c r="BM13" s="261">
        <v>84178.525029103417</v>
      </c>
      <c r="BN13" s="261">
        <v>2787.2380675203694</v>
      </c>
      <c r="BO13" s="251">
        <f t="shared" si="19"/>
        <v>81391.286961583042</v>
      </c>
      <c r="BP13" s="249">
        <v>7.5376000000000065</v>
      </c>
      <c r="BQ13" s="250">
        <f t="shared" si="44"/>
        <v>3.6682655410549968E-3</v>
      </c>
      <c r="BR13" s="261">
        <v>84076.139620038142</v>
      </c>
      <c r="BS13" s="261">
        <v>-3258.5451602632065</v>
      </c>
      <c r="BT13" s="251">
        <f t="shared" si="20"/>
        <v>87334.684780301352</v>
      </c>
      <c r="BU13" s="249">
        <v>15.76800000000001</v>
      </c>
      <c r="BV13" s="250">
        <f t="shared" si="45"/>
        <v>7.4625377410818044E-3</v>
      </c>
      <c r="BW13" s="261">
        <v>84115.592338914183</v>
      </c>
      <c r="BX13" s="261">
        <v>1621.4967021816333</v>
      </c>
      <c r="BY13" s="251">
        <f t="shared" si="21"/>
        <v>82494.095636732556</v>
      </c>
      <c r="BZ13" s="249">
        <f>'NR '!AY13</f>
        <v>10.957600000000022</v>
      </c>
      <c r="CA13" s="250">
        <f t="shared" si="46"/>
        <v>7.1705533622159149E-3</v>
      </c>
      <c r="CB13" s="261">
        <f>'NR '!BA13</f>
        <v>84286.089107103529</v>
      </c>
      <c r="CC13" s="261">
        <v>824.08282835657371</v>
      </c>
      <c r="CD13" s="251">
        <f t="shared" si="22"/>
        <v>83462.006278746951</v>
      </c>
      <c r="CE13" s="249">
        <f>'NR '!BB13</f>
        <v>43.555200000000021</v>
      </c>
      <c r="CF13" s="250">
        <f t="shared" si="47"/>
        <v>2.5489297876283099E-2</v>
      </c>
      <c r="CG13" s="261">
        <f>'NR '!BD13</f>
        <v>84431.978500844925</v>
      </c>
      <c r="CH13" s="261">
        <v>613.00051428991014</v>
      </c>
      <c r="CI13" s="251">
        <f t="shared" si="23"/>
        <v>83818.977986555008</v>
      </c>
      <c r="CJ13" s="249">
        <f>'NR '!BE13</f>
        <v>16.193600000000004</v>
      </c>
      <c r="CK13" s="250">
        <f t="shared" si="0"/>
        <v>1.0336038483194077E-2</v>
      </c>
      <c r="CL13" s="261">
        <f>'NR '!BG13</f>
        <v>84029.335663471866</v>
      </c>
      <c r="CM13" s="261">
        <v>-312.93165201067023</v>
      </c>
      <c r="CN13" s="251">
        <f t="shared" si="24"/>
        <v>84342.267315482532</v>
      </c>
      <c r="CO13" s="249">
        <f>'NR '!BH13</f>
        <v>14.972800000000015</v>
      </c>
      <c r="CP13" s="250">
        <f t="shared" si="1"/>
        <v>1.5115216547967207E-2</v>
      </c>
      <c r="CQ13" s="261">
        <f>'NR '!BJ13</f>
        <v>83802.111161572946</v>
      </c>
      <c r="CR13" s="261">
        <v>1266.4231139132291</v>
      </c>
      <c r="CS13" s="251">
        <f t="shared" si="25"/>
        <v>82535.688047659714</v>
      </c>
      <c r="CT13" s="249">
        <v>9.9176096000000218</v>
      </c>
      <c r="CU13" s="250">
        <f t="shared" si="2"/>
        <v>9.0817046166720861E-3</v>
      </c>
      <c r="CV13" s="261">
        <v>83688.37486807286</v>
      </c>
      <c r="CW13" s="261">
        <v>1116.9536255994574</v>
      </c>
      <c r="CX13" s="251">
        <f t="shared" si="26"/>
        <v>82571.4212424734</v>
      </c>
      <c r="CY13" s="249">
        <v>16.84800000000002</v>
      </c>
      <c r="CZ13" s="250">
        <f t="shared" si="3"/>
        <v>1.2170776759336945E-2</v>
      </c>
      <c r="DA13" s="261">
        <v>83752.381885090144</v>
      </c>
      <c r="DB13" s="261">
        <v>1034.2705365622037</v>
      </c>
      <c r="DC13" s="251">
        <f t="shared" si="27"/>
        <v>82718.111348527935</v>
      </c>
      <c r="DD13" s="249">
        <f>'NR '!BQ13</f>
        <v>25.772863999999945</v>
      </c>
      <c r="DE13" s="250">
        <f t="shared" si="4"/>
        <v>2.0851052719880733E-2</v>
      </c>
      <c r="DF13" s="261">
        <f>'NR '!BS13</f>
        <v>84011.486267106608</v>
      </c>
      <c r="DG13" s="261">
        <v>-1513.034407041456</v>
      </c>
      <c r="DH13" s="251">
        <f t="shared" si="28"/>
        <v>85524.520674148065</v>
      </c>
      <c r="DI13" s="373">
        <f>'NR '!BT13</f>
        <v>21.304800000000011</v>
      </c>
      <c r="DJ13" s="250">
        <f t="shared" si="5"/>
        <v>1.5472698106165072E-2</v>
      </c>
      <c r="DK13" s="261">
        <f>'NR '!BV13</f>
        <v>84119.520953024592</v>
      </c>
      <c r="DL13" s="261">
        <v>2414.8844391874131</v>
      </c>
      <c r="DM13" s="251">
        <f t="shared" si="29"/>
        <v>81704.636513837177</v>
      </c>
      <c r="DN13" s="249">
        <v>17.297587200000006</v>
      </c>
      <c r="DO13" s="250">
        <f t="shared" si="6"/>
        <v>1.1815957128831987E-2</v>
      </c>
      <c r="DP13" s="261">
        <v>84594.201669930029</v>
      </c>
      <c r="DQ13" s="261">
        <v>1515.791173464931</v>
      </c>
      <c r="DR13" s="251">
        <f t="shared" si="30"/>
        <v>83078.410496465105</v>
      </c>
    </row>
    <row r="14" spans="1:122">
      <c r="A14" s="103" t="s">
        <v>130</v>
      </c>
      <c r="B14" s="249">
        <v>40.059629999999956</v>
      </c>
      <c r="C14" s="250">
        <f t="shared" si="31"/>
        <v>3.2034397423860481E-2</v>
      </c>
      <c r="D14" s="261">
        <v>106018.28566692308</v>
      </c>
      <c r="E14" s="261">
        <v>19373.971927629678</v>
      </c>
      <c r="F14" s="251">
        <f t="shared" si="7"/>
        <v>86644.3137392934</v>
      </c>
      <c r="G14" s="249">
        <v>35.461334999999977</v>
      </c>
      <c r="H14" s="250">
        <f t="shared" si="32"/>
        <v>2.6239533714312563E-2</v>
      </c>
      <c r="I14" s="261">
        <v>105937.19956270485</v>
      </c>
      <c r="J14" s="261">
        <v>20687.5776858069</v>
      </c>
      <c r="K14" s="251">
        <f t="shared" si="8"/>
        <v>85249.621876897945</v>
      </c>
      <c r="L14" s="249">
        <v>35.489999999999952</v>
      </c>
      <c r="M14" s="250">
        <f t="shared" si="33"/>
        <v>2.3712507585663914E-2</v>
      </c>
      <c r="N14" s="261">
        <v>105952.3312838852</v>
      </c>
      <c r="O14" s="261">
        <v>20398.17123880182</v>
      </c>
      <c r="P14" s="251">
        <f t="shared" si="9"/>
        <v>85554.160045083379</v>
      </c>
      <c r="Q14" s="249">
        <v>26.970839999999992</v>
      </c>
      <c r="R14" s="250">
        <f t="shared" si="34"/>
        <v>1.908455021570352E-2</v>
      </c>
      <c r="S14" s="261">
        <v>103763.9849072067</v>
      </c>
      <c r="T14" s="261">
        <v>17584.435438224453</v>
      </c>
      <c r="U14" s="251">
        <f t="shared" si="10"/>
        <v>86179.549468982252</v>
      </c>
      <c r="V14" s="249">
        <v>30.003479999999989</v>
      </c>
      <c r="W14" s="250">
        <f t="shared" si="35"/>
        <v>2.0487977158953948E-2</v>
      </c>
      <c r="X14" s="261">
        <v>103709.42795012238</v>
      </c>
      <c r="Y14" s="261">
        <v>18676.891724324512</v>
      </c>
      <c r="Z14" s="251">
        <f t="shared" si="11"/>
        <v>85032.53622579787</v>
      </c>
      <c r="AA14" s="249">
        <v>32.069700000000005</v>
      </c>
      <c r="AB14" s="250">
        <f t="shared" si="36"/>
        <v>2.2123769653995814E-2</v>
      </c>
      <c r="AC14" s="261">
        <v>103745.1031489592</v>
      </c>
      <c r="AD14" s="261">
        <v>19398.272651636071</v>
      </c>
      <c r="AE14" s="251">
        <f t="shared" si="12"/>
        <v>84346.830497323128</v>
      </c>
      <c r="AF14" s="249">
        <v>37.248119999999993</v>
      </c>
      <c r="AG14" s="250">
        <f t="shared" si="37"/>
        <v>2.4936426142708586E-2</v>
      </c>
      <c r="AH14" s="261">
        <v>103683.00035570936</v>
      </c>
      <c r="AI14" s="261">
        <v>20566.166002727245</v>
      </c>
      <c r="AJ14" s="251">
        <f t="shared" si="13"/>
        <v>83116.834352982114</v>
      </c>
      <c r="AK14" s="249">
        <v>27.194829999999985</v>
      </c>
      <c r="AL14" s="250">
        <f t="shared" si="38"/>
        <v>2.0607724105171948E-2</v>
      </c>
      <c r="AM14" s="261">
        <v>103795.84103113295</v>
      </c>
      <c r="AN14" s="261">
        <v>19208.753706078751</v>
      </c>
      <c r="AO14" s="251">
        <f t="shared" si="14"/>
        <v>84587.087325054192</v>
      </c>
      <c r="AP14" s="249">
        <v>33.99083999999997</v>
      </c>
      <c r="AQ14" s="250">
        <f t="shared" si="39"/>
        <v>3.003206714664286E-2</v>
      </c>
      <c r="AR14" s="261">
        <v>103740.58893513668</v>
      </c>
      <c r="AS14" s="261">
        <v>20587.027269699742</v>
      </c>
      <c r="AT14" s="251">
        <f t="shared" si="15"/>
        <v>83153.561665436937</v>
      </c>
      <c r="AU14" s="249">
        <v>27.743039999999972</v>
      </c>
      <c r="AV14" s="250">
        <f t="shared" si="40"/>
        <v>2.0784072790103629E-2</v>
      </c>
      <c r="AW14" s="261">
        <v>103816.525514147</v>
      </c>
      <c r="AX14" s="261">
        <v>19506.095582892151</v>
      </c>
      <c r="AY14" s="251">
        <f t="shared" si="16"/>
        <v>84310.429931254854</v>
      </c>
      <c r="AZ14" s="249">
        <v>32.993869999999966</v>
      </c>
      <c r="BA14" s="250">
        <f t="shared" si="41"/>
        <v>2.3335109396720368E-2</v>
      </c>
      <c r="BB14" s="261">
        <v>103763.02961731987</v>
      </c>
      <c r="BC14" s="261">
        <v>19389.493866587956</v>
      </c>
      <c r="BD14" s="251">
        <f t="shared" si="17"/>
        <v>84373.535750731913</v>
      </c>
      <c r="BE14" s="249">
        <v>22.871809999999993</v>
      </c>
      <c r="BF14" s="250">
        <f t="shared" si="42"/>
        <v>1.433371074995791E-2</v>
      </c>
      <c r="BG14" s="261">
        <v>103881.19130055736</v>
      </c>
      <c r="BH14" s="261">
        <v>18330.376126769155</v>
      </c>
      <c r="BI14" s="251">
        <f t="shared" si="18"/>
        <v>85550.8151737882</v>
      </c>
      <c r="BJ14" s="94"/>
      <c r="BK14" s="249">
        <v>46.556639999999987</v>
      </c>
      <c r="BL14" s="250">
        <f t="shared" si="43"/>
        <v>2.3533148897693153E-2</v>
      </c>
      <c r="BM14" s="261">
        <v>103780.5039195267</v>
      </c>
      <c r="BN14" s="261">
        <v>19401.809280051144</v>
      </c>
      <c r="BO14" s="251">
        <f t="shared" si="19"/>
        <v>84378.694639475551</v>
      </c>
      <c r="BP14" s="249">
        <v>42.846569999999964</v>
      </c>
      <c r="BQ14" s="250">
        <f t="shared" si="44"/>
        <v>2.0851809101491259E-2</v>
      </c>
      <c r="BR14" s="261">
        <v>103735.9391895314</v>
      </c>
      <c r="BS14" s="261">
        <v>20069.993000606584</v>
      </c>
      <c r="BT14" s="251">
        <f t="shared" si="20"/>
        <v>83665.94618892482</v>
      </c>
      <c r="BU14" s="249">
        <v>37.599119999999957</v>
      </c>
      <c r="BV14" s="250">
        <f t="shared" si="45"/>
        <v>1.7794574583426131E-2</v>
      </c>
      <c r="BW14" s="261">
        <v>103730.66577090106</v>
      </c>
      <c r="BX14" s="261">
        <v>19724.167214551853</v>
      </c>
      <c r="BY14" s="251">
        <f t="shared" si="21"/>
        <v>84006.498556349208</v>
      </c>
      <c r="BZ14" s="249">
        <f>'NR '!AY14</f>
        <v>20.367684999999991</v>
      </c>
      <c r="CA14" s="250">
        <f t="shared" si="46"/>
        <v>1.3328427042172035E-2</v>
      </c>
      <c r="CB14" s="261">
        <f>'NR '!BA14</f>
        <v>103702.49932675219</v>
      </c>
      <c r="CC14" s="261">
        <v>21713.303696517309</v>
      </c>
      <c r="CD14" s="251">
        <f t="shared" si="22"/>
        <v>81989.195630234884</v>
      </c>
      <c r="CE14" s="249">
        <f>'NR '!BB14</f>
        <v>41.909399999999991</v>
      </c>
      <c r="CF14" s="250">
        <f t="shared" si="47"/>
        <v>2.452614568217568E-2</v>
      </c>
      <c r="CG14" s="261">
        <f>'NR '!BD14</f>
        <v>103755.42193398131</v>
      </c>
      <c r="CH14" s="261">
        <v>21653.26919497774</v>
      </c>
      <c r="CI14" s="251">
        <f t="shared" si="23"/>
        <v>82102.152739003577</v>
      </c>
      <c r="CJ14" s="249">
        <f>'NR '!BE14</f>
        <v>44.675279999999972</v>
      </c>
      <c r="CK14" s="250">
        <f t="shared" si="0"/>
        <v>2.8515303164674332E-2</v>
      </c>
      <c r="CL14" s="261">
        <f>'NR '!BG14</f>
        <v>103679.66781629571</v>
      </c>
      <c r="CM14" s="261">
        <v>22508.933351956628</v>
      </c>
      <c r="CN14" s="251">
        <f t="shared" si="24"/>
        <v>81170.734464339082</v>
      </c>
      <c r="CO14" s="249">
        <f>'NR '!BH14</f>
        <v>20.105279999999979</v>
      </c>
      <c r="CP14" s="250">
        <f t="shared" si="1"/>
        <v>2.0296515077842053E-2</v>
      </c>
      <c r="CQ14" s="261">
        <f>'NR '!BJ14</f>
        <v>103793.44928297443</v>
      </c>
      <c r="CR14" s="261">
        <v>15176.42281032646</v>
      </c>
      <c r="CS14" s="251">
        <f t="shared" si="25"/>
        <v>88617.026472647965</v>
      </c>
      <c r="CT14" s="249">
        <v>16.061755319999985</v>
      </c>
      <c r="CU14" s="250">
        <f t="shared" si="2"/>
        <v>1.4707991474225903E-2</v>
      </c>
      <c r="CV14" s="261">
        <v>103884.65935116733</v>
      </c>
      <c r="CW14" s="261">
        <v>13124.585439146156</v>
      </c>
      <c r="CX14" s="251">
        <f t="shared" si="26"/>
        <v>90760.073912021166</v>
      </c>
      <c r="CY14" s="249">
        <v>55.989959999999989</v>
      </c>
      <c r="CZ14" s="250">
        <f t="shared" si="3"/>
        <v>4.0446421173089046E-2</v>
      </c>
      <c r="DA14" s="261">
        <v>103586.3097598212</v>
      </c>
      <c r="DB14" s="261">
        <v>21319.516391867404</v>
      </c>
      <c r="DC14" s="251">
        <f t="shared" si="27"/>
        <v>82266.793367953796</v>
      </c>
      <c r="DD14" s="249">
        <f>'NR '!BQ14</f>
        <v>14.292719999999992</v>
      </c>
      <c r="DE14" s="250">
        <f t="shared" si="4"/>
        <v>1.1563257317094996E-2</v>
      </c>
      <c r="DF14" s="261">
        <f>'NR '!BS14</f>
        <v>103858.68260205198</v>
      </c>
      <c r="DG14" s="261">
        <v>13276.135683061042</v>
      </c>
      <c r="DH14" s="251">
        <f t="shared" si="28"/>
        <v>90582.546918990935</v>
      </c>
      <c r="DI14" s="373">
        <f>'NR '!BT14</f>
        <v>14.138279999999996</v>
      </c>
      <c r="DJ14" s="250">
        <f t="shared" si="5"/>
        <v>1.0267983655346745E-2</v>
      </c>
      <c r="DK14" s="261">
        <f>'NR '!BV14</f>
        <v>103905.84286065918</v>
      </c>
      <c r="DL14" s="261">
        <v>13264.634736332855</v>
      </c>
      <c r="DM14" s="251">
        <f t="shared" si="29"/>
        <v>90641.208124326324</v>
      </c>
      <c r="DN14" s="249">
        <v>2.14812</v>
      </c>
      <c r="DO14" s="250">
        <f t="shared" si="6"/>
        <v>1.4673777061569927E-3</v>
      </c>
      <c r="DP14" s="261">
        <v>103905.83859374709</v>
      </c>
      <c r="DQ14" s="261">
        <v>12945.249799824962</v>
      </c>
      <c r="DR14" s="251">
        <f t="shared" si="30"/>
        <v>90960.588793922128</v>
      </c>
    </row>
    <row r="15" spans="1:122">
      <c r="A15" t="s">
        <v>260</v>
      </c>
      <c r="B15" s="249"/>
      <c r="C15" s="250"/>
      <c r="D15" s="261"/>
      <c r="E15" s="261"/>
      <c r="F15" s="251"/>
      <c r="G15" s="249"/>
      <c r="H15" s="250"/>
      <c r="I15" s="261"/>
      <c r="J15" s="261"/>
      <c r="K15" s="251"/>
      <c r="L15" s="249"/>
      <c r="M15" s="250"/>
      <c r="N15" s="261"/>
      <c r="O15" s="261"/>
      <c r="P15" s="251"/>
      <c r="Q15" s="249"/>
      <c r="R15" s="250"/>
      <c r="S15" s="261"/>
      <c r="T15" s="261"/>
      <c r="U15" s="251"/>
      <c r="V15" s="249"/>
      <c r="W15" s="250"/>
      <c r="X15" s="261"/>
      <c r="Y15" s="261"/>
      <c r="Z15" s="251"/>
      <c r="AA15" s="249"/>
      <c r="AB15" s="250"/>
      <c r="AC15" s="261"/>
      <c r="AD15" s="261"/>
      <c r="AE15" s="251"/>
      <c r="AF15" s="249"/>
      <c r="AG15" s="250"/>
      <c r="AH15" s="261"/>
      <c r="AI15" s="261"/>
      <c r="AJ15" s="251"/>
      <c r="AK15" s="249"/>
      <c r="AL15" s="250"/>
      <c r="AM15" s="261"/>
      <c r="AN15" s="261"/>
      <c r="AO15" s="251"/>
      <c r="AP15" s="249"/>
      <c r="AQ15" s="250"/>
      <c r="AR15" s="261"/>
      <c r="AS15" s="261"/>
      <c r="AT15" s="251"/>
      <c r="AU15" s="249"/>
      <c r="AV15" s="250"/>
      <c r="AW15" s="261"/>
      <c r="AX15" s="261"/>
      <c r="AY15" s="251"/>
      <c r="AZ15" s="249"/>
      <c r="BA15" s="250"/>
      <c r="BB15" s="261"/>
      <c r="BC15" s="261"/>
      <c r="BD15" s="251"/>
      <c r="BE15" s="249"/>
      <c r="BF15" s="250"/>
      <c r="BG15" s="261"/>
      <c r="BH15" s="261"/>
      <c r="BI15" s="251"/>
      <c r="BJ15" s="94"/>
      <c r="BK15" s="249"/>
      <c r="BL15" s="250"/>
      <c r="BM15" s="261"/>
      <c r="BN15" s="261"/>
      <c r="BO15" s="251"/>
      <c r="BP15" s="249"/>
      <c r="BQ15" s="250"/>
      <c r="BR15" s="261"/>
      <c r="BS15" s="261"/>
      <c r="BT15" s="251"/>
      <c r="BU15" s="249"/>
      <c r="BV15" s="250"/>
      <c r="BW15" s="261"/>
      <c r="BX15" s="261"/>
      <c r="BY15" s="251"/>
      <c r="BZ15" s="249"/>
      <c r="CA15" s="250"/>
      <c r="CB15" s="261"/>
      <c r="CC15" s="261"/>
      <c r="CD15" s="251"/>
      <c r="CE15" s="249"/>
      <c r="CF15" s="250"/>
      <c r="CG15" s="261"/>
      <c r="CH15" s="261"/>
      <c r="CI15" s="251"/>
      <c r="CJ15" s="249"/>
      <c r="CK15" s="250"/>
      <c r="CL15" s="261"/>
      <c r="CM15" s="261"/>
      <c r="CN15" s="251"/>
      <c r="CO15" s="249"/>
      <c r="CP15" s="250"/>
      <c r="CQ15" s="261"/>
      <c r="CR15" s="261"/>
      <c r="CS15" s="251"/>
      <c r="CT15" s="249"/>
      <c r="CU15" s="250"/>
      <c r="CV15" s="261"/>
      <c r="CW15" s="261"/>
      <c r="CX15" s="251"/>
      <c r="CY15" s="249"/>
      <c r="CZ15" s="250"/>
      <c r="DA15" s="261"/>
      <c r="DB15" s="261"/>
      <c r="DC15" s="251"/>
      <c r="DD15" s="249">
        <f>'NR '!BQ15</f>
        <v>8.6399999999999988</v>
      </c>
      <c r="DE15" s="250"/>
      <c r="DF15" s="261">
        <f>'NR '!BS15</f>
        <v>112564.66435185187</v>
      </c>
      <c r="DG15" s="261">
        <v>18137.622685185186</v>
      </c>
      <c r="DH15" s="251">
        <f t="shared" si="28"/>
        <v>94427.041666666686</v>
      </c>
      <c r="DI15" s="373">
        <f>'NR '!BT15</f>
        <v>17.092799999999997</v>
      </c>
      <c r="DJ15" s="250"/>
      <c r="DK15" s="261">
        <f>'NR '!BV15</f>
        <v>112340.15491903025</v>
      </c>
      <c r="DL15" s="261">
        <v>19810.497402415058</v>
      </c>
      <c r="DM15" s="251">
        <f t="shared" si="29"/>
        <v>92529.657516615189</v>
      </c>
      <c r="DN15" s="249">
        <v>36.158399999999993</v>
      </c>
      <c r="DO15" s="250">
        <f t="shared" si="6"/>
        <v>2.4699751433954805E-2</v>
      </c>
      <c r="DP15" s="261">
        <v>112395.80346475515</v>
      </c>
      <c r="DQ15" s="261">
        <v>18964.593842647908</v>
      </c>
      <c r="DR15" s="251">
        <f t="shared" si="30"/>
        <v>93431.209622107242</v>
      </c>
    </row>
    <row r="16" spans="1:122">
      <c r="A16" s="103" t="s">
        <v>131</v>
      </c>
      <c r="B16" s="249">
        <v>51.285000000000053</v>
      </c>
      <c r="C16" s="250">
        <f t="shared" ref="C16:C27" si="48">B16/B$27</f>
        <v>4.1010964701438536E-2</v>
      </c>
      <c r="D16" s="261">
        <v>103743.77075910596</v>
      </c>
      <c r="E16" s="261">
        <v>28259.962823062375</v>
      </c>
      <c r="F16" s="251">
        <f t="shared" si="7"/>
        <v>75483.80793604358</v>
      </c>
      <c r="G16" s="249">
        <v>102.63000000000025</v>
      </c>
      <c r="H16" s="250">
        <f t="shared" ref="H16:H27" si="49">G16/G$27</f>
        <v>7.5940833730594362E-2</v>
      </c>
      <c r="I16" s="261">
        <v>103960.06574178774</v>
      </c>
      <c r="J16" s="261">
        <v>27666.030079700791</v>
      </c>
      <c r="K16" s="251">
        <f t="shared" si="8"/>
        <v>76294.035662086942</v>
      </c>
      <c r="L16" s="249">
        <v>150.13500000000022</v>
      </c>
      <c r="M16" s="250">
        <f t="shared" ref="M16:M27" si="50">L16/L$27</f>
        <v>0.10031212528525392</v>
      </c>
      <c r="N16" s="261">
        <v>104045.98356304754</v>
      </c>
      <c r="O16" s="261">
        <v>27609.844554821615</v>
      </c>
      <c r="P16" s="251">
        <f t="shared" si="9"/>
        <v>76436.139008225931</v>
      </c>
      <c r="Q16" s="249">
        <v>272.20499999999623</v>
      </c>
      <c r="R16" s="250">
        <f t="shared" ref="R16:R27" si="51">Q16/Q$27</f>
        <v>0.19261209482038771</v>
      </c>
      <c r="S16" s="261">
        <v>101529.78574707059</v>
      </c>
      <c r="T16" s="261">
        <v>24685.641223642193</v>
      </c>
      <c r="U16" s="251">
        <f t="shared" si="10"/>
        <v>76844.144523428404</v>
      </c>
      <c r="V16" s="249">
        <v>212.24999999999966</v>
      </c>
      <c r="W16" s="250">
        <f t="shared" ref="W16:W27" si="52">V16/V$27</f>
        <v>0.14493562586699843</v>
      </c>
      <c r="X16" s="261">
        <v>101493.42520933926</v>
      </c>
      <c r="Y16" s="261">
        <v>21229.960709928215</v>
      </c>
      <c r="Z16" s="251">
        <f t="shared" si="11"/>
        <v>80263.464499411042</v>
      </c>
      <c r="AA16" s="249">
        <v>241.10999999999925</v>
      </c>
      <c r="AB16" s="250">
        <f t="shared" ref="AB16:AB27" si="53">AA16/AA$27</f>
        <v>0.16633339573725084</v>
      </c>
      <c r="AC16" s="261">
        <v>101448.97941758393</v>
      </c>
      <c r="AD16" s="261">
        <v>23166.000735654656</v>
      </c>
      <c r="AE16" s="251">
        <f t="shared" si="12"/>
        <v>78282.978681929279</v>
      </c>
      <c r="AF16" s="249">
        <v>281.29499999999933</v>
      </c>
      <c r="AG16" s="250">
        <f t="shared" ref="AG16:AG27" si="54">AF16/AF$27</f>
        <v>0.1883180142195954</v>
      </c>
      <c r="AH16" s="261">
        <v>101348.38841160903</v>
      </c>
      <c r="AI16" s="261">
        <v>24169.793164626648</v>
      </c>
      <c r="AJ16" s="251">
        <f t="shared" si="13"/>
        <v>77178.595246982382</v>
      </c>
      <c r="AK16" s="249">
        <v>214.43999999999951</v>
      </c>
      <c r="AL16" s="250">
        <f t="shared" ref="AL16:AL27" si="55">AK16/AK$27</f>
        <v>0.16249854686030635</v>
      </c>
      <c r="AM16" s="261">
        <v>101471.91203268946</v>
      </c>
      <c r="AN16" s="261">
        <v>22626.178867234885</v>
      </c>
      <c r="AO16" s="251">
        <f t="shared" si="14"/>
        <v>78845.733165454585</v>
      </c>
      <c r="AP16" s="249">
        <v>154.06500000000051</v>
      </c>
      <c r="AQ16" s="250">
        <f t="shared" ref="AQ16:AQ27" si="56">AP16/AP$27</f>
        <v>0.13612168528190394</v>
      </c>
      <c r="AR16" s="261">
        <v>101497.08960503688</v>
      </c>
      <c r="AS16" s="261">
        <v>18629.612436309348</v>
      </c>
      <c r="AT16" s="251">
        <f t="shared" si="15"/>
        <v>82867.477168727521</v>
      </c>
      <c r="AU16" s="249">
        <v>215.15999999999937</v>
      </c>
      <c r="AV16" s="250">
        <f t="shared" ref="AV16:AV27" si="57">AU16/AU$27</f>
        <v>0.16119001744288616</v>
      </c>
      <c r="AW16" s="261">
        <v>101325.28560141267</v>
      </c>
      <c r="AX16" s="261">
        <v>21648.599321435329</v>
      </c>
      <c r="AY16" s="251">
        <f t="shared" si="16"/>
        <v>79676.686279977352</v>
      </c>
      <c r="AZ16" s="249">
        <v>228.92999999999884</v>
      </c>
      <c r="BA16" s="250">
        <f t="shared" ref="BA16:BA27" si="58">AZ16/AZ$27</f>
        <v>0.16191209440393542</v>
      </c>
      <c r="BB16" s="261">
        <v>101382.61036124588</v>
      </c>
      <c r="BC16" s="261">
        <v>21882.851526667644</v>
      </c>
      <c r="BD16" s="251">
        <f t="shared" si="17"/>
        <v>79499.758834578242</v>
      </c>
      <c r="BE16" s="249">
        <v>267.73949999999763</v>
      </c>
      <c r="BF16" s="250">
        <f t="shared" ref="BF16:BF27" si="59">BE16/BE$27</f>
        <v>0.16779172917833451</v>
      </c>
      <c r="BG16" s="261">
        <v>101389.89062129469</v>
      </c>
      <c r="BH16" s="261">
        <v>21992.414641844323</v>
      </c>
      <c r="BI16" s="251">
        <f t="shared" si="18"/>
        <v>79397.475979450363</v>
      </c>
      <c r="BJ16" s="94"/>
      <c r="BK16" s="249">
        <v>276.56999999999499</v>
      </c>
      <c r="BL16" s="250">
        <f t="shared" ref="BL16:BL27" si="60">BK16/BK$27</f>
        <v>0.13979881259976837</v>
      </c>
      <c r="BM16" s="261">
        <v>101427.90501500688</v>
      </c>
      <c r="BN16" s="261">
        <v>22149.718660736944</v>
      </c>
      <c r="BO16" s="251">
        <f t="shared" si="19"/>
        <v>79278.186354269943</v>
      </c>
      <c r="BP16" s="249">
        <v>294.53999999999695</v>
      </c>
      <c r="BQ16" s="250">
        <f t="shared" ref="BQ16:BQ27" si="61">BP16/BP$27</f>
        <v>0.14334150558033412</v>
      </c>
      <c r="BR16" s="261">
        <v>101379.12015346043</v>
      </c>
      <c r="BS16" s="261">
        <v>22201.766008012437</v>
      </c>
      <c r="BT16" s="251">
        <f t="shared" si="20"/>
        <v>79177.354145448</v>
      </c>
      <c r="BU16" s="249">
        <v>304.70999999999447</v>
      </c>
      <c r="BV16" s="250">
        <f t="shared" ref="BV16:BV27" si="62">BU16/BU$27</f>
        <v>0.14421041825754655</v>
      </c>
      <c r="BW16" s="261">
        <v>101429.71300581085</v>
      </c>
      <c r="BX16" s="261">
        <v>21387.577171737437</v>
      </c>
      <c r="BY16" s="251">
        <f t="shared" si="21"/>
        <v>80042.135834073415</v>
      </c>
      <c r="BZ16" s="249">
        <f>'NR '!AY16</f>
        <v>248.26499999999825</v>
      </c>
      <c r="CA16" s="250">
        <f t="shared" ref="CA16:CA27" si="63">BZ16/BZ$27</f>
        <v>0.16246234854991221</v>
      </c>
      <c r="CB16" s="261">
        <f>'NR '!BA16</f>
        <v>101325.84528628699</v>
      </c>
      <c r="CC16" s="261">
        <v>21603.138178962243</v>
      </c>
      <c r="CD16" s="251">
        <f t="shared" si="22"/>
        <v>79722.70710732475</v>
      </c>
      <c r="CE16" s="249">
        <f>'NR '!BB16</f>
        <v>258.64049999999776</v>
      </c>
      <c r="CF16" s="250">
        <f t="shared" ref="CF16:CF27" si="64">CE16/CE$27</f>
        <v>0.15136114051527116</v>
      </c>
      <c r="CG16" s="261">
        <f>'NR '!BD16</f>
        <v>89261.141352572915</v>
      </c>
      <c r="CH16" s="261">
        <v>9481.2936489065905</v>
      </c>
      <c r="CI16" s="251">
        <f t="shared" si="23"/>
        <v>79779.847703666324</v>
      </c>
      <c r="CJ16" s="249">
        <f>'NR '!BE16</f>
        <v>244.42149499999837</v>
      </c>
      <c r="CK16" s="250">
        <f t="shared" ref="CK16:CK27" si="65">CJ16/CJ$27</f>
        <v>0.15600916278281612</v>
      </c>
      <c r="CL16" s="261">
        <f>'NR '!BG16</f>
        <v>90143.761087788516</v>
      </c>
      <c r="CM16" s="261">
        <v>9361.1400666705595</v>
      </c>
      <c r="CN16" s="251">
        <f t="shared" si="24"/>
        <v>80782.621021117957</v>
      </c>
      <c r="CO16" s="249">
        <f>'NR '!BH16</f>
        <v>67.42500000000048</v>
      </c>
      <c r="CP16" s="250">
        <f t="shared" ref="CP16:CP27" si="66">CO16/CO$27</f>
        <v>6.8066325319692728E-2</v>
      </c>
      <c r="CQ16" s="261">
        <f>'NR '!BJ16</f>
        <v>93710.415572857761</v>
      </c>
      <c r="CR16" s="261">
        <v>2018.2154987022464</v>
      </c>
      <c r="CS16" s="251">
        <f t="shared" si="25"/>
        <v>91692.200074155509</v>
      </c>
      <c r="CT16" s="249">
        <v>171.67500000000015</v>
      </c>
      <c r="CU16" s="250">
        <f t="shared" ref="CU16:CU27" si="67">CT16/CT$27</f>
        <v>0.15720538546578586</v>
      </c>
      <c r="CV16" s="261">
        <v>95152.063026066069</v>
      </c>
      <c r="CW16" s="261">
        <v>6206.0195136158363</v>
      </c>
      <c r="CX16" s="251">
        <f t="shared" si="26"/>
        <v>88946.04351245024</v>
      </c>
      <c r="CY16" s="249">
        <v>269.66999999999643</v>
      </c>
      <c r="CZ16" s="250">
        <f t="shared" ref="CZ16:CZ27" si="68">CY16/CY$27</f>
        <v>0.19480611162691994</v>
      </c>
      <c r="DA16" s="261">
        <v>95129.805985093815</v>
      </c>
      <c r="DB16" s="261">
        <v>11314.0256609934</v>
      </c>
      <c r="DC16" s="251">
        <f t="shared" si="27"/>
        <v>83815.780324100415</v>
      </c>
      <c r="DD16" s="249">
        <f>'NR '!BQ16</f>
        <v>246.83999999999824</v>
      </c>
      <c r="DE16" s="250">
        <f t="shared" ref="DE16:DE27" si="69">DD16/DD$27</f>
        <v>0.19970127702436696</v>
      </c>
      <c r="DF16" s="261">
        <f>'NR '!BS16</f>
        <v>108063.23630692009</v>
      </c>
      <c r="DG16" s="261">
        <v>26795.830213903908</v>
      </c>
      <c r="DH16" s="251">
        <f t="shared" ref="DH16:DH26" si="70">DF16-DG16</f>
        <v>81267.40609301618</v>
      </c>
      <c r="DI16" s="373">
        <f>'NR '!BT16</f>
        <v>290.09099999999688</v>
      </c>
      <c r="DJ16" s="250">
        <f t="shared" ref="DJ16:DJ27" si="71">DI16/DI$27</f>
        <v>0.21067977480734301</v>
      </c>
      <c r="DK16" s="261">
        <f>'NR '!BV16</f>
        <v>108064.09009586704</v>
      </c>
      <c r="DL16" s="261">
        <v>24384.694733721743</v>
      </c>
      <c r="DM16" s="251">
        <f t="shared" si="29"/>
        <v>83679.395362145297</v>
      </c>
      <c r="DN16" s="249">
        <v>220.22249999999923</v>
      </c>
      <c r="DO16" s="250">
        <f t="shared" si="6"/>
        <v>0.15043367544371691</v>
      </c>
      <c r="DP16" s="261">
        <v>98734.694229699831</v>
      </c>
      <c r="DQ16" s="261">
        <v>5114.3201534811506</v>
      </c>
      <c r="DR16" s="251">
        <f t="shared" si="30"/>
        <v>93620.374076218679</v>
      </c>
    </row>
    <row r="17" spans="1:122">
      <c r="A17" s="103" t="s">
        <v>132</v>
      </c>
      <c r="B17" s="249">
        <v>16.777799999999964</v>
      </c>
      <c r="C17" s="250">
        <f t="shared" si="48"/>
        <v>1.3416666931223422E-2</v>
      </c>
      <c r="D17" s="261">
        <v>106148.01038007515</v>
      </c>
      <c r="E17" s="261">
        <v>16593.983034415873</v>
      </c>
      <c r="F17" s="251">
        <f t="shared" si="7"/>
        <v>89554.027345659284</v>
      </c>
      <c r="G17" s="249">
        <v>7.7650949999999961</v>
      </c>
      <c r="H17" s="250">
        <f t="shared" si="49"/>
        <v>5.7457642823469544E-3</v>
      </c>
      <c r="I17" s="261">
        <v>106262.40492214652</v>
      </c>
      <c r="J17" s="261">
        <v>15436.031258978086</v>
      </c>
      <c r="K17" s="251">
        <f t="shared" si="8"/>
        <v>90826.373663168444</v>
      </c>
      <c r="L17" s="249">
        <v>1.0615800000000004</v>
      </c>
      <c r="M17" s="250">
        <f t="shared" si="50"/>
        <v>7.0929061151843171E-4</v>
      </c>
      <c r="N17" s="261">
        <v>106372.64572040706</v>
      </c>
      <c r="O17" s="261"/>
      <c r="P17" s="251">
        <f t="shared" si="9"/>
        <v>106372.64572040706</v>
      </c>
      <c r="Q17" s="249">
        <v>0.96876000000000007</v>
      </c>
      <c r="R17" s="250">
        <f t="shared" si="51"/>
        <v>6.8549399525431713E-4</v>
      </c>
      <c r="S17" s="261">
        <v>104067.52177763004</v>
      </c>
      <c r="T17" s="261"/>
      <c r="U17" s="251">
        <f t="shared" si="10"/>
        <v>104067.52177763004</v>
      </c>
      <c r="V17" s="249">
        <v>0.23868</v>
      </c>
      <c r="W17" s="250">
        <f t="shared" si="52"/>
        <v>1.6298344019757474E-4</v>
      </c>
      <c r="X17" s="261">
        <v>103905.8446237266</v>
      </c>
      <c r="Y17" s="261"/>
      <c r="Z17" s="251">
        <f t="shared" si="11"/>
        <v>103905.8446237266</v>
      </c>
      <c r="AA17" s="249">
        <v>0.51948000000000005</v>
      </c>
      <c r="AB17" s="250">
        <f t="shared" si="53"/>
        <v>3.5837116841934115E-4</v>
      </c>
      <c r="AC17" s="261">
        <v>103905.84462372659</v>
      </c>
      <c r="AD17" s="261"/>
      <c r="AE17" s="251">
        <f t="shared" si="12"/>
        <v>103905.84462372659</v>
      </c>
      <c r="AF17" s="249"/>
      <c r="AG17" s="250">
        <f t="shared" si="54"/>
        <v>0</v>
      </c>
      <c r="AH17" s="261">
        <v>0</v>
      </c>
      <c r="AI17" s="261"/>
      <c r="AJ17" s="251">
        <f t="shared" si="13"/>
        <v>0</v>
      </c>
      <c r="AK17" s="249">
        <v>2.8080000000000001E-2</v>
      </c>
      <c r="AL17" s="250">
        <f t="shared" si="55"/>
        <v>2.1278489068445313E-5</v>
      </c>
      <c r="AM17" s="261">
        <v>105871.93895688678</v>
      </c>
      <c r="AN17" s="261"/>
      <c r="AO17" s="251">
        <f t="shared" si="14"/>
        <v>105871.93895688678</v>
      </c>
      <c r="AP17" s="249"/>
      <c r="AQ17" s="250">
        <f t="shared" si="56"/>
        <v>0</v>
      </c>
      <c r="AR17" s="261">
        <v>0</v>
      </c>
      <c r="AS17" s="261"/>
      <c r="AT17" s="251">
        <f t="shared" si="15"/>
        <v>0</v>
      </c>
      <c r="AU17" s="249">
        <v>0.25272</v>
      </c>
      <c r="AV17" s="250">
        <f t="shared" si="57"/>
        <v>1.8932859829041786E-4</v>
      </c>
      <c r="AW17" s="261">
        <v>103905.86419753087</v>
      </c>
      <c r="AX17" s="261"/>
      <c r="AY17" s="251">
        <f t="shared" si="16"/>
        <v>103905.86419753087</v>
      </c>
      <c r="AZ17" s="249">
        <v>0.46332000000000001</v>
      </c>
      <c r="BA17" s="250">
        <f t="shared" si="58"/>
        <v>3.2768580605089652E-4</v>
      </c>
      <c r="BB17" s="261">
        <v>103905.85340585341</v>
      </c>
      <c r="BC17" s="261">
        <v>2928.8612621945954</v>
      </c>
      <c r="BD17" s="251">
        <f t="shared" si="17"/>
        <v>100976.99214365882</v>
      </c>
      <c r="BE17" s="249">
        <v>0.15365999999999999</v>
      </c>
      <c r="BF17" s="250">
        <f t="shared" si="59"/>
        <v>9.6298368770925125E-5</v>
      </c>
      <c r="BG17" s="261">
        <v>104399.5834960302</v>
      </c>
      <c r="BH17" s="261">
        <v>26087.530912404003</v>
      </c>
      <c r="BI17" s="251">
        <f t="shared" si="18"/>
        <v>78312.052583626195</v>
      </c>
      <c r="BJ17" s="94"/>
      <c r="BK17" s="249">
        <v>0</v>
      </c>
      <c r="BL17" s="250">
        <f t="shared" si="60"/>
        <v>0</v>
      </c>
      <c r="BM17" s="261">
        <v>0</v>
      </c>
      <c r="BN17" s="261"/>
      <c r="BO17" s="251">
        <f t="shared" si="19"/>
        <v>0</v>
      </c>
      <c r="BP17" s="249"/>
      <c r="BQ17" s="250">
        <f t="shared" si="61"/>
        <v>0</v>
      </c>
      <c r="BR17" s="261"/>
      <c r="BS17" s="261"/>
      <c r="BT17" s="251">
        <f t="shared" si="20"/>
        <v>0</v>
      </c>
      <c r="BU17" s="249"/>
      <c r="BV17" s="250">
        <f t="shared" si="62"/>
        <v>0</v>
      </c>
      <c r="BW17" s="261"/>
      <c r="BX17" s="261"/>
      <c r="BY17" s="251">
        <f t="shared" si="21"/>
        <v>0</v>
      </c>
      <c r="BZ17" s="249">
        <f>'NR '!AY17</f>
        <v>0</v>
      </c>
      <c r="CA17" s="250">
        <f t="shared" si="63"/>
        <v>0</v>
      </c>
      <c r="CB17" s="261">
        <f>'NR '!BA17</f>
        <v>0</v>
      </c>
      <c r="CC17" s="261">
        <v>0</v>
      </c>
      <c r="CD17" s="251">
        <f t="shared" si="22"/>
        <v>0</v>
      </c>
      <c r="CE17" s="249">
        <f>'NR '!BB17</f>
        <v>0</v>
      </c>
      <c r="CF17" s="250">
        <f t="shared" si="64"/>
        <v>0</v>
      </c>
      <c r="CG17" s="261">
        <f>'NR '!BD17</f>
        <v>0</v>
      </c>
      <c r="CH17" s="261"/>
      <c r="CI17" s="251">
        <f t="shared" si="23"/>
        <v>0</v>
      </c>
      <c r="CJ17" s="249">
        <f>'NR '!BE17</f>
        <v>0</v>
      </c>
      <c r="CK17" s="250">
        <f t="shared" si="65"/>
        <v>0</v>
      </c>
      <c r="CL17" s="261">
        <f>'NR '!BG17</f>
        <v>0</v>
      </c>
      <c r="CM17" s="261"/>
      <c r="CN17" s="251">
        <f t="shared" si="24"/>
        <v>0</v>
      </c>
      <c r="CO17" s="249">
        <f>'NR '!BH17</f>
        <v>0</v>
      </c>
      <c r="CP17" s="250">
        <f t="shared" si="66"/>
        <v>0</v>
      </c>
      <c r="CQ17" s="261">
        <f>'NR '!BJ17</f>
        <v>0</v>
      </c>
      <c r="CR17" s="261"/>
      <c r="CS17" s="251">
        <f t="shared" si="25"/>
        <v>0</v>
      </c>
      <c r="CT17" s="249">
        <v>0</v>
      </c>
      <c r="CU17" s="250">
        <f t="shared" si="67"/>
        <v>0</v>
      </c>
      <c r="CV17" s="261">
        <v>0</v>
      </c>
      <c r="CW17" s="261"/>
      <c r="CX17" s="251">
        <f t="shared" si="26"/>
        <v>0</v>
      </c>
      <c r="CY17" s="249">
        <v>0</v>
      </c>
      <c r="CZ17" s="250">
        <f t="shared" si="68"/>
        <v>0</v>
      </c>
      <c r="DA17" s="261">
        <v>0</v>
      </c>
      <c r="DB17" s="261">
        <v>0</v>
      </c>
      <c r="DC17" s="251">
        <f t="shared" si="27"/>
        <v>0</v>
      </c>
      <c r="DD17" s="249">
        <f>'NR '!BQ17</f>
        <v>0</v>
      </c>
      <c r="DE17" s="250">
        <f t="shared" si="69"/>
        <v>0</v>
      </c>
      <c r="DF17" s="261">
        <f>'NR '!BS17</f>
        <v>0</v>
      </c>
      <c r="DG17" s="261"/>
      <c r="DH17" s="251">
        <f t="shared" si="70"/>
        <v>0</v>
      </c>
      <c r="DI17" s="373">
        <f>'NR '!BT17</f>
        <v>2.8080000000000001E-2</v>
      </c>
      <c r="DJ17" s="250">
        <f t="shared" si="71"/>
        <v>2.0393214807044188E-5</v>
      </c>
      <c r="DK17" s="261">
        <f>'NR '!BV17</f>
        <v>103425.21367521367</v>
      </c>
      <c r="DL17" s="261">
        <v>0</v>
      </c>
      <c r="DM17" s="251">
        <f t="shared" si="29"/>
        <v>103425.21367521367</v>
      </c>
      <c r="DN17" s="249"/>
      <c r="DO17" s="250">
        <f t="shared" si="6"/>
        <v>0</v>
      </c>
      <c r="DP17" s="261"/>
      <c r="DQ17" s="261"/>
      <c r="DR17" s="251">
        <f t="shared" si="30"/>
        <v>0</v>
      </c>
    </row>
    <row r="18" spans="1:122">
      <c r="A18" s="103" t="s">
        <v>133</v>
      </c>
      <c r="B18" s="249">
        <v>5.1386399999999988</v>
      </c>
      <c r="C18" s="250">
        <f t="shared" si="48"/>
        <v>4.1092051019479348E-3</v>
      </c>
      <c r="D18" s="261">
        <v>85302.502465535625</v>
      </c>
      <c r="E18" s="261">
        <v>9838.1617061128418</v>
      </c>
      <c r="F18" s="251">
        <f t="shared" si="7"/>
        <v>75464.340759422776</v>
      </c>
      <c r="G18" s="249">
        <v>4.7853000000000012</v>
      </c>
      <c r="H18" s="250">
        <f t="shared" si="49"/>
        <v>3.5408717884732772E-3</v>
      </c>
      <c r="I18" s="261">
        <v>85305.109510231909</v>
      </c>
      <c r="J18" s="261">
        <v>9349.0440597899651</v>
      </c>
      <c r="K18" s="251">
        <f t="shared" si="8"/>
        <v>75956.065450441936</v>
      </c>
      <c r="L18" s="249">
        <v>0.58733999999999997</v>
      </c>
      <c r="M18" s="250">
        <f t="shared" si="50"/>
        <v>3.9242897169241647E-4</v>
      </c>
      <c r="N18" s="261">
        <v>85386.353565350742</v>
      </c>
      <c r="O18" s="261"/>
      <c r="P18" s="251">
        <f t="shared" si="9"/>
        <v>85386.353565350742</v>
      </c>
      <c r="Q18" s="249">
        <v>5.6160000000000002E-2</v>
      </c>
      <c r="R18" s="250">
        <f t="shared" si="51"/>
        <v>3.9738782333583601E-5</v>
      </c>
      <c r="S18" s="261">
        <v>83512.700868349595</v>
      </c>
      <c r="T18" s="261"/>
      <c r="U18" s="251">
        <f t="shared" si="10"/>
        <v>83512.700868349595</v>
      </c>
      <c r="V18" s="249">
        <v>1.3780000000000001E-2</v>
      </c>
      <c r="W18" s="250">
        <f t="shared" si="52"/>
        <v>9.4097193142390652E-6</v>
      </c>
      <c r="X18" s="261">
        <v>82147.68075387337</v>
      </c>
      <c r="Y18" s="261"/>
      <c r="Z18" s="251">
        <f t="shared" si="11"/>
        <v>82147.68075387337</v>
      </c>
      <c r="AA18" s="249"/>
      <c r="AB18" s="250">
        <f t="shared" si="53"/>
        <v>0</v>
      </c>
      <c r="AC18" s="261">
        <v>0</v>
      </c>
      <c r="AD18" s="261"/>
      <c r="AE18" s="251">
        <f t="shared" si="12"/>
        <v>0</v>
      </c>
      <c r="AF18" s="249"/>
      <c r="AG18" s="250">
        <f t="shared" si="54"/>
        <v>0</v>
      </c>
      <c r="AH18" s="261">
        <v>0</v>
      </c>
      <c r="AI18" s="261"/>
      <c r="AJ18" s="251">
        <f t="shared" si="13"/>
        <v>0</v>
      </c>
      <c r="AK18" s="249"/>
      <c r="AL18" s="250">
        <f t="shared" si="55"/>
        <v>0</v>
      </c>
      <c r="AM18" s="261"/>
      <c r="AN18" s="261"/>
      <c r="AO18" s="251">
        <f t="shared" si="14"/>
        <v>0</v>
      </c>
      <c r="AP18" s="249">
        <v>1.2740000000000001E-2</v>
      </c>
      <c r="AQ18" s="250">
        <f t="shared" si="56"/>
        <v>1.1256224778447087E-5</v>
      </c>
      <c r="AR18" s="261">
        <v>84877.551020408151</v>
      </c>
      <c r="AS18" s="261"/>
      <c r="AT18" s="251">
        <f t="shared" si="15"/>
        <v>84877.551020408151</v>
      </c>
      <c r="AU18" s="249">
        <v>7.0199999999999999E-2</v>
      </c>
      <c r="AV18" s="250">
        <f t="shared" si="57"/>
        <v>5.2591277302893848E-5</v>
      </c>
      <c r="AW18" s="261">
        <v>83512.820512820515</v>
      </c>
      <c r="AX18" s="261"/>
      <c r="AY18" s="251">
        <f t="shared" si="16"/>
        <v>83512.820512820515</v>
      </c>
      <c r="AZ18" s="249"/>
      <c r="BA18" s="250">
        <f t="shared" si="58"/>
        <v>0</v>
      </c>
      <c r="BB18" s="261">
        <v>0</v>
      </c>
      <c r="BC18" s="261"/>
      <c r="BD18" s="251">
        <f t="shared" si="17"/>
        <v>0</v>
      </c>
      <c r="BE18" s="249">
        <v>0.29302</v>
      </c>
      <c r="BF18" s="250">
        <f t="shared" si="59"/>
        <v>1.8363496041426839E-4</v>
      </c>
      <c r="BG18" s="261">
        <v>84387.482083134251</v>
      </c>
      <c r="BH18" s="261">
        <v>19223.090574022241</v>
      </c>
      <c r="BI18" s="251">
        <f t="shared" si="18"/>
        <v>65164.391509112014</v>
      </c>
      <c r="BJ18" s="94"/>
      <c r="BK18" s="249">
        <v>0</v>
      </c>
      <c r="BL18" s="250">
        <f t="shared" si="60"/>
        <v>0</v>
      </c>
      <c r="BM18" s="261">
        <v>0</v>
      </c>
      <c r="BN18" s="261"/>
      <c r="BO18" s="251">
        <f t="shared" si="19"/>
        <v>0</v>
      </c>
      <c r="BP18" s="249"/>
      <c r="BQ18" s="250">
        <f t="shared" si="61"/>
        <v>0</v>
      </c>
      <c r="BR18" s="261"/>
      <c r="BS18" s="261"/>
      <c r="BT18" s="251">
        <f t="shared" si="20"/>
        <v>0</v>
      </c>
      <c r="BU18" s="249"/>
      <c r="BV18" s="250">
        <f t="shared" si="62"/>
        <v>0</v>
      </c>
      <c r="BW18" s="261"/>
      <c r="BX18" s="261"/>
      <c r="BY18" s="251">
        <f t="shared" si="21"/>
        <v>0</v>
      </c>
      <c r="BZ18" s="249">
        <f>'NR '!AY18</f>
        <v>0</v>
      </c>
      <c r="CA18" s="250">
        <f t="shared" si="63"/>
        <v>0</v>
      </c>
      <c r="CB18" s="261">
        <f>'NR '!BA18</f>
        <v>0</v>
      </c>
      <c r="CC18" s="261"/>
      <c r="CD18" s="251">
        <f t="shared" si="22"/>
        <v>0</v>
      </c>
      <c r="CE18" s="249">
        <f>'NR '!BB18</f>
        <v>-3.6659999999999998E-2</v>
      </c>
      <c r="CF18" s="250">
        <f t="shared" si="64"/>
        <v>-2.145410100618383E-5</v>
      </c>
      <c r="CG18" s="261">
        <f>'NR '!BD18</f>
        <v>77929.350791052915</v>
      </c>
      <c r="CH18" s="261"/>
      <c r="CI18" s="251">
        <f t="shared" si="23"/>
        <v>77929.350791052915</v>
      </c>
      <c r="CJ18" s="249">
        <f>'NR '!BE18</f>
        <v>0</v>
      </c>
      <c r="CK18" s="250">
        <f t="shared" si="65"/>
        <v>0</v>
      </c>
      <c r="CL18" s="261">
        <f>'NR '!BG18</f>
        <v>0</v>
      </c>
      <c r="CM18" s="261"/>
      <c r="CN18" s="251">
        <f t="shared" si="24"/>
        <v>0</v>
      </c>
      <c r="CO18" s="249">
        <f>'NR '!BH18</f>
        <v>0</v>
      </c>
      <c r="CP18" s="250">
        <f t="shared" si="66"/>
        <v>0</v>
      </c>
      <c r="CQ18" s="261">
        <f>'NR '!BJ18</f>
        <v>0</v>
      </c>
      <c r="CR18" s="261"/>
      <c r="CS18" s="251">
        <f t="shared" si="25"/>
        <v>0</v>
      </c>
      <c r="CT18" s="249">
        <v>0</v>
      </c>
      <c r="CU18" s="250">
        <f t="shared" si="67"/>
        <v>0</v>
      </c>
      <c r="CV18" s="261">
        <v>0</v>
      </c>
      <c r="CW18" s="261"/>
      <c r="CX18" s="251">
        <f t="shared" si="26"/>
        <v>0</v>
      </c>
      <c r="CY18" s="249">
        <v>0</v>
      </c>
      <c r="CZ18" s="250">
        <f t="shared" si="68"/>
        <v>0</v>
      </c>
      <c r="DA18" s="261">
        <v>0</v>
      </c>
      <c r="DB18" s="261">
        <v>0</v>
      </c>
      <c r="DC18" s="251">
        <f t="shared" si="27"/>
        <v>0</v>
      </c>
      <c r="DD18" s="249">
        <f>'NR '!BQ18</f>
        <v>0</v>
      </c>
      <c r="DE18" s="250">
        <f t="shared" si="69"/>
        <v>0</v>
      </c>
      <c r="DF18" s="261">
        <f>'NR '!BS18</f>
        <v>0</v>
      </c>
      <c r="DG18" s="261"/>
      <c r="DH18" s="251">
        <f t="shared" si="70"/>
        <v>0</v>
      </c>
      <c r="DI18" s="373">
        <f>'NR '!BT18</f>
        <v>11.653200000000005</v>
      </c>
      <c r="DJ18" s="250">
        <f t="shared" si="71"/>
        <v>8.463184144923341E-3</v>
      </c>
      <c r="DK18" s="261">
        <f>'NR '!BV18</f>
        <v>91416.050526893814</v>
      </c>
      <c r="DL18" s="261">
        <v>3396.3228984313309</v>
      </c>
      <c r="DM18" s="251">
        <f t="shared" si="29"/>
        <v>88019.727628462482</v>
      </c>
      <c r="DN18" s="249">
        <v>21.504599999999986</v>
      </c>
      <c r="DO18" s="250">
        <f t="shared" si="6"/>
        <v>1.4689761568172935E-2</v>
      </c>
      <c r="DP18" s="261">
        <v>91653.454609711407</v>
      </c>
      <c r="DQ18" s="261">
        <v>1154.17306064749</v>
      </c>
      <c r="DR18" s="251">
        <f t="shared" si="30"/>
        <v>90499.281549063919</v>
      </c>
    </row>
    <row r="19" spans="1:122">
      <c r="A19" s="103" t="s">
        <v>134</v>
      </c>
      <c r="B19" s="249">
        <v>0.82691000000000014</v>
      </c>
      <c r="C19" s="250">
        <f t="shared" si="48"/>
        <v>6.6125332594845485E-4</v>
      </c>
      <c r="D19" s="261">
        <v>108585.44572992179</v>
      </c>
      <c r="E19" s="261"/>
      <c r="F19" s="251">
        <f t="shared" si="7"/>
        <v>108585.44572992179</v>
      </c>
      <c r="G19" s="249">
        <v>3.0080000000000107E-3</v>
      </c>
      <c r="H19" s="250">
        <f t="shared" si="49"/>
        <v>2.22576271910385E-6</v>
      </c>
      <c r="I19" s="261">
        <v>97502.856716400056</v>
      </c>
      <c r="J19" s="261"/>
      <c r="K19" s="251">
        <f t="shared" si="8"/>
        <v>97502.856716400056</v>
      </c>
      <c r="L19" s="249">
        <v>0.22060800000000003</v>
      </c>
      <c r="M19" s="250">
        <f t="shared" si="50"/>
        <v>1.4739839034821504E-4</v>
      </c>
      <c r="N19" s="261">
        <v>107960.12260211496</v>
      </c>
      <c r="O19" s="261"/>
      <c r="P19" s="251">
        <f t="shared" si="9"/>
        <v>107960.12260211496</v>
      </c>
      <c r="Q19" s="249">
        <v>9.216000000000002E-3</v>
      </c>
      <c r="R19" s="250">
        <f t="shared" si="51"/>
        <v>6.521236075254746E-6</v>
      </c>
      <c r="S19" s="261">
        <v>105529.37344597284</v>
      </c>
      <c r="T19" s="261"/>
      <c r="U19" s="251">
        <f t="shared" si="10"/>
        <v>105529.37344597284</v>
      </c>
      <c r="V19" s="249"/>
      <c r="W19" s="250">
        <f t="shared" si="52"/>
        <v>0</v>
      </c>
      <c r="X19" s="261">
        <v>0</v>
      </c>
      <c r="Y19" s="261"/>
      <c r="Z19" s="251">
        <f t="shared" si="11"/>
        <v>0</v>
      </c>
      <c r="AA19" s="249"/>
      <c r="AB19" s="250">
        <f t="shared" si="53"/>
        <v>0</v>
      </c>
      <c r="AC19" s="261">
        <v>0</v>
      </c>
      <c r="AD19" s="261"/>
      <c r="AE19" s="251">
        <f t="shared" si="12"/>
        <v>0</v>
      </c>
      <c r="AF19" s="249"/>
      <c r="AG19" s="250">
        <f t="shared" si="54"/>
        <v>0</v>
      </c>
      <c r="AH19" s="261">
        <v>0</v>
      </c>
      <c r="AI19" s="261"/>
      <c r="AJ19" s="251">
        <f t="shared" si="13"/>
        <v>0</v>
      </c>
      <c r="AK19" s="249"/>
      <c r="AL19" s="250">
        <f t="shared" si="55"/>
        <v>0</v>
      </c>
      <c r="AM19" s="261"/>
      <c r="AN19" s="261"/>
      <c r="AO19" s="251">
        <f t="shared" si="14"/>
        <v>0</v>
      </c>
      <c r="AP19" s="249">
        <v>-1.5300000000000001E-2</v>
      </c>
      <c r="AQ19" s="250">
        <f t="shared" si="56"/>
        <v>-1.3518072143660944E-5</v>
      </c>
      <c r="AR19" s="261">
        <v>92920.915032679739</v>
      </c>
      <c r="AS19" s="261"/>
      <c r="AT19" s="251">
        <f t="shared" si="15"/>
        <v>92920.915032679739</v>
      </c>
      <c r="AU19" s="249"/>
      <c r="AV19" s="250">
        <f t="shared" si="57"/>
        <v>0</v>
      </c>
      <c r="AW19" s="261">
        <v>0</v>
      </c>
      <c r="AX19" s="261"/>
      <c r="AY19" s="251">
        <f t="shared" si="16"/>
        <v>0</v>
      </c>
      <c r="AZ19" s="249">
        <v>6.9119999999999997E-3</v>
      </c>
      <c r="BA19" s="250">
        <f t="shared" si="58"/>
        <v>4.8885528175425122E-6</v>
      </c>
      <c r="BB19" s="261">
        <v>105529.51388888889</v>
      </c>
      <c r="BC19" s="261"/>
      <c r="BD19" s="251">
        <f t="shared" si="17"/>
        <v>105529.51388888889</v>
      </c>
      <c r="BE19" s="249">
        <v>-2.1068000000000003E-2</v>
      </c>
      <c r="BF19" s="250">
        <f t="shared" si="59"/>
        <v>-1.320326716950313E-5</v>
      </c>
      <c r="BG19" s="261">
        <v>104312.22707423578</v>
      </c>
      <c r="BH19" s="261">
        <v>3941.9973419403855</v>
      </c>
      <c r="BI19" s="251">
        <f t="shared" si="18"/>
        <v>100370.2297322954</v>
      </c>
      <c r="BJ19" s="94"/>
      <c r="BK19" s="249">
        <v>0</v>
      </c>
      <c r="BL19" s="250">
        <f t="shared" si="60"/>
        <v>0</v>
      </c>
      <c r="BM19" s="261">
        <v>0</v>
      </c>
      <c r="BN19" s="261"/>
      <c r="BO19" s="251">
        <f t="shared" si="19"/>
        <v>0</v>
      </c>
      <c r="BP19" s="249"/>
      <c r="BQ19" s="250">
        <f t="shared" si="61"/>
        <v>0</v>
      </c>
      <c r="BR19" s="261"/>
      <c r="BS19" s="261"/>
      <c r="BT19" s="251">
        <f t="shared" si="20"/>
        <v>0</v>
      </c>
      <c r="BU19" s="249"/>
      <c r="BV19" s="250">
        <f t="shared" si="62"/>
        <v>0</v>
      </c>
      <c r="BW19" s="261"/>
      <c r="BX19" s="261"/>
      <c r="BY19" s="251">
        <f t="shared" si="21"/>
        <v>0</v>
      </c>
      <c r="BZ19" s="249">
        <f>'NR '!AY19</f>
        <v>0</v>
      </c>
      <c r="CA19" s="250">
        <f t="shared" si="63"/>
        <v>0</v>
      </c>
      <c r="CB19" s="261">
        <f>'NR '!BA19</f>
        <v>0</v>
      </c>
      <c r="CC19" s="261"/>
      <c r="CD19" s="251">
        <f t="shared" si="22"/>
        <v>0</v>
      </c>
      <c r="CE19" s="249">
        <f>'NR '!BB19</f>
        <v>-1.0880000000000001E-2</v>
      </c>
      <c r="CF19" s="250">
        <f t="shared" si="64"/>
        <v>-6.36717454848009E-6</v>
      </c>
      <c r="CG19" s="261">
        <f>'NR '!BD19</f>
        <v>63318.01470588235</v>
      </c>
      <c r="CH19" s="261"/>
      <c r="CI19" s="251">
        <f t="shared" si="23"/>
        <v>63318.01470588235</v>
      </c>
      <c r="CJ19" s="249">
        <f>'NR '!BE19</f>
        <v>0</v>
      </c>
      <c r="CK19" s="250">
        <f t="shared" si="65"/>
        <v>0</v>
      </c>
      <c r="CL19" s="261">
        <f>'NR '!BG19</f>
        <v>0</v>
      </c>
      <c r="CM19" s="261"/>
      <c r="CN19" s="251">
        <f t="shared" si="24"/>
        <v>0</v>
      </c>
      <c r="CO19" s="249">
        <f>'NR '!BH19</f>
        <v>0</v>
      </c>
      <c r="CP19" s="250">
        <f t="shared" si="66"/>
        <v>0</v>
      </c>
      <c r="CQ19" s="261">
        <f>'NR '!BJ19</f>
        <v>0</v>
      </c>
      <c r="CR19" s="261"/>
      <c r="CS19" s="251">
        <f t="shared" si="25"/>
        <v>0</v>
      </c>
      <c r="CT19" s="249">
        <v>0</v>
      </c>
      <c r="CU19" s="250">
        <f t="shared" si="67"/>
        <v>0</v>
      </c>
      <c r="CV19" s="261">
        <v>0</v>
      </c>
      <c r="CW19" s="261"/>
      <c r="CX19" s="251">
        <f t="shared" si="26"/>
        <v>0</v>
      </c>
      <c r="CY19" s="249">
        <v>0</v>
      </c>
      <c r="CZ19" s="250">
        <f t="shared" si="68"/>
        <v>0</v>
      </c>
      <c r="DA19" s="261">
        <v>0</v>
      </c>
      <c r="DB19" s="261">
        <v>0</v>
      </c>
      <c r="DC19" s="251">
        <f t="shared" si="27"/>
        <v>0</v>
      </c>
      <c r="DD19" s="249">
        <f>'NR '!BQ19</f>
        <v>0</v>
      </c>
      <c r="DE19" s="250">
        <f t="shared" si="69"/>
        <v>0</v>
      </c>
      <c r="DF19" s="261">
        <f>'NR '!BS19</f>
        <v>0</v>
      </c>
      <c r="DG19" s="261"/>
      <c r="DH19" s="251">
        <f t="shared" si="70"/>
        <v>0</v>
      </c>
      <c r="DI19" s="373">
        <f>'NR '!BT19</f>
        <v>0</v>
      </c>
      <c r="DJ19" s="250">
        <f t="shared" si="71"/>
        <v>0</v>
      </c>
      <c r="DK19" s="261">
        <f>'NR '!BV19</f>
        <v>0</v>
      </c>
      <c r="DL19" s="261"/>
      <c r="DM19" s="251">
        <f t="shared" si="29"/>
        <v>0</v>
      </c>
      <c r="DN19" s="249"/>
      <c r="DO19" s="250"/>
      <c r="DP19" s="261"/>
      <c r="DQ19" s="261"/>
      <c r="DR19" s="251">
        <f t="shared" si="30"/>
        <v>0</v>
      </c>
    </row>
    <row r="20" spans="1:122">
      <c r="A20" s="103" t="s">
        <v>135</v>
      </c>
      <c r="B20" s="249">
        <v>0.49728000000000006</v>
      </c>
      <c r="C20" s="250">
        <f t="shared" si="48"/>
        <v>3.976588188891749E-4</v>
      </c>
      <c r="D20" s="261">
        <v>98776.903800766915</v>
      </c>
      <c r="E20" s="261"/>
      <c r="F20" s="251">
        <f t="shared" si="7"/>
        <v>98776.903800766915</v>
      </c>
      <c r="G20" s="249">
        <v>0.33117000000000008</v>
      </c>
      <c r="H20" s="250">
        <f t="shared" si="49"/>
        <v>2.4504848393803839E-4</v>
      </c>
      <c r="I20" s="261">
        <v>99273.008166720479</v>
      </c>
      <c r="J20" s="261"/>
      <c r="K20" s="251">
        <f t="shared" si="8"/>
        <v>99273.008166720479</v>
      </c>
      <c r="L20" s="249">
        <v>0.2016</v>
      </c>
      <c r="M20" s="250">
        <f t="shared" si="50"/>
        <v>1.3469826794223306E-4</v>
      </c>
      <c r="N20" s="261">
        <v>99260.171100532185</v>
      </c>
      <c r="O20" s="261"/>
      <c r="P20" s="251">
        <f t="shared" si="9"/>
        <v>99260.171100532185</v>
      </c>
      <c r="Q20" s="249">
        <v>0.12096</v>
      </c>
      <c r="R20" s="250">
        <f t="shared" si="51"/>
        <v>8.5591223487718526E-5</v>
      </c>
      <c r="S20" s="261">
        <v>97388.754808460799</v>
      </c>
      <c r="T20" s="261"/>
      <c r="U20" s="251">
        <f t="shared" si="10"/>
        <v>97388.754808460799</v>
      </c>
      <c r="V20" s="249">
        <v>0.12096000000000001</v>
      </c>
      <c r="W20" s="250">
        <f t="shared" si="52"/>
        <v>8.2597942543567306E-5</v>
      </c>
      <c r="X20" s="261">
        <v>96834.299079298857</v>
      </c>
      <c r="Y20" s="261"/>
      <c r="Z20" s="251">
        <f t="shared" si="11"/>
        <v>96834.299079298857</v>
      </c>
      <c r="AA20" s="249"/>
      <c r="AB20" s="250">
        <f t="shared" si="53"/>
        <v>0</v>
      </c>
      <c r="AC20" s="261">
        <v>0</v>
      </c>
      <c r="AD20" s="261"/>
      <c r="AE20" s="251">
        <f t="shared" si="12"/>
        <v>0</v>
      </c>
      <c r="AF20" s="249"/>
      <c r="AG20" s="250">
        <f t="shared" si="54"/>
        <v>0</v>
      </c>
      <c r="AH20" s="261">
        <v>0</v>
      </c>
      <c r="AI20" s="261"/>
      <c r="AJ20" s="251">
        <f t="shared" si="13"/>
        <v>0</v>
      </c>
      <c r="AK20" s="249">
        <v>4.0320000000000002E-2</v>
      </c>
      <c r="AL20" s="250">
        <f t="shared" si="55"/>
        <v>3.0553727893152244E-5</v>
      </c>
      <c r="AM20" s="261">
        <v>98309.657602823441</v>
      </c>
      <c r="AN20" s="261"/>
      <c r="AO20" s="251">
        <f t="shared" si="14"/>
        <v>98309.657602823441</v>
      </c>
      <c r="AP20" s="249"/>
      <c r="AQ20" s="250">
        <f t="shared" si="56"/>
        <v>0</v>
      </c>
      <c r="AR20" s="261">
        <v>0</v>
      </c>
      <c r="AS20" s="261"/>
      <c r="AT20" s="251">
        <f t="shared" si="15"/>
        <v>0</v>
      </c>
      <c r="AU20" s="249"/>
      <c r="AV20" s="250">
        <f t="shared" si="57"/>
        <v>0</v>
      </c>
      <c r="AW20" s="261">
        <v>0</v>
      </c>
      <c r="AX20" s="261"/>
      <c r="AY20" s="251">
        <f t="shared" si="16"/>
        <v>0</v>
      </c>
      <c r="AZ20" s="249"/>
      <c r="BA20" s="250">
        <f t="shared" si="58"/>
        <v>0</v>
      </c>
      <c r="BB20" s="261">
        <v>0</v>
      </c>
      <c r="BC20" s="261"/>
      <c r="BD20" s="251">
        <f t="shared" si="17"/>
        <v>0</v>
      </c>
      <c r="BE20" s="249">
        <v>-6.0899999999999996E-2</v>
      </c>
      <c r="BF20" s="250">
        <f t="shared" si="59"/>
        <v>-3.8165890004876612E-5</v>
      </c>
      <c r="BG20" s="261">
        <v>96774.548440065686</v>
      </c>
      <c r="BH20" s="261">
        <v>7868.3087027914617</v>
      </c>
      <c r="BI20" s="251">
        <f t="shared" si="18"/>
        <v>88906.239737274227</v>
      </c>
      <c r="BJ20" s="94"/>
      <c r="BK20" s="249">
        <v>0</v>
      </c>
      <c r="BL20" s="250">
        <f t="shared" si="60"/>
        <v>0</v>
      </c>
      <c r="BM20" s="261">
        <v>0</v>
      </c>
      <c r="BN20" s="261"/>
      <c r="BO20" s="251">
        <f t="shared" si="19"/>
        <v>0</v>
      </c>
      <c r="BP20" s="249"/>
      <c r="BQ20" s="250">
        <f t="shared" si="61"/>
        <v>0</v>
      </c>
      <c r="BR20" s="261"/>
      <c r="BS20" s="261"/>
      <c r="BT20" s="251">
        <f t="shared" si="20"/>
        <v>0</v>
      </c>
      <c r="BU20" s="249"/>
      <c r="BV20" s="250">
        <f t="shared" si="62"/>
        <v>0</v>
      </c>
      <c r="BW20" s="261"/>
      <c r="BX20" s="261"/>
      <c r="BY20" s="251">
        <f t="shared" si="21"/>
        <v>0</v>
      </c>
      <c r="BZ20" s="249">
        <f>'NR '!AY20</f>
        <v>0</v>
      </c>
      <c r="CA20" s="250">
        <f t="shared" si="63"/>
        <v>0</v>
      </c>
      <c r="CB20" s="261">
        <f>'NR '!BA20</f>
        <v>0</v>
      </c>
      <c r="CC20" s="261"/>
      <c r="CD20" s="251">
        <f t="shared" si="22"/>
        <v>0</v>
      </c>
      <c r="CE20" s="249">
        <f>'NR '!BB20</f>
        <v>0</v>
      </c>
      <c r="CF20" s="250">
        <f t="shared" si="64"/>
        <v>0</v>
      </c>
      <c r="CG20" s="261">
        <f>'NR '!BD20</f>
        <v>0</v>
      </c>
      <c r="CH20" s="261"/>
      <c r="CI20" s="251">
        <f t="shared" si="23"/>
        <v>0</v>
      </c>
      <c r="CJ20" s="249">
        <f>'NR '!BE20</f>
        <v>0</v>
      </c>
      <c r="CK20" s="250">
        <f t="shared" si="65"/>
        <v>0</v>
      </c>
      <c r="CL20" s="261">
        <f>'NR '!BG20</f>
        <v>0</v>
      </c>
      <c r="CM20" s="261"/>
      <c r="CN20" s="251">
        <f t="shared" si="24"/>
        <v>0</v>
      </c>
      <c r="CO20" s="249">
        <f>'NR '!BH20</f>
        <v>0</v>
      </c>
      <c r="CP20" s="250">
        <f t="shared" si="66"/>
        <v>0</v>
      </c>
      <c r="CQ20" s="261">
        <f>'NR '!BJ20</f>
        <v>0</v>
      </c>
      <c r="CR20" s="261"/>
      <c r="CS20" s="251">
        <f t="shared" si="25"/>
        <v>0</v>
      </c>
      <c r="CT20" s="249">
        <v>0</v>
      </c>
      <c r="CU20" s="250">
        <f t="shared" si="67"/>
        <v>0</v>
      </c>
      <c r="CV20" s="261">
        <v>0</v>
      </c>
      <c r="CW20" s="261"/>
      <c r="CX20" s="251">
        <f t="shared" si="26"/>
        <v>0</v>
      </c>
      <c r="CY20" s="249">
        <v>0</v>
      </c>
      <c r="CZ20" s="250">
        <f t="shared" si="68"/>
        <v>0</v>
      </c>
      <c r="DA20" s="261">
        <v>0</v>
      </c>
      <c r="DB20" s="261">
        <v>0</v>
      </c>
      <c r="DC20" s="251">
        <f t="shared" si="27"/>
        <v>0</v>
      </c>
      <c r="DD20" s="249">
        <f>'NR '!BQ20</f>
        <v>0</v>
      </c>
      <c r="DE20" s="250">
        <f t="shared" si="69"/>
        <v>0</v>
      </c>
      <c r="DF20" s="261">
        <f>'NR '!BS20</f>
        <v>0</v>
      </c>
      <c r="DG20" s="261"/>
      <c r="DH20" s="251">
        <f t="shared" si="70"/>
        <v>0</v>
      </c>
      <c r="DI20" s="373">
        <f>'NR '!BT20</f>
        <v>0</v>
      </c>
      <c r="DJ20" s="250">
        <f t="shared" si="71"/>
        <v>0</v>
      </c>
      <c r="DK20" s="261">
        <f>'NR '!BV20</f>
        <v>0</v>
      </c>
      <c r="DL20" s="261"/>
      <c r="DM20" s="251">
        <f t="shared" si="29"/>
        <v>0</v>
      </c>
      <c r="DN20" s="249"/>
      <c r="DO20" s="250"/>
      <c r="DP20" s="261"/>
      <c r="DQ20" s="261"/>
      <c r="DR20" s="251">
        <f t="shared" si="30"/>
        <v>0</v>
      </c>
    </row>
    <row r="21" spans="1:122">
      <c r="A21" s="103" t="s">
        <v>136</v>
      </c>
      <c r="B21" s="249"/>
      <c r="C21" s="250">
        <f t="shared" si="48"/>
        <v>0</v>
      </c>
      <c r="D21" s="261">
        <v>0</v>
      </c>
      <c r="E21" s="261"/>
      <c r="F21" s="251">
        <f t="shared" si="7"/>
        <v>0</v>
      </c>
      <c r="G21" s="249">
        <v>-4.0499999999999998E-3</v>
      </c>
      <c r="H21" s="250">
        <f t="shared" si="49"/>
        <v>-2.9967882354955317E-6</v>
      </c>
      <c r="I21" s="261">
        <v>92411.044337663508</v>
      </c>
      <c r="J21" s="261"/>
      <c r="K21" s="251">
        <f t="shared" si="8"/>
        <v>92411.044337663508</v>
      </c>
      <c r="L21" s="249"/>
      <c r="M21" s="250">
        <f t="shared" si="50"/>
        <v>0</v>
      </c>
      <c r="N21" s="261">
        <v>0</v>
      </c>
      <c r="O21" s="261"/>
      <c r="P21" s="251">
        <f t="shared" si="9"/>
        <v>0</v>
      </c>
      <c r="Q21" s="249"/>
      <c r="R21" s="250">
        <f t="shared" si="51"/>
        <v>0</v>
      </c>
      <c r="S21" s="261">
        <v>0</v>
      </c>
      <c r="T21" s="261"/>
      <c r="U21" s="251">
        <f t="shared" si="10"/>
        <v>0</v>
      </c>
      <c r="V21" s="249"/>
      <c r="W21" s="250">
        <f t="shared" si="52"/>
        <v>0</v>
      </c>
      <c r="X21" s="261">
        <v>0</v>
      </c>
      <c r="Y21" s="261"/>
      <c r="Z21" s="251">
        <f t="shared" si="11"/>
        <v>0</v>
      </c>
      <c r="AA21" s="249"/>
      <c r="AB21" s="250">
        <f t="shared" si="53"/>
        <v>0</v>
      </c>
      <c r="AC21" s="261">
        <v>0</v>
      </c>
      <c r="AD21" s="261"/>
      <c r="AE21" s="251">
        <f t="shared" si="12"/>
        <v>0</v>
      </c>
      <c r="AF21" s="249"/>
      <c r="AG21" s="250">
        <f t="shared" si="54"/>
        <v>0</v>
      </c>
      <c r="AH21" s="261">
        <v>0</v>
      </c>
      <c r="AI21" s="261"/>
      <c r="AJ21" s="251">
        <f t="shared" si="13"/>
        <v>0</v>
      </c>
      <c r="AK21" s="249"/>
      <c r="AL21" s="250">
        <f t="shared" si="55"/>
        <v>0</v>
      </c>
      <c r="AM21" s="261"/>
      <c r="AN21" s="261"/>
      <c r="AO21" s="251">
        <f t="shared" si="14"/>
        <v>0</v>
      </c>
      <c r="AP21" s="249"/>
      <c r="AQ21" s="250">
        <f t="shared" si="56"/>
        <v>0</v>
      </c>
      <c r="AR21" s="261">
        <v>0</v>
      </c>
      <c r="AS21" s="261"/>
      <c r="AT21" s="251">
        <f t="shared" si="15"/>
        <v>0</v>
      </c>
      <c r="AU21" s="249"/>
      <c r="AV21" s="250">
        <f t="shared" si="57"/>
        <v>0</v>
      </c>
      <c r="AW21" s="261">
        <v>0</v>
      </c>
      <c r="AX21" s="261"/>
      <c r="AY21" s="251">
        <f t="shared" si="16"/>
        <v>0</v>
      </c>
      <c r="AZ21" s="249"/>
      <c r="BA21" s="250">
        <f t="shared" si="58"/>
        <v>0</v>
      </c>
      <c r="BB21" s="261">
        <v>0</v>
      </c>
      <c r="BC21" s="261"/>
      <c r="BD21" s="251">
        <f t="shared" si="17"/>
        <v>0</v>
      </c>
      <c r="BE21" s="249">
        <v>-4.725E-3</v>
      </c>
      <c r="BF21" s="250">
        <f t="shared" si="59"/>
        <v>-2.9611466383093927E-6</v>
      </c>
      <c r="BG21" s="261">
        <v>90471.957671957673</v>
      </c>
      <c r="BH21" s="261">
        <v>6471.9576719576735</v>
      </c>
      <c r="BI21" s="251">
        <f t="shared" si="18"/>
        <v>84000</v>
      </c>
      <c r="BJ21" s="94"/>
      <c r="BK21" s="249">
        <v>0</v>
      </c>
      <c r="BL21" s="250">
        <f t="shared" si="60"/>
        <v>0</v>
      </c>
      <c r="BM21" s="261">
        <v>0</v>
      </c>
      <c r="BN21" s="261"/>
      <c r="BO21" s="251">
        <f t="shared" si="19"/>
        <v>0</v>
      </c>
      <c r="BP21" s="249"/>
      <c r="BQ21" s="250">
        <f t="shared" si="61"/>
        <v>0</v>
      </c>
      <c r="BR21" s="261"/>
      <c r="BS21" s="261"/>
      <c r="BT21" s="251">
        <f t="shared" si="20"/>
        <v>0</v>
      </c>
      <c r="BU21" s="249"/>
      <c r="BV21" s="250">
        <f t="shared" si="62"/>
        <v>0</v>
      </c>
      <c r="BW21" s="261"/>
      <c r="BX21" s="261"/>
      <c r="BY21" s="251">
        <f t="shared" si="21"/>
        <v>0</v>
      </c>
      <c r="BZ21" s="249">
        <f>'NR '!AY21</f>
        <v>0</v>
      </c>
      <c r="CA21" s="250">
        <f t="shared" si="63"/>
        <v>0</v>
      </c>
      <c r="CB21" s="261">
        <f>'NR '!BA21</f>
        <v>0</v>
      </c>
      <c r="CC21" s="261"/>
      <c r="CD21" s="251">
        <f t="shared" si="22"/>
        <v>0</v>
      </c>
      <c r="CE21" s="249">
        <f>'NR '!BB21</f>
        <v>0</v>
      </c>
      <c r="CF21" s="250">
        <f t="shared" si="64"/>
        <v>0</v>
      </c>
      <c r="CG21" s="261">
        <f>'NR '!BD21</f>
        <v>0</v>
      </c>
      <c r="CH21" s="261"/>
      <c r="CI21" s="251">
        <f t="shared" si="23"/>
        <v>0</v>
      </c>
      <c r="CJ21" s="249">
        <f>'NR '!BE21</f>
        <v>0</v>
      </c>
      <c r="CK21" s="250">
        <f t="shared" si="65"/>
        <v>0</v>
      </c>
      <c r="CL21" s="261">
        <f>'NR '!BG21</f>
        <v>0</v>
      </c>
      <c r="CM21" s="261"/>
      <c r="CN21" s="251">
        <f t="shared" si="24"/>
        <v>0</v>
      </c>
      <c r="CO21" s="249">
        <f>'NR '!BH21</f>
        <v>0</v>
      </c>
      <c r="CP21" s="250">
        <f t="shared" si="66"/>
        <v>0</v>
      </c>
      <c r="CQ21" s="261">
        <f>'NR '!BJ21</f>
        <v>0</v>
      </c>
      <c r="CR21" s="261"/>
      <c r="CS21" s="251">
        <f t="shared" si="25"/>
        <v>0</v>
      </c>
      <c r="CT21" s="249">
        <v>0</v>
      </c>
      <c r="CU21" s="250">
        <f t="shared" si="67"/>
        <v>0</v>
      </c>
      <c r="CV21" s="261">
        <v>0</v>
      </c>
      <c r="CW21" s="261"/>
      <c r="CX21" s="251">
        <f t="shared" si="26"/>
        <v>0</v>
      </c>
      <c r="CY21" s="249">
        <v>0</v>
      </c>
      <c r="CZ21" s="250">
        <f t="shared" si="68"/>
        <v>0</v>
      </c>
      <c r="DA21" s="261">
        <v>0</v>
      </c>
      <c r="DB21" s="261">
        <v>0</v>
      </c>
      <c r="DC21" s="251">
        <f t="shared" si="27"/>
        <v>0</v>
      </c>
      <c r="DD21" s="249">
        <f>'NR '!BQ21</f>
        <v>0</v>
      </c>
      <c r="DE21" s="250">
        <f t="shared" si="69"/>
        <v>0</v>
      </c>
      <c r="DF21" s="261">
        <f>'NR '!BS21</f>
        <v>0</v>
      </c>
      <c r="DG21" s="261"/>
      <c r="DH21" s="251">
        <f t="shared" si="70"/>
        <v>0</v>
      </c>
      <c r="DI21" s="373">
        <f>'NR '!BT21</f>
        <v>0</v>
      </c>
      <c r="DJ21" s="250">
        <f t="shared" si="71"/>
        <v>0</v>
      </c>
      <c r="DK21" s="261">
        <f>'NR '!BV21</f>
        <v>0</v>
      </c>
      <c r="DL21" s="261"/>
      <c r="DM21" s="251">
        <f t="shared" si="29"/>
        <v>0</v>
      </c>
      <c r="DN21" s="249"/>
      <c r="DO21" s="250"/>
      <c r="DP21" s="261"/>
      <c r="DQ21" s="261"/>
      <c r="DR21" s="251">
        <f t="shared" si="30"/>
        <v>0</v>
      </c>
    </row>
    <row r="22" spans="1:122">
      <c r="A22" t="s">
        <v>216</v>
      </c>
      <c r="B22" s="249"/>
      <c r="C22" s="250">
        <f t="shared" si="48"/>
        <v>0</v>
      </c>
      <c r="D22" s="261">
        <v>0</v>
      </c>
      <c r="E22" s="261"/>
      <c r="F22" s="251">
        <f t="shared" si="7"/>
        <v>0</v>
      </c>
      <c r="G22" s="249">
        <v>-3.7400000000000003E-3</v>
      </c>
      <c r="H22" s="250">
        <f t="shared" si="49"/>
        <v>-2.767404444630442E-6</v>
      </c>
      <c r="I22" s="261">
        <v>101923.94596065827</v>
      </c>
      <c r="J22" s="261"/>
      <c r="K22" s="251">
        <f t="shared" si="8"/>
        <v>101923.94596065827</v>
      </c>
      <c r="L22" s="249"/>
      <c r="M22" s="250">
        <f t="shared" si="50"/>
        <v>0</v>
      </c>
      <c r="N22" s="261">
        <v>0</v>
      </c>
      <c r="O22" s="261"/>
      <c r="P22" s="251">
        <f t="shared" si="9"/>
        <v>0</v>
      </c>
      <c r="Q22" s="249"/>
      <c r="R22" s="250">
        <f t="shared" si="51"/>
        <v>0</v>
      </c>
      <c r="S22" s="261">
        <v>0</v>
      </c>
      <c r="T22" s="261"/>
      <c r="U22" s="251">
        <f t="shared" si="10"/>
        <v>0</v>
      </c>
      <c r="V22" s="249"/>
      <c r="W22" s="250">
        <f t="shared" si="52"/>
        <v>0</v>
      </c>
      <c r="X22" s="261">
        <v>0</v>
      </c>
      <c r="Y22" s="261"/>
      <c r="Z22" s="251">
        <f t="shared" si="11"/>
        <v>0</v>
      </c>
      <c r="AA22" s="249"/>
      <c r="AB22" s="250">
        <f t="shared" si="53"/>
        <v>0</v>
      </c>
      <c r="AC22" s="261">
        <v>0</v>
      </c>
      <c r="AD22" s="261"/>
      <c r="AE22" s="251">
        <f t="shared" si="12"/>
        <v>0</v>
      </c>
      <c r="AF22" s="249"/>
      <c r="AG22" s="250">
        <f t="shared" si="54"/>
        <v>0</v>
      </c>
      <c r="AH22" s="261">
        <v>0</v>
      </c>
      <c r="AI22" s="261"/>
      <c r="AJ22" s="251">
        <f t="shared" si="13"/>
        <v>0</v>
      </c>
      <c r="AK22" s="249"/>
      <c r="AL22" s="250">
        <f t="shared" si="55"/>
        <v>0</v>
      </c>
      <c r="AM22" s="261"/>
      <c r="AN22" s="261"/>
      <c r="AO22" s="251">
        <f t="shared" si="14"/>
        <v>0</v>
      </c>
      <c r="AP22" s="249"/>
      <c r="AQ22" s="250">
        <f t="shared" si="56"/>
        <v>0</v>
      </c>
      <c r="AR22" s="261">
        <v>0</v>
      </c>
      <c r="AS22" s="261"/>
      <c r="AT22" s="251">
        <f t="shared" si="15"/>
        <v>0</v>
      </c>
      <c r="AU22" s="249"/>
      <c r="AV22" s="250">
        <f t="shared" si="57"/>
        <v>0</v>
      </c>
      <c r="AW22" s="261">
        <v>0</v>
      </c>
      <c r="AX22" s="261"/>
      <c r="AY22" s="251">
        <f t="shared" si="16"/>
        <v>0</v>
      </c>
      <c r="AZ22" s="249"/>
      <c r="BA22" s="250">
        <f t="shared" si="58"/>
        <v>0</v>
      </c>
      <c r="BB22" s="261">
        <v>0</v>
      </c>
      <c r="BC22" s="261"/>
      <c r="BD22" s="251">
        <f t="shared" si="17"/>
        <v>0</v>
      </c>
      <c r="BE22" s="249">
        <v>-5.1680000000000004E-2</v>
      </c>
      <c r="BF22" s="250">
        <f t="shared" si="59"/>
        <v>-3.2387737199540616E-5</v>
      </c>
      <c r="BG22" s="261">
        <v>100124.80650154798</v>
      </c>
      <c r="BH22" s="261"/>
      <c r="BI22" s="251">
        <f t="shared" si="18"/>
        <v>100124.80650154798</v>
      </c>
      <c r="BJ22" s="94"/>
      <c r="BK22" s="249">
        <v>0</v>
      </c>
      <c r="BL22" s="250">
        <f t="shared" si="60"/>
        <v>0</v>
      </c>
      <c r="BM22" s="261">
        <v>0</v>
      </c>
      <c r="BN22" s="261"/>
      <c r="BO22" s="251">
        <f t="shared" si="19"/>
        <v>0</v>
      </c>
      <c r="BP22" s="249"/>
      <c r="BQ22" s="250">
        <f t="shared" si="61"/>
        <v>0</v>
      </c>
      <c r="BR22" s="261"/>
      <c r="BS22" s="261"/>
      <c r="BT22" s="251">
        <f t="shared" si="20"/>
        <v>0</v>
      </c>
      <c r="BU22" s="249"/>
      <c r="BV22" s="250">
        <f t="shared" si="62"/>
        <v>0</v>
      </c>
      <c r="BW22" s="261"/>
      <c r="BX22" s="261"/>
      <c r="BY22" s="251">
        <f t="shared" si="21"/>
        <v>0</v>
      </c>
      <c r="BZ22" s="249">
        <f>'NR '!AY22</f>
        <v>4.7484000000000011</v>
      </c>
      <c r="CA22" s="250">
        <f t="shared" si="63"/>
        <v>3.1073095919860179E-3</v>
      </c>
      <c r="CB22" s="261">
        <f>'NR '!BA22</f>
        <v>84638.017016258091</v>
      </c>
      <c r="CC22" s="261">
        <v>3290.8505774783439</v>
      </c>
      <c r="CD22" s="251">
        <f t="shared" si="22"/>
        <v>81347.16643877975</v>
      </c>
      <c r="CE22" s="249">
        <f>'NR '!BB22</f>
        <v>14.961599999999997</v>
      </c>
      <c r="CF22" s="250">
        <f t="shared" si="64"/>
        <v>8.7558013533584264E-3</v>
      </c>
      <c r="CG22" s="261">
        <f>'NR '!BD22</f>
        <v>83954.405945888153</v>
      </c>
      <c r="CH22" s="261">
        <v>3290.8505774783439</v>
      </c>
      <c r="CI22" s="251">
        <f t="shared" si="23"/>
        <v>80663.555368409812</v>
      </c>
      <c r="CJ22" s="249">
        <f>'NR '!BE22</f>
        <v>1.5875964</v>
      </c>
      <c r="CK22" s="250">
        <f t="shared" si="65"/>
        <v>1.013329802278701E-3</v>
      </c>
      <c r="CL22" s="261">
        <f>'NR '!BG22</f>
        <v>84354.247716863028</v>
      </c>
      <c r="CM22" s="261">
        <v>1279.3994745767884</v>
      </c>
      <c r="CN22" s="251">
        <f t="shared" si="24"/>
        <v>83074.848242286243</v>
      </c>
      <c r="CO22" s="249">
        <f>'NR '!BH22</f>
        <v>2.7971999999999992</v>
      </c>
      <c r="CP22" s="250">
        <f t="shared" si="66"/>
        <v>2.8238060835631155E-3</v>
      </c>
      <c r="CQ22" s="261">
        <f>'NR '!BJ22</f>
        <v>83948.652223652243</v>
      </c>
      <c r="CR22" s="261">
        <v>2118.243243243242</v>
      </c>
      <c r="CS22" s="251">
        <f t="shared" si="25"/>
        <v>81830.408980409004</v>
      </c>
      <c r="CT22" s="249">
        <v>0.89640000000000009</v>
      </c>
      <c r="CU22" s="250">
        <f t="shared" si="67"/>
        <v>8.2084699304808698E-4</v>
      </c>
      <c r="CV22" s="261">
        <v>84212.025881303009</v>
      </c>
      <c r="CW22" s="261">
        <v>2179.4288264167794</v>
      </c>
      <c r="CX22" s="251">
        <f t="shared" si="26"/>
        <v>82032.597054886224</v>
      </c>
      <c r="CY22" s="249">
        <v>3.4667999999999992</v>
      </c>
      <c r="CZ22" s="250">
        <f t="shared" si="68"/>
        <v>2.504371371632791E-3</v>
      </c>
      <c r="DA22" s="261">
        <v>84041.308988115852</v>
      </c>
      <c r="DB22" s="261">
        <v>3262.0370370370356</v>
      </c>
      <c r="DC22" s="251">
        <f t="shared" si="27"/>
        <v>80779.271951078816</v>
      </c>
      <c r="DD22" s="249">
        <f>'NR '!BQ22</f>
        <v>4.1148000000000007</v>
      </c>
      <c r="DE22" s="250">
        <f t="shared" si="69"/>
        <v>3.3290018420834189E-3</v>
      </c>
      <c r="DF22" s="261">
        <f>'NR '!BS22</f>
        <v>84047.110430640576</v>
      </c>
      <c r="DG22" s="261">
        <v>3724.1275396131064</v>
      </c>
      <c r="DH22" s="251">
        <f t="shared" si="70"/>
        <v>80322.982891027466</v>
      </c>
      <c r="DI22" s="373">
        <f>'NR '!BT22</f>
        <v>4.2228000000000003</v>
      </c>
      <c r="DJ22" s="250">
        <f t="shared" si="71"/>
        <v>3.0668257652131836E-3</v>
      </c>
      <c r="DK22" s="261">
        <f>'NR '!BV22</f>
        <v>84107.971014492738</v>
      </c>
      <c r="DL22" s="261">
        <v>3802.3065264753218</v>
      </c>
      <c r="DM22" s="251">
        <f t="shared" si="29"/>
        <v>80305.664488017414</v>
      </c>
      <c r="DN22" s="249">
        <v>3.9828000000000006</v>
      </c>
      <c r="DO22" s="250">
        <f t="shared" ref="DO22:DO27" si="72">DN22/DN$27</f>
        <v>2.7206449956622865E-3</v>
      </c>
      <c r="DP22" s="261">
        <v>84022.521843928902</v>
      </c>
      <c r="DQ22" s="261">
        <v>3717.954705232497</v>
      </c>
      <c r="DR22" s="251">
        <f t="shared" si="30"/>
        <v>80304.56713869641</v>
      </c>
    </row>
    <row r="23" spans="1:122">
      <c r="A23" s="103" t="s">
        <v>137</v>
      </c>
      <c r="B23" s="249"/>
      <c r="C23" s="250">
        <f t="shared" si="48"/>
        <v>0</v>
      </c>
      <c r="D23" s="261">
        <v>0</v>
      </c>
      <c r="E23" s="261"/>
      <c r="F23" s="251">
        <f t="shared" si="7"/>
        <v>0</v>
      </c>
      <c r="G23" s="249"/>
      <c r="H23" s="250">
        <f t="shared" si="49"/>
        <v>0</v>
      </c>
      <c r="I23" s="261">
        <v>0</v>
      </c>
      <c r="J23" s="261"/>
      <c r="K23" s="251">
        <f t="shared" si="8"/>
        <v>0</v>
      </c>
      <c r="L23" s="249">
        <v>25.228800000000028</v>
      </c>
      <c r="M23" s="250">
        <f t="shared" si="50"/>
        <v>1.6856526102485184E-2</v>
      </c>
      <c r="N23" s="261">
        <v>86635.354066559463</v>
      </c>
      <c r="O23" s="261">
        <v>5260.0151681577281</v>
      </c>
      <c r="P23" s="251">
        <f t="shared" si="9"/>
        <v>81375.338898401737</v>
      </c>
      <c r="Q23" s="249">
        <v>12.038400000000001</v>
      </c>
      <c r="R23" s="250">
        <f t="shared" si="51"/>
        <v>8.5183646233015116E-3</v>
      </c>
      <c r="S23" s="261">
        <v>84817.586819417527</v>
      </c>
      <c r="T23" s="261">
        <v>3253.9820214377587</v>
      </c>
      <c r="U23" s="251">
        <f t="shared" si="10"/>
        <v>81563.604797979773</v>
      </c>
      <c r="V23" s="249">
        <v>49.259520000000002</v>
      </c>
      <c r="W23" s="250">
        <f t="shared" si="52"/>
        <v>3.3637028792027977E-2</v>
      </c>
      <c r="X23" s="261">
        <v>84817.586819417542</v>
      </c>
      <c r="Y23" s="261">
        <v>18829.776341361739</v>
      </c>
      <c r="Z23" s="251">
        <f t="shared" si="11"/>
        <v>65987.810478055806</v>
      </c>
      <c r="AA23" s="249">
        <v>23.833280000000002</v>
      </c>
      <c r="AB23" s="250">
        <f t="shared" si="53"/>
        <v>1.6441750213415946E-2</v>
      </c>
      <c r="AC23" s="261">
        <v>84817.586819417527</v>
      </c>
      <c r="AD23" s="261">
        <v>19294.837118159478</v>
      </c>
      <c r="AE23" s="251">
        <f t="shared" si="12"/>
        <v>65522.74970125805</v>
      </c>
      <c r="AF23" s="249">
        <v>14.353920000000006</v>
      </c>
      <c r="AG23" s="250">
        <f t="shared" si="54"/>
        <v>9.6094907860678012E-3</v>
      </c>
      <c r="AH23" s="261">
        <v>84760.655959646116</v>
      </c>
      <c r="AI23" s="261">
        <v>16271.798560413063</v>
      </c>
      <c r="AJ23" s="251">
        <f t="shared" si="13"/>
        <v>68488.857399233049</v>
      </c>
      <c r="AK23" s="249">
        <v>29.214720000000014</v>
      </c>
      <c r="AL23" s="250">
        <f t="shared" si="55"/>
        <v>2.2138358267724038E-2</v>
      </c>
      <c r="AM23" s="261">
        <v>84791.169244240547</v>
      </c>
      <c r="AN23" s="261">
        <v>17817.641515753035</v>
      </c>
      <c r="AO23" s="251">
        <f t="shared" si="14"/>
        <v>66973.527728487505</v>
      </c>
      <c r="AP23" s="249">
        <v>26.26560000000001</v>
      </c>
      <c r="AQ23" s="250">
        <f t="shared" si="56"/>
        <v>2.3206553967094184E-2</v>
      </c>
      <c r="AR23" s="261">
        <v>84799.438048245574</v>
      </c>
      <c r="AS23" s="261">
        <v>19110.123126827486</v>
      </c>
      <c r="AT23" s="251">
        <f t="shared" si="15"/>
        <v>65689.314921418088</v>
      </c>
      <c r="AU23" s="249">
        <v>37.082879999999996</v>
      </c>
      <c r="AV23" s="250">
        <f t="shared" si="57"/>
        <v>2.7781139961110202E-2</v>
      </c>
      <c r="AW23" s="261">
        <v>84792.857512685136</v>
      </c>
      <c r="AX23" s="261">
        <v>18495.380348020437</v>
      </c>
      <c r="AY23" s="251">
        <f t="shared" si="16"/>
        <v>66297.477164664699</v>
      </c>
      <c r="AZ23" s="249">
        <v>47.946240000000024</v>
      </c>
      <c r="BA23" s="250">
        <f t="shared" si="58"/>
        <v>3.3910261377686574E-2</v>
      </c>
      <c r="BB23" s="261">
        <v>84814.366882575137</v>
      </c>
      <c r="BC23" s="261">
        <v>18746.452902250508</v>
      </c>
      <c r="BD23" s="251">
        <f t="shared" si="17"/>
        <v>66067.913980324636</v>
      </c>
      <c r="BE23" s="249">
        <v>52.738560000000014</v>
      </c>
      <c r="BF23" s="250">
        <f t="shared" si="59"/>
        <v>3.3051134318154124E-2</v>
      </c>
      <c r="BG23" s="261">
        <v>84774.546366074486</v>
      </c>
      <c r="BH23" s="261">
        <v>18675.42932533615</v>
      </c>
      <c r="BI23" s="251">
        <f t="shared" si="18"/>
        <v>66099.117040738332</v>
      </c>
      <c r="BJ23" s="94"/>
      <c r="BK23" s="249">
        <v>99.475199999999958</v>
      </c>
      <c r="BL23" s="250">
        <f t="shared" si="60"/>
        <v>5.0282079918735664E-2</v>
      </c>
      <c r="BM23" s="261">
        <v>84446.500936917015</v>
      </c>
      <c r="BN23" s="261">
        <v>18200.047951650264</v>
      </c>
      <c r="BO23" s="251">
        <f t="shared" si="19"/>
        <v>66246.452985266747</v>
      </c>
      <c r="BP23" s="249">
        <v>186.31295999999983</v>
      </c>
      <c r="BQ23" s="250">
        <f t="shared" si="61"/>
        <v>9.0671488407444906E-2</v>
      </c>
      <c r="BR23" s="261">
        <v>84469.602168308586</v>
      </c>
      <c r="BS23" s="261">
        <v>18011.309465535851</v>
      </c>
      <c r="BT23" s="251">
        <f t="shared" si="20"/>
        <v>66458.292702772742</v>
      </c>
      <c r="BU23" s="249">
        <v>41.333759999999998</v>
      </c>
      <c r="BV23" s="250">
        <f t="shared" si="62"/>
        <v>1.9562071536074154E-2</v>
      </c>
      <c r="BW23" s="261">
        <v>84485.557568438147</v>
      </c>
      <c r="BX23" s="261">
        <v>12272.735410473178</v>
      </c>
      <c r="BY23" s="251">
        <f t="shared" si="21"/>
        <v>72212.822157964969</v>
      </c>
      <c r="BZ23" s="249">
        <f>'NR '!AY23</f>
        <v>22.014720000000029</v>
      </c>
      <c r="CA23" s="250">
        <f t="shared" si="63"/>
        <v>1.4406231703497283E-2</v>
      </c>
      <c r="CB23" s="261">
        <f>'NR '!BA23</f>
        <v>84448.041583086146</v>
      </c>
      <c r="CC23" s="261">
        <v>11706.527269027252</v>
      </c>
      <c r="CD23" s="251">
        <f t="shared" si="22"/>
        <v>72741.514314058892</v>
      </c>
      <c r="CE23" s="249">
        <f>'NR '!BB23</f>
        <v>28.21672000000002</v>
      </c>
      <c r="CF23" s="250">
        <f t="shared" si="64"/>
        <v>1.6512939469263715E-2</v>
      </c>
      <c r="CG23" s="261">
        <f>'NR '!BD23</f>
        <v>84446.024555653581</v>
      </c>
      <c r="CH23" s="261">
        <v>11898.911709085945</v>
      </c>
      <c r="CI23" s="251">
        <f t="shared" si="23"/>
        <v>72547.11284656763</v>
      </c>
      <c r="CJ23" s="249">
        <f>'NR '!BE23</f>
        <v>25.20576000000003</v>
      </c>
      <c r="CK23" s="250">
        <f t="shared" si="65"/>
        <v>1.6088312997613513E-2</v>
      </c>
      <c r="CL23" s="261">
        <f>'NR '!BG23</f>
        <v>84475.371502386668</v>
      </c>
      <c r="CM23" s="261">
        <v>11520.047005128976</v>
      </c>
      <c r="CN23" s="251">
        <f t="shared" si="24"/>
        <v>72955.324497257694</v>
      </c>
      <c r="CO23" s="249">
        <f>'NR '!BH23</f>
        <v>13.121280000000008</v>
      </c>
      <c r="CP23" s="250">
        <f t="shared" si="66"/>
        <v>1.3246085474093762E-2</v>
      </c>
      <c r="CQ23" s="261">
        <f>'NR '!BJ23</f>
        <v>84476.781990781354</v>
      </c>
      <c r="CR23" s="261">
        <v>7258.8040191200826</v>
      </c>
      <c r="CS23" s="251">
        <f t="shared" si="25"/>
        <v>77217.977971661268</v>
      </c>
      <c r="CT23" s="249">
        <v>38.436720000000008</v>
      </c>
      <c r="CU23" s="250">
        <f t="shared" si="67"/>
        <v>3.5197083929753757E-2</v>
      </c>
      <c r="CV23" s="261">
        <v>84451.728971670876</v>
      </c>
      <c r="CW23" s="261">
        <v>7356.176853800217</v>
      </c>
      <c r="CX23" s="251">
        <f t="shared" si="26"/>
        <v>77095.552117870655</v>
      </c>
      <c r="CY23" s="249">
        <v>2.1439999999999997</v>
      </c>
      <c r="CZ23" s="250">
        <f t="shared" si="68"/>
        <v>1.5487978022328097E-3</v>
      </c>
      <c r="DA23" s="261">
        <v>84491.263992537337</v>
      </c>
      <c r="DB23" s="261">
        <v>5236.7957089552237</v>
      </c>
      <c r="DC23" s="251">
        <f t="shared" si="27"/>
        <v>79254.468283582115</v>
      </c>
      <c r="DD23" s="249">
        <f>'NR '!BQ23</f>
        <v>0.46079999999999999</v>
      </c>
      <c r="DE23" s="250">
        <f t="shared" si="69"/>
        <v>3.7280160611257877E-4</v>
      </c>
      <c r="DF23" s="261">
        <f>'NR '!BS23</f>
        <v>84817.599826388891</v>
      </c>
      <c r="DG23" s="261">
        <v>48.220486111111114</v>
      </c>
      <c r="DH23" s="251">
        <f t="shared" si="70"/>
        <v>84769.379340277781</v>
      </c>
      <c r="DI23" s="373">
        <f>'NR '!BT23</f>
        <v>0.39167999999999997</v>
      </c>
      <c r="DJ23" s="250">
        <f t="shared" si="71"/>
        <v>2.8445920141107785E-4</v>
      </c>
      <c r="DK23" s="261">
        <f>'NR '!BV23</f>
        <v>84817.63174019607</v>
      </c>
      <c r="DL23" s="261">
        <v>283.59885620915037</v>
      </c>
      <c r="DM23" s="251">
        <f t="shared" si="29"/>
        <v>84534.032883986918</v>
      </c>
      <c r="DN23" s="249">
        <v>0.20735999999999999</v>
      </c>
      <c r="DO23" s="250">
        <f t="shared" si="72"/>
        <v>1.4164732005135373E-4</v>
      </c>
      <c r="DP23" s="261">
        <v>84817.563657407401</v>
      </c>
      <c r="DQ23" s="261">
        <v>0</v>
      </c>
      <c r="DR23" s="251">
        <f t="shared" si="30"/>
        <v>84817.563657407401</v>
      </c>
    </row>
    <row r="24" spans="1:122">
      <c r="A24" s="103" t="s">
        <v>138</v>
      </c>
      <c r="B24" s="249"/>
      <c r="C24" s="250">
        <f t="shared" si="48"/>
        <v>0</v>
      </c>
      <c r="D24" s="261">
        <v>0</v>
      </c>
      <c r="E24" s="261"/>
      <c r="F24" s="251">
        <f t="shared" si="7"/>
        <v>0</v>
      </c>
      <c r="G24" s="249"/>
      <c r="H24" s="250">
        <f t="shared" si="49"/>
        <v>0</v>
      </c>
      <c r="I24" s="261">
        <v>0</v>
      </c>
      <c r="J24" s="261"/>
      <c r="K24" s="251">
        <f t="shared" si="8"/>
        <v>0</v>
      </c>
      <c r="L24" s="249">
        <v>16.309999999999999</v>
      </c>
      <c r="M24" s="250">
        <f t="shared" si="50"/>
        <v>1.0897464038382048E-2</v>
      </c>
      <c r="N24" s="261">
        <v>94489.995792051894</v>
      </c>
      <c r="O24" s="261">
        <v>4427.8026590047311</v>
      </c>
      <c r="P24" s="251">
        <f t="shared" si="9"/>
        <v>90062.193133047156</v>
      </c>
      <c r="Q24" s="249">
        <v>158.97</v>
      </c>
      <c r="R24" s="250">
        <f t="shared" si="51"/>
        <v>0.11248707670174118</v>
      </c>
      <c r="S24" s="261">
        <v>92308.745446756235</v>
      </c>
      <c r="T24" s="261">
        <v>10000.462741501284</v>
      </c>
      <c r="U24" s="251">
        <f t="shared" si="10"/>
        <v>82308.282705254955</v>
      </c>
      <c r="V24" s="249">
        <v>156.78049999999973</v>
      </c>
      <c r="W24" s="250">
        <f t="shared" si="52"/>
        <v>0.10705809136038137</v>
      </c>
      <c r="X24" s="261">
        <v>92276.536579555061</v>
      </c>
      <c r="Y24" s="261">
        <v>9394.3829015686169</v>
      </c>
      <c r="Z24" s="251">
        <f t="shared" si="11"/>
        <v>82882.15367798644</v>
      </c>
      <c r="AA24" s="249">
        <v>157.72399999999939</v>
      </c>
      <c r="AB24" s="250">
        <f t="shared" si="53"/>
        <v>0.10880829708125807</v>
      </c>
      <c r="AC24" s="261">
        <v>92204.191530074444</v>
      </c>
      <c r="AD24" s="261">
        <v>9358.2583979707979</v>
      </c>
      <c r="AE24" s="251">
        <f t="shared" si="12"/>
        <v>82845.933132103644</v>
      </c>
      <c r="AF24" s="249">
        <v>185.90199999999928</v>
      </c>
      <c r="AG24" s="250">
        <f t="shared" si="54"/>
        <v>0.12445544883290201</v>
      </c>
      <c r="AH24" s="261">
        <v>92300.286988520835</v>
      </c>
      <c r="AI24" s="261">
        <v>9680.6066956580398</v>
      </c>
      <c r="AJ24" s="251">
        <f t="shared" si="13"/>
        <v>82619.680292862788</v>
      </c>
      <c r="AK24" s="249">
        <v>192.6279999999995</v>
      </c>
      <c r="AL24" s="250">
        <f t="shared" si="55"/>
        <v>0.14596982878477469</v>
      </c>
      <c r="AM24" s="261">
        <v>92320.20368155271</v>
      </c>
      <c r="AN24" s="261">
        <v>7410.4684325142416</v>
      </c>
      <c r="AO24" s="251">
        <f t="shared" si="14"/>
        <v>84909.735249038466</v>
      </c>
      <c r="AP24" s="249">
        <v>170.84799399999986</v>
      </c>
      <c r="AQ24" s="250">
        <f t="shared" si="56"/>
        <v>0.15095003323475492</v>
      </c>
      <c r="AR24" s="261">
        <v>92285.230401944311</v>
      </c>
      <c r="AS24" s="261">
        <v>6553.694742239717</v>
      </c>
      <c r="AT24" s="251">
        <f t="shared" si="15"/>
        <v>85731.53565970459</v>
      </c>
      <c r="AU24" s="249">
        <v>170.1244999999997</v>
      </c>
      <c r="AV24" s="250">
        <f t="shared" si="57"/>
        <v>0.12745106489339245</v>
      </c>
      <c r="AW24" s="261">
        <v>92332.52670838144</v>
      </c>
      <c r="AX24" s="261">
        <v>6204.1432597891844</v>
      </c>
      <c r="AY24" s="251">
        <f t="shared" si="16"/>
        <v>86128.383448592256</v>
      </c>
      <c r="AZ24" s="249">
        <v>175.08248999999941</v>
      </c>
      <c r="BA24" s="250">
        <f t="shared" si="58"/>
        <v>0.12382812496988654</v>
      </c>
      <c r="BB24" s="261">
        <v>92274.909101418423</v>
      </c>
      <c r="BC24" s="261">
        <v>6481.7543433384262</v>
      </c>
      <c r="BD24" s="251">
        <f t="shared" si="17"/>
        <v>85793.154758079996</v>
      </c>
      <c r="BE24" s="249">
        <v>245.07800999999949</v>
      </c>
      <c r="BF24" s="250">
        <f t="shared" si="59"/>
        <v>0.15358982548890035</v>
      </c>
      <c r="BG24" s="261">
        <v>92675.014824871701</v>
      </c>
      <c r="BH24" s="261">
        <v>9631.8169467754869</v>
      </c>
      <c r="BI24" s="251">
        <f t="shared" si="18"/>
        <v>83043.197878096209</v>
      </c>
      <c r="BJ24" s="94"/>
      <c r="BK24" s="249">
        <v>292.08949400000091</v>
      </c>
      <c r="BL24" s="250">
        <f t="shared" si="60"/>
        <v>0.14764350592641295</v>
      </c>
      <c r="BM24" s="261">
        <v>92215.286558713356</v>
      </c>
      <c r="BN24" s="261">
        <v>8832.5855339564332</v>
      </c>
      <c r="BO24" s="251">
        <f t="shared" si="19"/>
        <v>83382.701024756927</v>
      </c>
      <c r="BP24" s="249">
        <v>267.87799799999999</v>
      </c>
      <c r="BQ24" s="250">
        <f t="shared" si="61"/>
        <v>0.13036611511226365</v>
      </c>
      <c r="BR24" s="261">
        <v>92198.201025826507</v>
      </c>
      <c r="BS24" s="261">
        <v>8832.5855339564332</v>
      </c>
      <c r="BT24" s="251">
        <f t="shared" si="20"/>
        <v>83365.615491870078</v>
      </c>
      <c r="BU24" s="249">
        <v>290.30149800000129</v>
      </c>
      <c r="BV24" s="250">
        <f t="shared" si="62"/>
        <v>0.13739129154728516</v>
      </c>
      <c r="BW24" s="261">
        <v>92178.936396669684</v>
      </c>
      <c r="BX24" s="261">
        <v>7969.0217099740021</v>
      </c>
      <c r="BY24" s="251">
        <f t="shared" si="21"/>
        <v>84209.914686695687</v>
      </c>
      <c r="BZ24" s="249">
        <f>'NR '!AY24</f>
        <v>236.8850020000001</v>
      </c>
      <c r="CA24" s="250">
        <f t="shared" si="63"/>
        <v>0.15501538179433644</v>
      </c>
      <c r="CB24" s="261">
        <f>'NR '!BA24</f>
        <v>92203.942822855446</v>
      </c>
      <c r="CC24" s="261">
        <v>8386.5087837008869</v>
      </c>
      <c r="CD24" s="251">
        <f t="shared" si="22"/>
        <v>83817.434039154556</v>
      </c>
      <c r="CE24" s="249">
        <f>'NR '!BB24</f>
        <v>185.14749200000017</v>
      </c>
      <c r="CF24" s="250">
        <f t="shared" si="64"/>
        <v>0.10835169106409211</v>
      </c>
      <c r="CG24" s="261">
        <f>'NR '!BD24</f>
        <v>92235.121337749355</v>
      </c>
      <c r="CH24" s="261">
        <v>8229.7698636933437</v>
      </c>
      <c r="CI24" s="251">
        <f t="shared" si="23"/>
        <v>84005.351474056006</v>
      </c>
      <c r="CJ24" s="249">
        <f>'NR '!BE24</f>
        <v>25.699993999999947</v>
      </c>
      <c r="CK24" s="250">
        <f t="shared" si="65"/>
        <v>1.6403772292872262E-2</v>
      </c>
      <c r="CL24" s="261">
        <f>'NR '!BG24</f>
        <v>92113.13784742498</v>
      </c>
      <c r="CM24" s="261">
        <v>8196.8536646351185</v>
      </c>
      <c r="CN24" s="251">
        <f t="shared" si="24"/>
        <v>83916.284182789866</v>
      </c>
      <c r="CO24" s="249">
        <f>'NR '!BH24</f>
        <v>5.4240099999999911</v>
      </c>
      <c r="CP24" s="250">
        <f t="shared" si="66"/>
        <v>5.4756014712237788E-3</v>
      </c>
      <c r="CQ24" s="261">
        <f>'NR '!BJ24</f>
        <v>92091.847175798088</v>
      </c>
      <c r="CR24" s="261">
        <v>846.66510570592754</v>
      </c>
      <c r="CS24" s="251">
        <f t="shared" si="25"/>
        <v>91245.182070092167</v>
      </c>
      <c r="CT24" s="249">
        <v>4.2835079999999985</v>
      </c>
      <c r="CU24" s="250">
        <f t="shared" si="67"/>
        <v>3.9224728486138144E-3</v>
      </c>
      <c r="CV24" s="261">
        <v>91936.426872554046</v>
      </c>
      <c r="CW24" s="261">
        <v>864.66046053841899</v>
      </c>
      <c r="CX24" s="251">
        <f t="shared" si="26"/>
        <v>91071.766412015626</v>
      </c>
      <c r="CY24" s="249">
        <v>2.1295000000000002</v>
      </c>
      <c r="CZ24" s="250">
        <f t="shared" si="68"/>
        <v>1.5383231902307691E-3</v>
      </c>
      <c r="DA24" s="261">
        <v>92238.440948579519</v>
      </c>
      <c r="DB24" s="261">
        <v>1013.3787274007983</v>
      </c>
      <c r="DC24" s="251">
        <f t="shared" si="27"/>
        <v>91225.062221178727</v>
      </c>
      <c r="DD24" s="249">
        <f>'NR '!BQ24</f>
        <v>0.77000000000000024</v>
      </c>
      <c r="DE24" s="250">
        <f t="shared" si="69"/>
        <v>6.2295407271416184E-4</v>
      </c>
      <c r="DF24" s="261">
        <f>'NR '!BS24</f>
        <v>91884.064935064918</v>
      </c>
      <c r="DG24" s="261">
        <v>876.75324675324669</v>
      </c>
      <c r="DH24" s="251">
        <f t="shared" si="70"/>
        <v>91007.311688311675</v>
      </c>
      <c r="DI24" s="373">
        <f>'NR '!BT24</f>
        <v>0.17050000000000001</v>
      </c>
      <c r="DJ24" s="250">
        <f t="shared" si="71"/>
        <v>1.2382632210117644E-4</v>
      </c>
      <c r="DK24" s="261">
        <f>'NR '!BV24</f>
        <v>91552.375366568915</v>
      </c>
      <c r="DL24" s="261">
        <v>0.2932551319648094</v>
      </c>
      <c r="DM24" s="251">
        <f t="shared" si="29"/>
        <v>91552.082111436946</v>
      </c>
      <c r="DN24" s="249">
        <v>0.29400000000000004</v>
      </c>
      <c r="DO24" s="250">
        <f t="shared" si="72"/>
        <v>2.0083098039688467E-4</v>
      </c>
      <c r="DP24" s="261">
        <v>91508.741496598639</v>
      </c>
      <c r="DQ24" s="261">
        <v>399.42176870748295</v>
      </c>
      <c r="DR24" s="251">
        <f t="shared" si="30"/>
        <v>91109.319727891154</v>
      </c>
    </row>
    <row r="25" spans="1:122">
      <c r="A25" s="103" t="s">
        <v>139</v>
      </c>
      <c r="B25" s="249"/>
      <c r="C25" s="250">
        <f t="shared" si="48"/>
        <v>0</v>
      </c>
      <c r="D25" s="261">
        <v>0</v>
      </c>
      <c r="E25" s="261"/>
      <c r="F25" s="251">
        <f t="shared" si="7"/>
        <v>0</v>
      </c>
      <c r="G25" s="249"/>
      <c r="H25" s="250">
        <f t="shared" si="49"/>
        <v>0</v>
      </c>
      <c r="I25" s="261">
        <v>0</v>
      </c>
      <c r="J25" s="261"/>
      <c r="K25" s="251">
        <f t="shared" si="8"/>
        <v>0</v>
      </c>
      <c r="L25" s="249">
        <v>4.7735999999999992</v>
      </c>
      <c r="M25" s="250">
        <f t="shared" si="50"/>
        <v>3.1894625587750177E-3</v>
      </c>
      <c r="N25" s="261">
        <v>110276.27843640196</v>
      </c>
      <c r="O25" s="261">
        <v>13592.995379589463</v>
      </c>
      <c r="P25" s="251">
        <f t="shared" si="9"/>
        <v>96683.283056812492</v>
      </c>
      <c r="Q25" s="249">
        <v>1.3284000000000005</v>
      </c>
      <c r="R25" s="250">
        <f t="shared" si="51"/>
        <v>9.3997504365976624E-4</v>
      </c>
      <c r="S25" s="261">
        <v>108105.09185092131</v>
      </c>
      <c r="T25" s="261">
        <v>8585.6925735952464</v>
      </c>
      <c r="U25" s="251">
        <f t="shared" si="10"/>
        <v>99519.399277326069</v>
      </c>
      <c r="V25" s="249">
        <v>10.821599999999997</v>
      </c>
      <c r="W25" s="250">
        <f t="shared" si="52"/>
        <v>7.3895659311298571E-3</v>
      </c>
      <c r="X25" s="261">
        <v>108080.38443584518</v>
      </c>
      <c r="Y25" s="261">
        <v>5720.4228774803933</v>
      </c>
      <c r="Z25" s="251">
        <f t="shared" si="11"/>
        <v>102359.96155836478</v>
      </c>
      <c r="AA25" s="249">
        <v>1.6092</v>
      </c>
      <c r="AB25" s="250">
        <f t="shared" si="53"/>
        <v>1.1101310622553394E-3</v>
      </c>
      <c r="AC25" s="261">
        <v>107746.81418744943</v>
      </c>
      <c r="AD25" s="261">
        <v>15033.155226475033</v>
      </c>
      <c r="AE25" s="251">
        <f t="shared" si="12"/>
        <v>92713.658960974397</v>
      </c>
      <c r="AF25" s="249">
        <v>14.581800000000014</v>
      </c>
      <c r="AG25" s="250">
        <f t="shared" si="54"/>
        <v>9.7620491645685325E-3</v>
      </c>
      <c r="AH25" s="261">
        <v>109346.61462443338</v>
      </c>
      <c r="AI25" s="261">
        <v>14235.737366481822</v>
      </c>
      <c r="AJ25" s="251">
        <f t="shared" si="13"/>
        <v>95110.877257951564</v>
      </c>
      <c r="AK25" s="249">
        <v>6.2423999999999991</v>
      </c>
      <c r="AL25" s="250">
        <f t="shared" si="55"/>
        <v>4.7303718006005344E-3</v>
      </c>
      <c r="AM25" s="261">
        <v>108590.72353273859</v>
      </c>
      <c r="AN25" s="261">
        <v>5576.8746925488658</v>
      </c>
      <c r="AO25" s="251">
        <f t="shared" si="14"/>
        <v>103013.84884018972</v>
      </c>
      <c r="AP25" s="249">
        <v>10.884600000000002</v>
      </c>
      <c r="AQ25" s="250">
        <f t="shared" si="56"/>
        <v>9.6169155591432631E-3</v>
      </c>
      <c r="AR25" s="261">
        <v>109438.22097275048</v>
      </c>
      <c r="AS25" s="261">
        <v>12302.922477628939</v>
      </c>
      <c r="AT25" s="251">
        <f t="shared" si="15"/>
        <v>97135.298495121548</v>
      </c>
      <c r="AU25" s="249">
        <v>25.328399999999963</v>
      </c>
      <c r="AV25" s="250">
        <f t="shared" si="57"/>
        <v>1.8975112650122715E-2</v>
      </c>
      <c r="AW25" s="261">
        <v>108995.26815748331</v>
      </c>
      <c r="AX25" s="261">
        <v>16455.286160989268</v>
      </c>
      <c r="AY25" s="251">
        <f t="shared" si="16"/>
        <v>92539.98199649404</v>
      </c>
      <c r="AZ25" s="249">
        <v>31.580999999999985</v>
      </c>
      <c r="BA25" s="250">
        <f t="shared" si="58"/>
        <v>2.2335848745776911E-2</v>
      </c>
      <c r="BB25" s="261">
        <v>109791.06773059757</v>
      </c>
      <c r="BC25" s="261">
        <v>22724.595167980766</v>
      </c>
      <c r="BD25" s="251">
        <f t="shared" si="17"/>
        <v>87066.472562616807</v>
      </c>
      <c r="BE25" s="249">
        <v>81.886200000000031</v>
      </c>
      <c r="BF25" s="250">
        <f t="shared" si="59"/>
        <v>5.131789330241919E-2</v>
      </c>
      <c r="BG25" s="261">
        <v>109528.63620487947</v>
      </c>
      <c r="BH25" s="261">
        <v>23502.557573803635</v>
      </c>
      <c r="BI25" s="251">
        <f t="shared" si="18"/>
        <v>86026.078631075827</v>
      </c>
      <c r="BJ25" s="94"/>
      <c r="BK25" s="249">
        <v>79.930800000000076</v>
      </c>
      <c r="BL25" s="250">
        <f t="shared" si="60"/>
        <v>4.040290317152901E-2</v>
      </c>
      <c r="BM25" s="261">
        <v>108769.32346479701</v>
      </c>
      <c r="BN25" s="261">
        <v>18086.15089552461</v>
      </c>
      <c r="BO25" s="251">
        <f t="shared" si="19"/>
        <v>90683.172569272399</v>
      </c>
      <c r="BP25" s="249">
        <v>27.17039999999999</v>
      </c>
      <c r="BQ25" s="250">
        <f t="shared" si="61"/>
        <v>1.3222808593807121E-2</v>
      </c>
      <c r="BR25" s="261">
        <v>108182.03081294351</v>
      </c>
      <c r="BS25" s="261">
        <v>14805.595059329265</v>
      </c>
      <c r="BT25" s="251">
        <f t="shared" si="20"/>
        <v>93376.435753614249</v>
      </c>
      <c r="BU25" s="249">
        <v>46.072800000000029</v>
      </c>
      <c r="BV25" s="250">
        <f t="shared" si="62"/>
        <v>2.1804921920174643E-2</v>
      </c>
      <c r="BW25" s="261">
        <v>108761.95217134617</v>
      </c>
      <c r="BX25" s="261">
        <v>15100.801557535024</v>
      </c>
      <c r="BY25" s="251">
        <f t="shared" si="21"/>
        <v>93661.150613811144</v>
      </c>
      <c r="BZ25" s="249">
        <f>'NR '!AY25</f>
        <v>59.162400000000041</v>
      </c>
      <c r="CA25" s="250">
        <f t="shared" si="63"/>
        <v>3.8715334218876601E-2</v>
      </c>
      <c r="CB25" s="261">
        <f>'NR '!BA25</f>
        <v>109022.06807026076</v>
      </c>
      <c r="CC25" s="261">
        <v>18602.926858950941</v>
      </c>
      <c r="CD25" s="251">
        <f t="shared" si="22"/>
        <v>90419.141211309819</v>
      </c>
      <c r="CE25" s="249">
        <f>'NR '!BB25</f>
        <v>78.861600000000024</v>
      </c>
      <c r="CF25" s="250">
        <f t="shared" si="64"/>
        <v>4.6151247460700144E-2</v>
      </c>
      <c r="CG25" s="261">
        <f>'NR '!BD25</f>
        <v>108941.89034967587</v>
      </c>
      <c r="CH25" s="261">
        <v>19528.85422055854</v>
      </c>
      <c r="CI25" s="251">
        <f t="shared" si="23"/>
        <v>89413.036129117332</v>
      </c>
      <c r="CJ25" s="249">
        <f>'NR '!BE25</f>
        <v>22.583999999999985</v>
      </c>
      <c r="CK25" s="250">
        <f t="shared" si="65"/>
        <v>1.4414898052592063E-2</v>
      </c>
      <c r="CL25" s="261">
        <f>'NR '!BG25</f>
        <v>107814.84900814736</v>
      </c>
      <c r="CM25" s="261">
        <v>10253.590152320237</v>
      </c>
      <c r="CN25" s="251">
        <f t="shared" si="24"/>
        <v>97561.258855827124</v>
      </c>
      <c r="CO25" s="249">
        <f>'NR '!BH25</f>
        <v>47.20680000000003</v>
      </c>
      <c r="CP25" s="250">
        <f t="shared" si="66"/>
        <v>4.7655816182449379E-2</v>
      </c>
      <c r="CQ25" s="261">
        <f>'NR '!BJ25</f>
        <v>108167.42354914955</v>
      </c>
      <c r="CR25" s="261">
        <v>14127.926061499609</v>
      </c>
      <c r="CS25" s="251">
        <f t="shared" si="25"/>
        <v>94039.497487649933</v>
      </c>
      <c r="CT25" s="249">
        <v>53.694000000000017</v>
      </c>
      <c r="CU25" s="250">
        <f t="shared" si="67"/>
        <v>4.916840522615349E-2</v>
      </c>
      <c r="CV25" s="261">
        <v>108484.07457071546</v>
      </c>
      <c r="CW25" s="261">
        <v>17039.338846053561</v>
      </c>
      <c r="CX25" s="251">
        <f t="shared" si="26"/>
        <v>91444.735724661892</v>
      </c>
      <c r="CY25" s="249">
        <v>66.402000000000072</v>
      </c>
      <c r="CZ25" s="250">
        <f t="shared" si="68"/>
        <v>4.7967943873070504E-2</v>
      </c>
      <c r="DA25" s="261">
        <v>108480.54576669358</v>
      </c>
      <c r="DB25" s="261">
        <v>14534.396253124889</v>
      </c>
      <c r="DC25" s="251">
        <f t="shared" si="27"/>
        <v>93946.1495135687</v>
      </c>
      <c r="DD25" s="249">
        <f>'NR '!BQ25</f>
        <v>70.78320000000015</v>
      </c>
      <c r="DE25" s="250">
        <f t="shared" si="69"/>
        <v>5.7265821713949533E-2</v>
      </c>
      <c r="DF25" s="261">
        <f>'NR '!BS25</f>
        <v>108284.51129646567</v>
      </c>
      <c r="DG25" s="261">
        <v>12972.945133873547</v>
      </c>
      <c r="DH25" s="251">
        <f t="shared" si="70"/>
        <v>95311.56616259212</v>
      </c>
      <c r="DI25" s="373">
        <f>'NR '!BT25</f>
        <v>65.534400000000048</v>
      </c>
      <c r="DJ25" s="250">
        <f t="shared" si="71"/>
        <v>4.7594625941978545E-2</v>
      </c>
      <c r="DK25" s="261">
        <f>'NR '!BV25</f>
        <v>109850.89067726255</v>
      </c>
      <c r="DL25" s="261">
        <v>16452.393857271905</v>
      </c>
      <c r="DM25" s="251">
        <f t="shared" si="29"/>
        <v>93398.496819990643</v>
      </c>
      <c r="DN25" s="249">
        <v>69.401998800000101</v>
      </c>
      <c r="DO25" s="250">
        <f t="shared" si="72"/>
        <v>4.7408406328256568E-2</v>
      </c>
      <c r="DP25" s="261">
        <v>111827.66251971394</v>
      </c>
      <c r="DQ25" s="261">
        <v>14410.214219939708</v>
      </c>
      <c r="DR25" s="251">
        <f t="shared" si="30"/>
        <v>97417.448299774231</v>
      </c>
    </row>
    <row r="26" spans="1:122" ht="15.75" thickBot="1">
      <c r="A26" s="103" t="s">
        <v>205</v>
      </c>
      <c r="B26" s="262"/>
      <c r="C26" s="263">
        <f t="shared" si="48"/>
        <v>0</v>
      </c>
      <c r="D26" s="264">
        <v>0</v>
      </c>
      <c r="E26" s="264"/>
      <c r="F26" s="265">
        <f t="shared" si="7"/>
        <v>0</v>
      </c>
      <c r="G26" s="262">
        <v>-1.2880000000000001E-2</v>
      </c>
      <c r="H26" s="263">
        <f t="shared" si="49"/>
        <v>-9.5305265365882595E-6</v>
      </c>
      <c r="I26" s="264">
        <v>74258.874914193875</v>
      </c>
      <c r="J26" s="264"/>
      <c r="K26" s="265">
        <f t="shared" si="8"/>
        <v>74258.874914193875</v>
      </c>
      <c r="L26" s="262"/>
      <c r="M26" s="263">
        <f t="shared" si="50"/>
        <v>0</v>
      </c>
      <c r="N26" s="264">
        <v>0</v>
      </c>
      <c r="O26" s="264"/>
      <c r="P26" s="265">
        <f t="shared" si="9"/>
        <v>0</v>
      </c>
      <c r="Q26" s="262"/>
      <c r="R26" s="263">
        <f t="shared" si="51"/>
        <v>0</v>
      </c>
      <c r="S26" s="264">
        <v>0</v>
      </c>
      <c r="T26" s="264"/>
      <c r="U26" s="265">
        <f t="shared" si="10"/>
        <v>0</v>
      </c>
      <c r="V26" s="262">
        <v>-5.5999999999999995E-4</v>
      </c>
      <c r="W26" s="263">
        <f t="shared" si="52"/>
        <v>-3.8239788214614487E-7</v>
      </c>
      <c r="X26" s="264">
        <v>72362.998934381016</v>
      </c>
      <c r="Y26" s="264"/>
      <c r="Z26" s="265">
        <f t="shared" si="11"/>
        <v>72362.998934381016</v>
      </c>
      <c r="AA26" s="262"/>
      <c r="AB26" s="263">
        <f t="shared" si="53"/>
        <v>0</v>
      </c>
      <c r="AC26" s="264">
        <v>0</v>
      </c>
      <c r="AD26" s="264"/>
      <c r="AE26" s="265">
        <f t="shared" si="12"/>
        <v>0</v>
      </c>
      <c r="AF26" s="262"/>
      <c r="AG26" s="263">
        <f t="shared" si="54"/>
        <v>0</v>
      </c>
      <c r="AH26" s="264">
        <v>0</v>
      </c>
      <c r="AI26" s="264"/>
      <c r="AJ26" s="265">
        <f t="shared" si="13"/>
        <v>0</v>
      </c>
      <c r="AK26" s="262"/>
      <c r="AL26" s="263">
        <f t="shared" si="55"/>
        <v>0</v>
      </c>
      <c r="AM26" s="264"/>
      <c r="AN26" s="264"/>
      <c r="AO26" s="265">
        <f t="shared" si="14"/>
        <v>0</v>
      </c>
      <c r="AP26" s="262">
        <v>-4.1999999999999997E-3</v>
      </c>
      <c r="AQ26" s="263">
        <f t="shared" si="56"/>
        <v>-3.7108433335539842E-6</v>
      </c>
      <c r="AR26" s="264">
        <v>72361.904761904763</v>
      </c>
      <c r="AS26" s="264"/>
      <c r="AT26" s="265">
        <f t="shared" si="15"/>
        <v>72361.904761904763</v>
      </c>
      <c r="AU26" s="262"/>
      <c r="AV26" s="263">
        <f t="shared" si="57"/>
        <v>0</v>
      </c>
      <c r="AW26" s="264">
        <v>0</v>
      </c>
      <c r="AX26" s="264"/>
      <c r="AY26" s="265">
        <f t="shared" si="16"/>
        <v>0</v>
      </c>
      <c r="AZ26" s="262"/>
      <c r="BA26" s="263">
        <f t="shared" si="58"/>
        <v>0</v>
      </c>
      <c r="BB26" s="264">
        <v>0</v>
      </c>
      <c r="BC26" s="264"/>
      <c r="BD26" s="265">
        <f t="shared" si="17"/>
        <v>0</v>
      </c>
      <c r="BE26" s="262"/>
      <c r="BF26" s="263">
        <f t="shared" si="59"/>
        <v>0</v>
      </c>
      <c r="BG26" s="264"/>
      <c r="BH26" s="264">
        <v>5319.5861678004539</v>
      </c>
      <c r="BI26" s="265">
        <f t="shared" si="18"/>
        <v>-5319.5861678004539</v>
      </c>
      <c r="BJ26" s="94"/>
      <c r="BK26" s="249">
        <v>0</v>
      </c>
      <c r="BL26" s="263">
        <f t="shared" si="60"/>
        <v>0</v>
      </c>
      <c r="BM26" s="261">
        <v>0</v>
      </c>
      <c r="BN26" s="264"/>
      <c r="BO26" s="265">
        <f t="shared" si="19"/>
        <v>0</v>
      </c>
      <c r="BP26" s="262"/>
      <c r="BQ26" s="263">
        <f t="shared" si="61"/>
        <v>0</v>
      </c>
      <c r="BR26" s="261"/>
      <c r="BS26" s="264"/>
      <c r="BT26" s="265">
        <f t="shared" si="20"/>
        <v>0</v>
      </c>
      <c r="BU26" s="262">
        <v>3.9300000000000006</v>
      </c>
      <c r="BV26" s="263">
        <f t="shared" si="62"/>
        <v>1.8599551828038735E-3</v>
      </c>
      <c r="BW26" s="261">
        <v>135077.59287531808</v>
      </c>
      <c r="BX26" s="264">
        <v>36726.99745547073</v>
      </c>
      <c r="BY26" s="265">
        <f t="shared" si="21"/>
        <v>98350.595419847348</v>
      </c>
      <c r="BZ26" s="249">
        <f>'NR '!AY26</f>
        <v>1.1391250000000002</v>
      </c>
      <c r="CA26" s="250">
        <f t="shared" si="63"/>
        <v>7.4543299616103786E-4</v>
      </c>
      <c r="CB26" s="261">
        <f>'NR '!BA26</f>
        <v>134975.34511137937</v>
      </c>
      <c r="CC26" s="261">
        <v>41417.368594315805</v>
      </c>
      <c r="CD26" s="251">
        <f t="shared" si="22"/>
        <v>93557.976517063566</v>
      </c>
      <c r="CE26" s="249">
        <f>'NR '!BB26</f>
        <v>1.3349999999999997</v>
      </c>
      <c r="CF26" s="250">
        <f t="shared" si="64"/>
        <v>7.8126636233648143E-4</v>
      </c>
      <c r="CG26" s="261">
        <f>'NR '!BD26</f>
        <v>118868.24719101125</v>
      </c>
      <c r="CH26" s="261">
        <v>24903.15355805244</v>
      </c>
      <c r="CI26" s="251">
        <f t="shared" si="23"/>
        <v>93965.093632958815</v>
      </c>
      <c r="CJ26" s="249">
        <f>'NR '!BE26</f>
        <v>0.88500000000000012</v>
      </c>
      <c r="CK26" s="250">
        <f t="shared" si="65"/>
        <v>5.6487711550407297E-4</v>
      </c>
      <c r="CL26" s="261">
        <f>'NR '!BG26</f>
        <v>118832.79096045197</v>
      </c>
      <c r="CM26" s="261">
        <v>21972.497175141234</v>
      </c>
      <c r="CN26" s="251">
        <f t="shared" si="24"/>
        <v>96860.293785310729</v>
      </c>
      <c r="CO26" s="249">
        <f>'NR '!BH26</f>
        <v>1.02</v>
      </c>
      <c r="CP26" s="250">
        <f t="shared" si="66"/>
        <v>1.0297019180732084E-3</v>
      </c>
      <c r="CQ26" s="261">
        <f>'NR '!BJ26</f>
        <v>118868.24509803923</v>
      </c>
      <c r="CR26" s="261">
        <v>22204.725490196073</v>
      </c>
      <c r="CS26" s="251">
        <f t="shared" si="25"/>
        <v>96663.519607843162</v>
      </c>
      <c r="CT26" s="249">
        <v>0.48000000000000004</v>
      </c>
      <c r="CU26" s="250">
        <f t="shared" si="67"/>
        <v>4.3954323590259003E-4</v>
      </c>
      <c r="CV26" s="261">
        <v>118868.25000000001</v>
      </c>
      <c r="CW26" s="261">
        <v>24745.208333333332</v>
      </c>
      <c r="CX26" s="251">
        <f t="shared" si="26"/>
        <v>94123.041666666686</v>
      </c>
      <c r="CY26" s="249">
        <v>14.178749999999992</v>
      </c>
      <c r="CZ26" s="250">
        <f t="shared" si="68"/>
        <v>1.0242545167168117E-2</v>
      </c>
      <c r="DA26" s="261">
        <v>118664.74548179503</v>
      </c>
      <c r="DB26" s="261">
        <v>10953.416203826158</v>
      </c>
      <c r="DC26" s="251">
        <f t="shared" si="27"/>
        <v>107711.32927796888</v>
      </c>
      <c r="DD26" s="249">
        <f>'NR '!BQ26</f>
        <v>3.1612500000000003</v>
      </c>
      <c r="DE26" s="250">
        <f t="shared" si="69"/>
        <v>2.5575500809969396E-3</v>
      </c>
      <c r="DF26" s="261">
        <f>'NR '!BS26</f>
        <v>135077.58639778566</v>
      </c>
      <c r="DG26" s="261">
        <v>27122.230130486358</v>
      </c>
      <c r="DH26" s="251">
        <f t="shared" si="70"/>
        <v>107955.3562672993</v>
      </c>
      <c r="DI26" s="373">
        <f>'NR '!BT26</f>
        <v>4.5599999999999996</v>
      </c>
      <c r="DJ26" s="250">
        <f t="shared" si="71"/>
        <v>3.3117186438789701E-3</v>
      </c>
      <c r="DK26" s="261">
        <f>'NR '!BV26</f>
        <v>134504.69736842104</v>
      </c>
      <c r="DL26" s="261">
        <v>41329.649122807008</v>
      </c>
      <c r="DM26" s="251">
        <f t="shared" si="29"/>
        <v>93175.048245614031</v>
      </c>
      <c r="DN26" s="249">
        <v>-2.5000000000000001E-4</v>
      </c>
      <c r="DO26" s="250">
        <f t="shared" si="72"/>
        <v>-1.707746431946298E-7</v>
      </c>
      <c r="DP26" s="261">
        <v>545360</v>
      </c>
      <c r="DQ26" s="261">
        <v>-7919.9999999999591</v>
      </c>
      <c r="DR26" s="251">
        <f t="shared" si="30"/>
        <v>553280</v>
      </c>
    </row>
    <row r="27" spans="1:122" s="110" customFormat="1" ht="15.75" thickBot="1">
      <c r="A27" s="252" t="s">
        <v>140</v>
      </c>
      <c r="B27" s="266">
        <f>SUM(B6:B26)</f>
        <v>1250.519229999999</v>
      </c>
      <c r="C27" s="267">
        <f t="shared" si="48"/>
        <v>1</v>
      </c>
      <c r="D27" s="268">
        <f>SUMPRODUCT(B6:B26,D6:D26)/B27</f>
        <v>99405.85357272267</v>
      </c>
      <c r="E27" s="268">
        <f>SUMPRODUCT(B6:B26,E6:E26)/B27</f>
        <v>13825.685515027781</v>
      </c>
      <c r="F27" s="268">
        <f>SUMPRODUCT(B6:B26,F6:F26)/B27</f>
        <v>85580.1680576949</v>
      </c>
      <c r="G27" s="266">
        <f t="shared" ref="G27" si="73">SUM(G6:G26)</f>
        <v>1351.4468430000077</v>
      </c>
      <c r="H27" s="267">
        <f t="shared" si="49"/>
        <v>1</v>
      </c>
      <c r="I27" s="268">
        <f t="shared" ref="I27" si="74">SUMPRODUCT(G6:G26,I6:I26)/G27</f>
        <v>96309.663909982672</v>
      </c>
      <c r="J27" s="268">
        <f>SUMPRODUCT(G6:G26,J6:J26)/G27</f>
        <v>13213.758358826617</v>
      </c>
      <c r="K27" s="268">
        <f>SUMPRODUCT(G6:G26,K6:K26)/G27</f>
        <v>83095.905551156073</v>
      </c>
      <c r="L27" s="266">
        <f t="shared" ref="L27" si="75">SUM(L6:L26)</f>
        <v>1496.6784879999982</v>
      </c>
      <c r="M27" s="267">
        <f t="shared" si="50"/>
        <v>1</v>
      </c>
      <c r="N27" s="268">
        <f t="shared" ref="N27" si="76">SUMPRODUCT(L6:L26,N6:N26)/L27</f>
        <v>94229.682219154754</v>
      </c>
      <c r="O27" s="268">
        <f>SUMPRODUCT(L6:L26,O6:O26)/L27</f>
        <v>12210.75588435763</v>
      </c>
      <c r="P27" s="268">
        <f>SUMPRODUCT(L6:L26,P6:P26)/L27</f>
        <v>82018.926334797143</v>
      </c>
      <c r="Q27" s="266">
        <f t="shared" ref="Q27" si="77">SUM(Q6:Q26)</f>
        <v>1413.2290095999917</v>
      </c>
      <c r="R27" s="267">
        <f t="shared" si="51"/>
        <v>1</v>
      </c>
      <c r="S27" s="268">
        <f t="shared" ref="S27" si="78">SUMPRODUCT(Q6:Q26,S6:S26)/Q27</f>
        <v>91626.664560721852</v>
      </c>
      <c r="T27" s="268">
        <f>SUMPRODUCT(Q6:Q26,T6:T26)/Q27</f>
        <v>12089.826466682092</v>
      </c>
      <c r="U27" s="268">
        <f>SUMPRODUCT(Q6:Q26,U6:U26)/Q27</f>
        <v>79536.838094039733</v>
      </c>
      <c r="V27" s="266">
        <f t="shared" ref="V27" si="79">SUM(V6:V26)</f>
        <v>1464.4432569999933</v>
      </c>
      <c r="W27" s="267">
        <f t="shared" si="52"/>
        <v>1</v>
      </c>
      <c r="X27" s="268">
        <f t="shared" ref="X27" si="80">SUMPRODUCT(V6:V26,X6:X26)/V27</f>
        <v>91584.563896254025</v>
      </c>
      <c r="Y27" s="268">
        <f>SUMPRODUCT(V6:V26,Y6:Y26)/V27</f>
        <v>12035.221158902032</v>
      </c>
      <c r="Z27" s="268">
        <f>SUMPRODUCT(V6:V26,Z6:Z26)/V27</f>
        <v>79549.342737351995</v>
      </c>
      <c r="AA27" s="266">
        <f t="shared" ref="AA27" si="81">SUM(AA6:AA26)</f>
        <v>1449.5585743999932</v>
      </c>
      <c r="AB27" s="267">
        <f t="shared" si="53"/>
        <v>1</v>
      </c>
      <c r="AC27" s="268">
        <f t="shared" ref="AC27" si="82">SUMPRODUCT(AA6:AA26,AC6:AC26)/AA27</f>
        <v>89600.965036246402</v>
      </c>
      <c r="AD27" s="268">
        <f>SUMPRODUCT(AA6:AA26,AD6:AD26)/AA27</f>
        <v>11839.510290923201</v>
      </c>
      <c r="AE27" s="268">
        <f>SUMPRODUCT(AA6:AA26,AE6:AE26)/AA27</f>
        <v>77761.454745323193</v>
      </c>
      <c r="AF27" s="266">
        <f t="shared" ref="AF27" si="83">SUM(AF6:AF26)</f>
        <v>1493.7232699999936</v>
      </c>
      <c r="AG27" s="267">
        <f t="shared" si="54"/>
        <v>1</v>
      </c>
      <c r="AH27" s="268">
        <f t="shared" ref="AH27" si="84">SUMPRODUCT(AF6:AF26,AH6:AH26)/AF27</f>
        <v>89451.618971171789</v>
      </c>
      <c r="AI27" s="268">
        <f>SUMPRODUCT(AF6:AF26,AI6:AI26)/AF27</f>
        <v>12080.483690981517</v>
      </c>
      <c r="AJ27" s="268">
        <f>SUMPRODUCT(AF6:AF26,AJ6:AJ26)/AF27</f>
        <v>77371.135280190254</v>
      </c>
      <c r="AK27" s="266">
        <f t="shared" ref="AK27" si="85">SUM(AK6:AK26)</f>
        <v>1319.6425699999963</v>
      </c>
      <c r="AL27" s="267">
        <f t="shared" si="55"/>
        <v>1</v>
      </c>
      <c r="AM27" s="268">
        <f t="shared" ref="AM27" si="86">SUMPRODUCT(AK6:AK26,AM6:AM26)/AK27</f>
        <v>89070.447852174417</v>
      </c>
      <c r="AN27" s="268">
        <f>SUMPRODUCT(AK6:AK26,AN6:AN26)/AK27</f>
        <v>9990.5273289590696</v>
      </c>
      <c r="AO27" s="268">
        <f>SUMPRODUCT(AK6:AK26,AO6:AO26)/AK27</f>
        <v>79079.920523215362</v>
      </c>
      <c r="AP27" s="266">
        <f t="shared" ref="AP27" si="87">SUM(AP6:AP26)</f>
        <v>1131.8181939999972</v>
      </c>
      <c r="AQ27" s="267">
        <f t="shared" si="56"/>
        <v>1</v>
      </c>
      <c r="AR27" s="268">
        <f t="shared" ref="AR27" si="88">SUMPRODUCT(AP6:AP26,AR6:AR26)/AP27</f>
        <v>87655.831825230794</v>
      </c>
      <c r="AS27" s="268">
        <f>SUMPRODUCT(AP6:AP26,AS6:AS26)/AP27</f>
        <v>7657.9491175771145</v>
      </c>
      <c r="AT27" s="268">
        <f>SUMPRODUCT(AP6:AP26,AT6:AT26)/AP27</f>
        <v>79997.882707653698</v>
      </c>
      <c r="AU27" s="266">
        <f t="shared" ref="AU27" si="89">SUM(AU6:AU26)</f>
        <v>1334.8221149999949</v>
      </c>
      <c r="AV27" s="267">
        <f t="shared" si="57"/>
        <v>1</v>
      </c>
      <c r="AW27" s="268">
        <f t="shared" ref="AW27" si="90">SUMPRODUCT(AU6:AU26,AW6:AW26)/AU27</f>
        <v>88198.370215045783</v>
      </c>
      <c r="AX27" s="268">
        <f>SUMPRODUCT(AU6:AU26,AX6:AX26)/AU27</f>
        <v>9125.4787009578831</v>
      </c>
      <c r="AY27" s="268">
        <f>SUMPRODUCT(AU6:AU26,AY6:AY26)/AU27</f>
        <v>79072.891514087896</v>
      </c>
      <c r="AZ27" s="266">
        <f t="shared" ref="AZ27" si="91">SUM(AZ6:AZ26)</f>
        <v>1413.9153769999932</v>
      </c>
      <c r="BA27" s="267">
        <f t="shared" si="58"/>
        <v>1</v>
      </c>
      <c r="BB27" s="268">
        <f t="shared" ref="BB27" si="92">SUMPRODUCT(AZ6:AZ26,BB6:BB26)/AZ27</f>
        <v>88754.605014809582</v>
      </c>
      <c r="BC27" s="268">
        <f>SUMPRODUCT(AZ6:AZ26,BC6:BC26)/AZ27</f>
        <v>10144.678036131203</v>
      </c>
      <c r="BD27" s="268">
        <f>SUMPRODUCT(AZ6:AZ26,BD6:BD26)/AZ27</f>
        <v>78609.926978678384</v>
      </c>
      <c r="BE27" s="266">
        <f t="shared" ref="BE27" si="93">SUM(BE6:BE26)</f>
        <v>1595.6656583199961</v>
      </c>
      <c r="BF27" s="267">
        <f t="shared" si="59"/>
        <v>1</v>
      </c>
      <c r="BG27" s="268">
        <f t="shared" ref="BG27" si="94">SUMPRODUCT(BE6:BE26,BG6:BG26)/BE27</f>
        <v>90054.534564146714</v>
      </c>
      <c r="BH27" s="268">
        <f>SUMPRODUCT(BE6:BE26,BH6:BH26)/BE27</f>
        <v>11217.943568984389</v>
      </c>
      <c r="BI27" s="268">
        <f>SUMPRODUCT(BE6:BE26,BI6:BI26)/BE27</f>
        <v>78836.590995162333</v>
      </c>
      <c r="BK27" s="294">
        <f>SUM(BK6:BK26)</f>
        <v>1978.3429834399985</v>
      </c>
      <c r="BL27" s="313">
        <f t="shared" si="60"/>
        <v>1</v>
      </c>
      <c r="BM27" s="294">
        <f>SUMPRODUCT(BK6:BK26,BM6:BM26)/BK27</f>
        <v>88905.77097211135</v>
      </c>
      <c r="BN27" s="268">
        <f>SUMPRODUCT(BK6:BK26,BN6:BN26)/BK27</f>
        <v>10352.879890276174</v>
      </c>
      <c r="BO27" s="268">
        <f>SUMPRODUCT(BK6:BK26,BO6:BO26)/BK27</f>
        <v>78552.891081835187</v>
      </c>
      <c r="BP27" s="294">
        <f>SUM(BP6:BP26)</f>
        <v>2054.8130759999958</v>
      </c>
      <c r="BQ27" s="313">
        <f t="shared" si="61"/>
        <v>1</v>
      </c>
      <c r="BR27" s="294">
        <f>SUMPRODUCT(BP6:BP26,BR6:BR26)/BP27</f>
        <v>87851.72188090533</v>
      </c>
      <c r="BS27" s="268">
        <f>SUMPRODUCT(BP6:BP26,BS6:BS26)/BP27</f>
        <v>10462.662001280731</v>
      </c>
      <c r="BT27" s="268">
        <f>SUMPRODUCT(BP6:BP26,BT6:BT26)/BP27</f>
        <v>77389.059879624605</v>
      </c>
      <c r="BU27" s="294">
        <f>SUM(BU6:BU26)</f>
        <v>2112.9541380000051</v>
      </c>
      <c r="BV27" s="313">
        <f t="shared" si="62"/>
        <v>1</v>
      </c>
      <c r="BW27" s="294">
        <f>SUMPRODUCT(BU6:BU26,BW6:BW26)/BU27</f>
        <v>88514.799098776537</v>
      </c>
      <c r="BX27" s="268">
        <f>SUMPRODUCT(BU6:BU26,BX6:BX26)/BU27</f>
        <v>9555.2271187061124</v>
      </c>
      <c r="BY27" s="268">
        <f>SUMPRODUCT(BU6:BU26,BY6:BY26)/BU27</f>
        <v>78959.571980070439</v>
      </c>
      <c r="BZ27" s="294">
        <f>SUM(BZ6:BZ26)</f>
        <v>1528.1386869999942</v>
      </c>
      <c r="CA27" s="361">
        <f t="shared" si="63"/>
        <v>1</v>
      </c>
      <c r="CB27" s="294">
        <f>SUMPRODUCT(BZ6:BZ26,CB6:CB26)/BZ27</f>
        <v>88726.332212804322</v>
      </c>
      <c r="CC27" s="255">
        <f>SUMPRODUCT(BZ6:BZ26,CC6:CC26)/BZ27</f>
        <v>9371.9793672641772</v>
      </c>
      <c r="CD27" s="255">
        <f>SUMPRODUCT(BZ6:BZ26,CD6:CD26)/BZ27</f>
        <v>79354.352845540139</v>
      </c>
      <c r="CE27" s="294">
        <f>SUM(CE6:CE26)</f>
        <v>1708.7642119999944</v>
      </c>
      <c r="CF27" s="361">
        <f t="shared" si="64"/>
        <v>1</v>
      </c>
      <c r="CG27" s="294">
        <f>SUMPRODUCT(CE6:CE26,CG6:CG26)/CE27</f>
        <v>88036.332264898898</v>
      </c>
      <c r="CH27" s="255">
        <f>SUMPRODUCT(CE6:CE26,CH6:CH26)/CE27</f>
        <v>8667.6975652858891</v>
      </c>
      <c r="CI27" s="255">
        <f>SUMPRODUCT(CE6:CE26,CI6:CI26)/CE27</f>
        <v>79368.634699613016</v>
      </c>
      <c r="CJ27" s="294">
        <f>SUM(CJ6:CJ26)</f>
        <v>1566.7124330399943</v>
      </c>
      <c r="CK27" s="361">
        <f t="shared" si="65"/>
        <v>1</v>
      </c>
      <c r="CL27" s="294">
        <f>SUMPRODUCT(CJ6:CJ26,CL6:CL26)/CJ27</f>
        <v>88031.896595332961</v>
      </c>
      <c r="CM27" s="255">
        <f>SUMPRODUCT(CJ6:CJ26,CM6:CM26)/CJ27</f>
        <v>8283.5422993472239</v>
      </c>
      <c r="CN27" s="255">
        <f>SUMPRODUCT(CJ6:CJ26,CN6:CN26)/CJ27</f>
        <v>79748.3542959857</v>
      </c>
      <c r="CO27" s="294">
        <f>SUM(CO6:CO26)</f>
        <v>990.57793531999744</v>
      </c>
      <c r="CP27" s="361">
        <f t="shared" si="66"/>
        <v>1</v>
      </c>
      <c r="CQ27" s="294">
        <f>SUMPRODUCT(CO6:CO26,CQ6:CQ26)/CO27</f>
        <v>91311.440195546471</v>
      </c>
      <c r="CR27" s="255">
        <f>SUMPRODUCT(CO6:CO26,CR6:CR26)/CO27</f>
        <v>4550.6826765163032</v>
      </c>
      <c r="CS27" s="255">
        <f>SUMPRODUCT(CO6:CO26,CS6:CS26)/CO27</f>
        <v>86760.757519030172</v>
      </c>
      <c r="CT27" s="294">
        <f>SUM(CT6:CT26)</f>
        <v>1092.0427407199957</v>
      </c>
      <c r="CU27" s="361">
        <f t="shared" si="67"/>
        <v>1</v>
      </c>
      <c r="CV27" s="294">
        <f>SUMPRODUCT(CT6:CT26,CV6:CV26)/CT27</f>
        <v>92155.188462356731</v>
      </c>
      <c r="CW27" s="255">
        <f>SUMPRODUCT(CT6:CT26,CW6:CW26)/CT27</f>
        <v>4865.2052725491967</v>
      </c>
      <c r="CX27" s="255">
        <f>SUMPRODUCT(CT6:CT26,CX6:CX26)/CT27</f>
        <v>87289.983189807521</v>
      </c>
      <c r="CY27" s="294">
        <f>SUM(CY6:CY26)</f>
        <v>1384.2994849999932</v>
      </c>
      <c r="CZ27" s="361">
        <f t="shared" si="68"/>
        <v>1</v>
      </c>
      <c r="DA27" s="294">
        <f>SUMPRODUCT(CY6:CY26,DA6:DA26)/CY27</f>
        <v>93950.079306719126</v>
      </c>
      <c r="DB27" s="255">
        <f>SUMPRODUCT(CY6:CY26,DB6:DB26)/CY27</f>
        <v>6949.3956649128495</v>
      </c>
      <c r="DC27" s="255">
        <f>SUMPRODUCT(CY6:CY26,DC6:DC26)/CY27</f>
        <v>87000.683641806274</v>
      </c>
      <c r="DD27" s="294">
        <f>SUM(DD6:DD26)</f>
        <v>1236.0461769599979</v>
      </c>
      <c r="DE27" s="361">
        <f t="shared" si="69"/>
        <v>1</v>
      </c>
      <c r="DF27" s="294">
        <f>SUMPRODUCT(DD6:DD26,DF6:DF26)/DD27</f>
        <v>98355.770881475008</v>
      </c>
      <c r="DG27" s="255">
        <f>SUMPRODUCT(DD6:DD26,DG6:DG26)/DD27</f>
        <v>10431.954364126706</v>
      </c>
      <c r="DH27" s="255">
        <f>SUMPRODUCT(DD6:DD26,DH6:DH26)/DD27</f>
        <v>87923.816517348299</v>
      </c>
      <c r="DI27" s="294">
        <f>SUM(DI6:DI26)</f>
        <v>1376.9285649999949</v>
      </c>
      <c r="DJ27" s="361">
        <f t="shared" si="71"/>
        <v>1</v>
      </c>
      <c r="DK27" s="294">
        <f>SUMPRODUCT(DI6:DI26,DK6:DK26)/DI27</f>
        <v>100293.38019434625</v>
      </c>
      <c r="DL27" s="294">
        <f>SUMPRODUCT(DI6:DI26,DL6:DL26)/DI27</f>
        <v>11637.478840451002</v>
      </c>
      <c r="DM27" s="255">
        <f>SUMPRODUCT(DI6:DI26,DM6:DM26)/DI27</f>
        <v>88655.901353895257</v>
      </c>
      <c r="DN27" s="294">
        <f>SUM(DN6:DN26)</f>
        <v>1463.9175659999946</v>
      </c>
      <c r="DO27" s="361">
        <f t="shared" si="72"/>
        <v>1</v>
      </c>
      <c r="DP27" s="294">
        <f>SUMPRODUCT(DN6:DN26,DP6:DP26)/DN27</f>
        <v>97742.309575083826</v>
      </c>
      <c r="DQ27" s="294">
        <f>SUMPRODUCT(DN6:DN26,DQ6:DQ26)/DN27</f>
        <v>6809.76093767569</v>
      </c>
      <c r="DR27" s="255">
        <f>SUMPRODUCT(DN6:DN26,DR6:DR26)/DN27</f>
        <v>90932.548637408137</v>
      </c>
    </row>
    <row r="28" spans="1:122">
      <c r="B28"/>
      <c r="G28"/>
      <c r="L28"/>
      <c r="Q28"/>
      <c r="V28"/>
      <c r="AA28"/>
      <c r="AI28" s="283"/>
      <c r="AN28" s="283"/>
      <c r="AS28" s="283"/>
      <c r="BK28"/>
      <c r="BW28" s="94"/>
      <c r="BX28" s="94"/>
      <c r="BY28" s="94"/>
      <c r="CB28" s="94"/>
      <c r="CC28" s="94"/>
      <c r="CD28" s="94"/>
      <c r="CG28" s="94"/>
      <c r="CH28" s="283"/>
      <c r="CI28" s="94"/>
      <c r="CL28" s="94"/>
      <c r="CM28" s="94"/>
      <c r="CN28" s="94"/>
      <c r="CQ28" s="94"/>
      <c r="CR28" s="283">
        <f>CR27/CQ27</f>
        <v>4.9836939016303608E-2</v>
      </c>
      <c r="CS28" s="94"/>
      <c r="CV28" s="94"/>
      <c r="CW28" s="283">
        <f>CW27/CV27</f>
        <v>5.2793612098536599E-2</v>
      </c>
      <c r="CX28" s="334">
        <f>(CX27-CS27)/CS27</f>
        <v>6.0998276860511251E-3</v>
      </c>
      <c r="DB28" s="283">
        <f>DB27/DA27</f>
        <v>7.3969023934776418E-2</v>
      </c>
      <c r="DC28" s="334">
        <f>(DC27-CX27)/CX27</f>
        <v>-3.3142353501452748E-3</v>
      </c>
      <c r="DG28" s="283">
        <f>DG27/DF27</f>
        <v>0.10606347010078217</v>
      </c>
      <c r="DH28" s="334">
        <f>(DH27-DC27)/DC27</f>
        <v>1.0610639329487224E-2</v>
      </c>
      <c r="DL28" s="283">
        <f>DL27/DK27</f>
        <v>0.11603436655440427</v>
      </c>
      <c r="DM28" s="334">
        <f>(DM27-DH27)/DH27</f>
        <v>8.3263541727912737E-3</v>
      </c>
    </row>
    <row r="29" spans="1:122">
      <c r="B29"/>
      <c r="D29" s="260"/>
      <c r="E29" s="260"/>
      <c r="F29" s="260"/>
      <c r="G29"/>
      <c r="I29" s="260"/>
      <c r="J29" s="260"/>
      <c r="K29" s="260"/>
      <c r="L29"/>
      <c r="N29" s="260"/>
      <c r="O29" s="260"/>
      <c r="P29" s="260"/>
      <c r="Q29"/>
      <c r="S29" s="260"/>
      <c r="T29" s="260"/>
      <c r="U29" s="260"/>
      <c r="V29"/>
      <c r="X29" s="260"/>
      <c r="Y29" s="260"/>
      <c r="Z29" s="260"/>
      <c r="AA29"/>
      <c r="AC29" s="260"/>
      <c r="AD29" s="260"/>
      <c r="AE29" s="260"/>
      <c r="AH29" s="260"/>
      <c r="AM29" s="260"/>
      <c r="AR29" s="260"/>
      <c r="BG29" s="260"/>
      <c r="BK29"/>
      <c r="BM29" s="260"/>
      <c r="BN29" s="260"/>
      <c r="BO29" s="260"/>
      <c r="BX29" s="334"/>
      <c r="CC29" s="334"/>
      <c r="CH29" s="333"/>
      <c r="CM29" s="333"/>
      <c r="CR29" s="333"/>
      <c r="CS29" s="94"/>
      <c r="CW29" s="333"/>
      <c r="CX29" s="94"/>
      <c r="DP29" s="260">
        <f>SUMPRODUCT(DN6:DN26,DP6:DP26)/DN27</f>
        <v>97742.309575083826</v>
      </c>
      <c r="DQ29" s="260"/>
      <c r="DR29" s="260"/>
    </row>
    <row r="30" spans="1:122">
      <c r="B30"/>
      <c r="G30"/>
      <c r="L30"/>
      <c r="Q30"/>
      <c r="V30"/>
      <c r="AA30"/>
      <c r="BK30"/>
      <c r="CR30" s="95"/>
      <c r="CW30" s="95"/>
    </row>
    <row r="31" spans="1:122">
      <c r="B31"/>
      <c r="G31"/>
      <c r="L31"/>
      <c r="Q31"/>
      <c r="V31"/>
      <c r="AA31"/>
      <c r="BK31"/>
      <c r="CR31" s="95"/>
      <c r="CW31" s="95"/>
    </row>
    <row r="32" spans="1:122">
      <c r="A32" s="428" t="s">
        <v>202</v>
      </c>
      <c r="B32" s="428"/>
      <c r="C32" s="428"/>
      <c r="D32" s="428"/>
      <c r="E32" s="340"/>
      <c r="F32" s="340"/>
      <c r="G32"/>
      <c r="L32"/>
      <c r="Q32"/>
      <c r="T32" s="340"/>
      <c r="U32" s="340"/>
      <c r="V32"/>
      <c r="Y32" s="340"/>
      <c r="Z32" s="340"/>
      <c r="AA32"/>
      <c r="AD32" s="340"/>
      <c r="AE32" s="340"/>
      <c r="CR32" s="95"/>
      <c r="CW32" s="95"/>
    </row>
    <row r="33" spans="1:122" ht="15.75" thickBot="1">
      <c r="B33"/>
      <c r="G33"/>
      <c r="L33"/>
      <c r="Q33"/>
      <c r="V33"/>
      <c r="AA33"/>
      <c r="BK33" s="110" t="s">
        <v>169</v>
      </c>
      <c r="CR33" s="95"/>
      <c r="CW33" s="95"/>
    </row>
    <row r="34" spans="1:122" s="110" customFormat="1" ht="15.75" thickBot="1">
      <c r="A34" s="129" t="s">
        <v>142</v>
      </c>
      <c r="B34" s="423" t="s">
        <v>80</v>
      </c>
      <c r="C34" s="423"/>
      <c r="D34" s="423"/>
      <c r="E34" s="423"/>
      <c r="F34" s="424"/>
      <c r="G34" s="422" t="s">
        <v>81</v>
      </c>
      <c r="H34" s="423"/>
      <c r="I34" s="423"/>
      <c r="J34" s="423"/>
      <c r="K34" s="424"/>
      <c r="L34" s="422" t="s">
        <v>82</v>
      </c>
      <c r="M34" s="423"/>
      <c r="N34" s="423"/>
      <c r="O34" s="423"/>
      <c r="P34" s="424"/>
      <c r="Q34" s="422" t="s">
        <v>83</v>
      </c>
      <c r="R34" s="423"/>
      <c r="S34" s="423"/>
      <c r="T34" s="423"/>
      <c r="U34" s="424"/>
      <c r="V34" s="422" t="s">
        <v>119</v>
      </c>
      <c r="W34" s="423"/>
      <c r="X34" s="423"/>
      <c r="Y34" s="423"/>
      <c r="Z34" s="424"/>
      <c r="AA34" s="422" t="s">
        <v>143</v>
      </c>
      <c r="AB34" s="423"/>
      <c r="AC34" s="423"/>
      <c r="AD34" s="423"/>
      <c r="AE34" s="424"/>
      <c r="AF34" s="422" t="s">
        <v>146</v>
      </c>
      <c r="AG34" s="423"/>
      <c r="AH34" s="423"/>
      <c r="AI34" s="423"/>
      <c r="AJ34" s="424"/>
      <c r="AK34" s="422" t="s">
        <v>156</v>
      </c>
      <c r="AL34" s="423"/>
      <c r="AM34" s="423"/>
      <c r="AN34" s="423"/>
      <c r="AO34" s="424"/>
      <c r="AP34" s="422" t="s">
        <v>157</v>
      </c>
      <c r="AQ34" s="423"/>
      <c r="AR34" s="423"/>
      <c r="AS34" s="423"/>
      <c r="AT34" s="424"/>
      <c r="AU34" s="422" t="s">
        <v>158</v>
      </c>
      <c r="AV34" s="423"/>
      <c r="AW34" s="423"/>
      <c r="AX34" s="423"/>
      <c r="AY34" s="424"/>
      <c r="AZ34" s="422" t="s">
        <v>160</v>
      </c>
      <c r="BA34" s="423"/>
      <c r="BB34" s="423"/>
      <c r="BC34" s="423"/>
      <c r="BD34" s="424"/>
      <c r="BE34" s="422" t="s">
        <v>161</v>
      </c>
      <c r="BF34" s="423"/>
      <c r="BG34" s="423"/>
      <c r="BH34" s="423"/>
      <c r="BI34" s="424"/>
      <c r="BK34" s="425" t="s">
        <v>80</v>
      </c>
      <c r="BL34" s="420"/>
      <c r="BM34" s="420"/>
      <c r="BN34" s="420"/>
      <c r="BO34" s="421"/>
      <c r="BP34" s="425" t="str">
        <f>BP4</f>
        <v>MAY</v>
      </c>
      <c r="BQ34" s="420"/>
      <c r="BR34" s="420"/>
      <c r="BS34" s="420"/>
      <c r="BT34" s="421"/>
      <c r="BU34" s="425" t="str">
        <f>BU4</f>
        <v>JUNE</v>
      </c>
      <c r="BV34" s="420"/>
      <c r="BW34" s="420"/>
      <c r="BX34" s="420"/>
      <c r="BY34" s="421"/>
      <c r="BZ34" s="425" t="str">
        <f>BZ4</f>
        <v>JULY</v>
      </c>
      <c r="CA34" s="420"/>
      <c r="CB34" s="420"/>
      <c r="CC34" s="420"/>
      <c r="CD34" s="421"/>
      <c r="CE34" s="425" t="str">
        <f>CE4</f>
        <v>AUG</v>
      </c>
      <c r="CF34" s="420"/>
      <c r="CG34" s="420"/>
      <c r="CH34" s="420"/>
      <c r="CI34" s="421"/>
      <c r="CJ34" s="425" t="str">
        <f>CJ4</f>
        <v>SEPT</v>
      </c>
      <c r="CK34" s="420"/>
      <c r="CL34" s="420"/>
      <c r="CM34" s="420"/>
      <c r="CN34" s="421"/>
      <c r="CO34" s="425" t="str">
        <f>CO4</f>
        <v>OCT</v>
      </c>
      <c r="CP34" s="420"/>
      <c r="CQ34" s="420"/>
      <c r="CR34" s="420"/>
      <c r="CS34" s="421"/>
      <c r="CT34" s="425" t="str">
        <f>CT4</f>
        <v>NOV</v>
      </c>
      <c r="CU34" s="420"/>
      <c r="CV34" s="420"/>
      <c r="CW34" s="420"/>
      <c r="CX34" s="421"/>
      <c r="CY34" s="425" t="str">
        <f>CY4</f>
        <v>DEC</v>
      </c>
      <c r="CZ34" s="420"/>
      <c r="DA34" s="420"/>
      <c r="DB34" s="420"/>
      <c r="DC34" s="421"/>
      <c r="DD34" s="425" t="str">
        <f>DD4</f>
        <v>JAN 17</v>
      </c>
      <c r="DE34" s="420"/>
      <c r="DF34" s="420"/>
      <c r="DG34" s="420"/>
      <c r="DH34" s="421"/>
      <c r="DI34" s="425" t="str">
        <f>DI4</f>
        <v>FEB 17</v>
      </c>
      <c r="DJ34" s="420"/>
      <c r="DK34" s="420"/>
      <c r="DL34" s="420"/>
      <c r="DM34" s="421"/>
      <c r="DN34" s="425" t="str">
        <f>DN4</f>
        <v>MARCH 17</v>
      </c>
      <c r="DO34" s="420"/>
      <c r="DP34" s="420"/>
      <c r="DQ34" s="420"/>
      <c r="DR34" s="421"/>
    </row>
    <row r="35" spans="1:122" s="318" customFormat="1">
      <c r="A35" s="314" t="s">
        <v>144</v>
      </c>
      <c r="B35" s="315" t="s">
        <v>122</v>
      </c>
      <c r="C35" s="315" t="s">
        <v>123</v>
      </c>
      <c r="D35" s="315" t="s">
        <v>108</v>
      </c>
      <c r="E35" s="315" t="s">
        <v>150</v>
      </c>
      <c r="F35" s="316" t="str">
        <f>F5</f>
        <v>Net NR</v>
      </c>
      <c r="G35" s="317" t="s">
        <v>122</v>
      </c>
      <c r="H35" s="315" t="s">
        <v>123</v>
      </c>
      <c r="I35" s="315" t="s">
        <v>108</v>
      </c>
      <c r="J35" s="315" t="s">
        <v>150</v>
      </c>
      <c r="K35" s="316" t="str">
        <f>K5</f>
        <v>Net NR</v>
      </c>
      <c r="L35" s="317" t="s">
        <v>122</v>
      </c>
      <c r="M35" s="315" t="s">
        <v>123</v>
      </c>
      <c r="N35" s="315" t="s">
        <v>108</v>
      </c>
      <c r="O35" s="315" t="s">
        <v>150</v>
      </c>
      <c r="P35" s="316" t="str">
        <f>P5</f>
        <v>Net NR</v>
      </c>
      <c r="Q35" s="317" t="s">
        <v>122</v>
      </c>
      <c r="R35" s="315" t="s">
        <v>123</v>
      </c>
      <c r="S35" s="315" t="s">
        <v>108</v>
      </c>
      <c r="T35" s="315" t="s">
        <v>150</v>
      </c>
      <c r="U35" s="316" t="str">
        <f>U5</f>
        <v>Net NR</v>
      </c>
      <c r="V35" s="317" t="s">
        <v>122</v>
      </c>
      <c r="W35" s="315" t="s">
        <v>123</v>
      </c>
      <c r="X35" s="315" t="s">
        <v>108</v>
      </c>
      <c r="Y35" s="315" t="s">
        <v>150</v>
      </c>
      <c r="Z35" s="316" t="str">
        <f>Z5</f>
        <v>Net NR</v>
      </c>
      <c r="AA35" s="317" t="s">
        <v>122</v>
      </c>
      <c r="AB35" s="315" t="s">
        <v>123</v>
      </c>
      <c r="AC35" s="315" t="s">
        <v>108</v>
      </c>
      <c r="AD35" s="315" t="s">
        <v>150</v>
      </c>
      <c r="AE35" s="316" t="str">
        <f>AE5</f>
        <v>Net NR</v>
      </c>
      <c r="AF35" s="317" t="s">
        <v>122</v>
      </c>
      <c r="AG35" s="315" t="s">
        <v>123</v>
      </c>
      <c r="AH35" s="315" t="s">
        <v>108</v>
      </c>
      <c r="AI35" s="315" t="s">
        <v>150</v>
      </c>
      <c r="AJ35" s="316" t="str">
        <f>AJ5</f>
        <v>Net NR</v>
      </c>
      <c r="AK35" s="317" t="s">
        <v>122</v>
      </c>
      <c r="AL35" s="315" t="s">
        <v>123</v>
      </c>
      <c r="AM35" s="315" t="s">
        <v>108</v>
      </c>
      <c r="AN35" s="315" t="s">
        <v>150</v>
      </c>
      <c r="AO35" s="316" t="str">
        <f>AO5</f>
        <v>Net NR</v>
      </c>
      <c r="AP35" s="317" t="s">
        <v>122</v>
      </c>
      <c r="AQ35" s="315" t="s">
        <v>123</v>
      </c>
      <c r="AR35" s="315" t="s">
        <v>108</v>
      </c>
      <c r="AS35" s="315" t="s">
        <v>150</v>
      </c>
      <c r="AT35" s="316" t="str">
        <f>AT5</f>
        <v>Net NR</v>
      </c>
      <c r="AU35" s="317" t="s">
        <v>122</v>
      </c>
      <c r="AV35" s="315" t="s">
        <v>123</v>
      </c>
      <c r="AW35" s="315" t="s">
        <v>108</v>
      </c>
      <c r="AX35" s="315" t="s">
        <v>150</v>
      </c>
      <c r="AY35" s="316" t="str">
        <f>AY5</f>
        <v>Net NR</v>
      </c>
      <c r="AZ35" s="317" t="s">
        <v>122</v>
      </c>
      <c r="BA35" s="315" t="s">
        <v>123</v>
      </c>
      <c r="BB35" s="315" t="s">
        <v>108</v>
      </c>
      <c r="BC35" s="315" t="s">
        <v>150</v>
      </c>
      <c r="BD35" s="316" t="str">
        <f>BD5</f>
        <v>Net NR</v>
      </c>
      <c r="BE35" s="317" t="s">
        <v>122</v>
      </c>
      <c r="BF35" s="315" t="s">
        <v>123</v>
      </c>
      <c r="BG35" s="315" t="s">
        <v>108</v>
      </c>
      <c r="BH35" s="315" t="s">
        <v>150</v>
      </c>
      <c r="BI35" s="316" t="str">
        <f>BI5</f>
        <v>Net NR</v>
      </c>
      <c r="BK35" s="317" t="s">
        <v>122</v>
      </c>
      <c r="BL35" s="315" t="s">
        <v>123</v>
      </c>
      <c r="BM35" s="315" t="s">
        <v>108</v>
      </c>
      <c r="BN35" s="315" t="s">
        <v>150</v>
      </c>
      <c r="BO35" s="316" t="str">
        <f>BO5</f>
        <v>Net NR</v>
      </c>
      <c r="BP35" s="317" t="s">
        <v>122</v>
      </c>
      <c r="BQ35" s="315" t="s">
        <v>123</v>
      </c>
      <c r="BR35" s="315" t="s">
        <v>108</v>
      </c>
      <c r="BS35" s="315" t="s">
        <v>150</v>
      </c>
      <c r="BT35" s="316" t="str">
        <f>BT5</f>
        <v>Net NR</v>
      </c>
      <c r="BU35" s="317" t="s">
        <v>122</v>
      </c>
      <c r="BV35" s="315" t="s">
        <v>123</v>
      </c>
      <c r="BW35" s="315" t="s">
        <v>108</v>
      </c>
      <c r="BX35" s="315" t="s">
        <v>150</v>
      </c>
      <c r="BY35" s="316" t="str">
        <f>BY5</f>
        <v>Net NR</v>
      </c>
      <c r="BZ35" s="317" t="s">
        <v>122</v>
      </c>
      <c r="CA35" s="315" t="s">
        <v>123</v>
      </c>
      <c r="CB35" s="315" t="s">
        <v>108</v>
      </c>
      <c r="CC35" s="315" t="s">
        <v>150</v>
      </c>
      <c r="CD35" s="316" t="str">
        <f>CD5</f>
        <v>Net NR</v>
      </c>
      <c r="CE35" s="317" t="s">
        <v>122</v>
      </c>
      <c r="CF35" s="315" t="s">
        <v>123</v>
      </c>
      <c r="CG35" s="315" t="s">
        <v>108</v>
      </c>
      <c r="CH35" s="315" t="s">
        <v>150</v>
      </c>
      <c r="CI35" s="316" t="str">
        <f>CI5</f>
        <v>Net NR</v>
      </c>
      <c r="CJ35" s="317" t="s">
        <v>122</v>
      </c>
      <c r="CK35" s="315" t="s">
        <v>123</v>
      </c>
      <c r="CL35" s="315" t="s">
        <v>108</v>
      </c>
      <c r="CM35" s="315" t="s">
        <v>150</v>
      </c>
      <c r="CN35" s="316" t="str">
        <f>CN5</f>
        <v>Net NR</v>
      </c>
      <c r="CO35" s="317" t="s">
        <v>122</v>
      </c>
      <c r="CP35" s="315" t="s">
        <v>123</v>
      </c>
      <c r="CQ35" s="315" t="s">
        <v>108</v>
      </c>
      <c r="CR35" s="315" t="s">
        <v>150</v>
      </c>
      <c r="CS35" s="316" t="str">
        <f>CS5</f>
        <v>Net NR</v>
      </c>
      <c r="CT35" s="317" t="s">
        <v>122</v>
      </c>
      <c r="CU35" s="315" t="s">
        <v>123</v>
      </c>
      <c r="CV35" s="315" t="s">
        <v>108</v>
      </c>
      <c r="CW35" s="315" t="s">
        <v>150</v>
      </c>
      <c r="CX35" s="316" t="str">
        <f>CX5</f>
        <v>Net NR</v>
      </c>
      <c r="CY35" s="317" t="s">
        <v>122</v>
      </c>
      <c r="CZ35" s="315" t="s">
        <v>123</v>
      </c>
      <c r="DA35" s="315" t="s">
        <v>108</v>
      </c>
      <c r="DB35" s="315" t="s">
        <v>150</v>
      </c>
      <c r="DC35" s="316" t="str">
        <f>DC5</f>
        <v>Net NR</v>
      </c>
      <c r="DD35" s="317" t="s">
        <v>122</v>
      </c>
      <c r="DE35" s="315" t="s">
        <v>123</v>
      </c>
      <c r="DF35" s="315" t="s">
        <v>108</v>
      </c>
      <c r="DG35" s="315" t="s">
        <v>150</v>
      </c>
      <c r="DH35" s="316" t="str">
        <f>DH5</f>
        <v>Net NR</v>
      </c>
      <c r="DI35" s="317" t="s">
        <v>122</v>
      </c>
      <c r="DJ35" s="315" t="s">
        <v>123</v>
      </c>
      <c r="DK35" s="315" t="s">
        <v>108</v>
      </c>
      <c r="DL35" s="315" t="s">
        <v>150</v>
      </c>
      <c r="DM35" s="316" t="str">
        <f>DM5</f>
        <v>Net NR</v>
      </c>
      <c r="DN35" s="317" t="s">
        <v>122</v>
      </c>
      <c r="DO35" s="315" t="s">
        <v>123</v>
      </c>
      <c r="DP35" s="315" t="s">
        <v>108</v>
      </c>
      <c r="DQ35" s="309" t="s">
        <v>150</v>
      </c>
      <c r="DR35" s="316" t="str">
        <f>DR5</f>
        <v>Net NR</v>
      </c>
    </row>
    <row r="36" spans="1:122" s="301" customFormat="1">
      <c r="A36" s="319" t="s">
        <v>174</v>
      </c>
      <c r="B36" s="299">
        <v>12.931199999999858</v>
      </c>
      <c r="C36" s="298">
        <f t="shared" ref="C36:C54" si="95">B36/B$65</f>
        <v>0.14028867710723883</v>
      </c>
      <c r="D36" s="299">
        <v>143649.50603286174</v>
      </c>
      <c r="E36" s="299">
        <v>6708.3551729245619</v>
      </c>
      <c r="F36" s="251">
        <f t="shared" ref="F36:F64" si="96">D36-E36</f>
        <v>136941.15085993719</v>
      </c>
      <c r="G36" s="297">
        <v>5.8672000000000155</v>
      </c>
      <c r="H36" s="298">
        <f t="shared" ref="H36:H54" si="97">G36/G$65</f>
        <v>8.2730740500900943E-2</v>
      </c>
      <c r="I36" s="320">
        <v>143586.97873249216</v>
      </c>
      <c r="J36" s="299">
        <v>7064.5285006952317</v>
      </c>
      <c r="K36" s="251">
        <f t="shared" ref="K36:K54" si="98">I36-J36</f>
        <v>136522.45023179695</v>
      </c>
      <c r="L36" s="297">
        <v>7.912800000000014</v>
      </c>
      <c r="M36" s="298">
        <f t="shared" ref="M36:M54" si="99">L36/L$65</f>
        <v>8.986025769184583E-2</v>
      </c>
      <c r="N36" s="299">
        <v>143640.40395044969</v>
      </c>
      <c r="O36" s="299">
        <v>7055.7866215649274</v>
      </c>
      <c r="P36" s="251">
        <f t="shared" ref="P36:P54" si="100">N36-O36</f>
        <v>136584.61732888475</v>
      </c>
      <c r="Q36" s="297">
        <v>4.0824000000000096</v>
      </c>
      <c r="R36" s="298">
        <f t="shared" ref="R36:R54" si="101">Q36/Q$65</f>
        <v>4.5880901164554962E-2</v>
      </c>
      <c r="S36" s="299">
        <v>138672.6065042121</v>
      </c>
      <c r="T36" s="299">
        <v>2190.931509111701</v>
      </c>
      <c r="U36" s="251">
        <f t="shared" ref="U36:U54" si="102">S36-T36</f>
        <v>136481.67499510042</v>
      </c>
      <c r="V36" s="297">
        <v>7.0218000000000105</v>
      </c>
      <c r="W36" s="298">
        <f t="shared" ref="W36:W54" si="103">V36/V$65</f>
        <v>7.7540262702452317E-2</v>
      </c>
      <c r="X36" s="299">
        <v>138706.09854368214</v>
      </c>
      <c r="Y36" s="299">
        <v>1363.6379210500022</v>
      </c>
      <c r="Z36" s="251">
        <f t="shared" ref="Z36:Z54" si="104">X36-Y36</f>
        <v>137342.46062263212</v>
      </c>
      <c r="AA36" s="297">
        <v>4.9920000000000107</v>
      </c>
      <c r="AB36" s="298">
        <f t="shared" ref="AB36:AB54" si="105">AA36/AA$65</f>
        <v>4.8274709648993192E-2</v>
      </c>
      <c r="AC36" s="299">
        <v>138918.47362772314</v>
      </c>
      <c r="AD36" s="299">
        <v>1263.1671373391498</v>
      </c>
      <c r="AE36" s="251">
        <f t="shared" ref="AE36:AE54" si="106">AC36-AD36</f>
        <v>137655.30649038398</v>
      </c>
      <c r="AF36" s="321">
        <v>1.0295999999999998</v>
      </c>
      <c r="AG36" s="298">
        <f t="shared" ref="AG36:AG54" si="107">AF36/AF$65</f>
        <v>6.3091927254321483E-3</v>
      </c>
      <c r="AH36" s="299">
        <v>138523.45368654322</v>
      </c>
      <c r="AI36" s="299">
        <v>3686.4878745773003</v>
      </c>
      <c r="AJ36" s="251">
        <f t="shared" ref="AJ36:AJ54" si="108">AH36-AI36</f>
        <v>134836.96581196593</v>
      </c>
      <c r="AK36" s="297">
        <v>0.8351999999999995</v>
      </c>
      <c r="AL36" s="298">
        <f t="shared" ref="AL36:AL54" si="109">AK36/AK$65</f>
        <v>3.61952402461671E-3</v>
      </c>
      <c r="AM36" s="299">
        <v>138514.72718096134</v>
      </c>
      <c r="AN36" s="299">
        <v>3713.6645798895743</v>
      </c>
      <c r="AO36" s="251">
        <f t="shared" ref="AO36:AO54" si="110">AM36-AN36</f>
        <v>134801.06260107178</v>
      </c>
      <c r="AP36" s="297">
        <v>0.6742499999999999</v>
      </c>
      <c r="AQ36" s="298">
        <f t="shared" ref="AQ36:AQ54" si="111">AP36/AP$65</f>
        <v>3.318450139825237E-3</v>
      </c>
      <c r="AR36" s="299">
        <v>138451.58324063773</v>
      </c>
      <c r="AS36" s="299">
        <v>5016.9373377827214</v>
      </c>
      <c r="AT36" s="251">
        <f t="shared" ref="AT36:AT54" si="112">AR36-AS36</f>
        <v>133434.645902855</v>
      </c>
      <c r="AU36" s="321">
        <v>0.8495999999999998</v>
      </c>
      <c r="AV36" s="298">
        <f t="shared" ref="AV36:AV54" si="113">AU36/AU$65</f>
        <v>4.6434089048679157E-3</v>
      </c>
      <c r="AW36" s="299">
        <v>138276.98917137476</v>
      </c>
      <c r="AX36" s="299">
        <v>5141.7255178907735</v>
      </c>
      <c r="AY36" s="251">
        <f t="shared" ref="AY36:AY54" si="114">AW36-AX36</f>
        <v>133135.263653484</v>
      </c>
      <c r="AZ36" s="297">
        <v>1.286697600000001</v>
      </c>
      <c r="BA36" s="298">
        <f t="shared" ref="BA36:BA54" si="115">AZ36/AZ$65</f>
        <v>1.6545212382673483E-2</v>
      </c>
      <c r="BB36" s="299">
        <v>138111.78321930478</v>
      </c>
      <c r="BC36" s="299">
        <v>7188.3245915745765</v>
      </c>
      <c r="BD36" s="251">
        <f t="shared" ref="BD36:BD54" si="116">BB36-BC36</f>
        <v>130923.4586277302</v>
      </c>
      <c r="BE36" s="297">
        <v>2.5266500000000023</v>
      </c>
      <c r="BF36" s="298">
        <f t="shared" ref="BF36:BF54" si="117">BE36/BE$65</f>
        <v>3.0731284524271707E-2</v>
      </c>
      <c r="BG36" s="299">
        <v>138006.81930619583</v>
      </c>
      <c r="BH36" s="299">
        <v>3562.2543684325069</v>
      </c>
      <c r="BI36" s="251">
        <f t="shared" ref="BI36:BI54" si="118">BG36-BH36</f>
        <v>134444.56493776332</v>
      </c>
      <c r="BJ36" s="322"/>
      <c r="BK36" s="297">
        <v>1.5615000000000014</v>
      </c>
      <c r="BL36" s="298">
        <f t="shared" ref="BL36:BL54" si="119">BK36/BK$65</f>
        <v>2.0158036944137106E-2</v>
      </c>
      <c r="BM36" s="299">
        <v>138129.01056676253</v>
      </c>
      <c r="BN36" s="299">
        <v>4218.2772974703767</v>
      </c>
      <c r="BO36" s="251">
        <f t="shared" ref="BO36:BO54" si="120">BM36-BN36</f>
        <v>133910.73326929216</v>
      </c>
      <c r="BP36" s="297">
        <v>3.4920000000000031</v>
      </c>
      <c r="BQ36" s="298">
        <f t="shared" ref="BQ36:BQ57" si="121">BP36/BP$65</f>
        <v>4.0077929306985782E-2</v>
      </c>
      <c r="BR36" s="299">
        <v>138214.72222222222</v>
      </c>
      <c r="BS36" s="299">
        <v>25514.96277205037</v>
      </c>
      <c r="BT36" s="251">
        <f t="shared" ref="BT36:BT57" si="122">BR36-BS36</f>
        <v>112699.75945017184</v>
      </c>
      <c r="BU36" s="297">
        <f>'NR '!AV36</f>
        <v>10.200899999999997</v>
      </c>
      <c r="BV36" s="298">
        <f t="shared" ref="BV36:BV60" si="123">BU36/BU$65</f>
        <v>7.7596716153282785E-2</v>
      </c>
      <c r="BW36" s="299">
        <f>'NR '!AX36</f>
        <v>138507.1611328412</v>
      </c>
      <c r="BX36" s="299">
        <v>25432.650060288801</v>
      </c>
      <c r="BY36" s="251">
        <f t="shared" ref="BY36:BY60" si="124">BW36-BX36</f>
        <v>113074.5110725524</v>
      </c>
      <c r="BZ36" s="297">
        <f>'NR '!AY36</f>
        <v>1.3248</v>
      </c>
      <c r="CA36" s="298">
        <f t="shared" ref="CA36:CA60" si="125">BZ36/BZ$65</f>
        <v>1.0589041405206072E-2</v>
      </c>
      <c r="CB36" s="299">
        <f>'NR '!BA36</f>
        <v>138947.08635265692</v>
      </c>
      <c r="CC36" s="261">
        <v>24605.638586956517</v>
      </c>
      <c r="CD36" s="251">
        <f t="shared" ref="CD36:CD60" si="126">CB36-CC36</f>
        <v>114341.4477657004</v>
      </c>
      <c r="CE36" s="249">
        <f>'NR '!BB36</f>
        <v>0.50399999999999989</v>
      </c>
      <c r="CF36" s="250">
        <f t="shared" ref="CF36:CF60" si="127">CE36/CE$27</f>
        <v>2.9494999746635704E-4</v>
      </c>
      <c r="CG36" s="261">
        <f>'NR '!BD36</f>
        <v>137963.31349206355</v>
      </c>
      <c r="CH36" s="261">
        <v>16623.571428571431</v>
      </c>
      <c r="CI36" s="251">
        <f t="shared" ref="CI36:CI60" si="128">CG36-CH36</f>
        <v>121339.74206349211</v>
      </c>
      <c r="CJ36" s="249">
        <f>'NR '!BE36</f>
        <v>0.31679999999999992</v>
      </c>
      <c r="CK36" s="250">
        <f t="shared" ref="CK36:CK60" si="129">CJ36/CJ$65</f>
        <v>2.918734256984969E-3</v>
      </c>
      <c r="CL36" s="261">
        <f>'NR '!BG36</f>
        <v>138017.29797979802</v>
      </c>
      <c r="CM36" s="261">
        <v>26060.227272727272</v>
      </c>
      <c r="CN36" s="251">
        <f t="shared" ref="CN36:CN60" si="130">CL36-CM36</f>
        <v>111957.07070707076</v>
      </c>
      <c r="CO36" s="249">
        <f>'NR '!BH36</f>
        <v>0.1152</v>
      </c>
      <c r="CP36" s="250">
        <f t="shared" ref="CP36:CP60" si="131">CO36/CO$65</f>
        <v>6.2570067137084561E-4</v>
      </c>
      <c r="CQ36" s="261">
        <f>'NR '!BJ36</f>
        <v>137972.48263888891</v>
      </c>
      <c r="CR36" s="261">
        <v>1375.2604166666667</v>
      </c>
      <c r="CS36" s="251">
        <f t="shared" ref="CS36:CS60" si="132">CQ36-CR36</f>
        <v>136597.22222222225</v>
      </c>
      <c r="CT36" s="249">
        <v>0.20880240000000003</v>
      </c>
      <c r="CU36" s="250">
        <f t="shared" ref="CU36:CU60" si="133">CT36/CT$65</f>
        <v>1.0150848045137196E-3</v>
      </c>
      <c r="CV36" s="261">
        <v>137642.86234257845</v>
      </c>
      <c r="CW36" s="261">
        <v>501.67047888338442</v>
      </c>
      <c r="CX36" s="251">
        <f t="shared" ref="CX36:CX64" si="134">CV36-CW36</f>
        <v>137141.19186369507</v>
      </c>
      <c r="CY36" s="249">
        <v>0.19440000000000002</v>
      </c>
      <c r="CZ36" s="250">
        <f t="shared" ref="CZ36:CZ60" si="135">CY36/CY$65</f>
        <v>9.4639274179080977E-4</v>
      </c>
      <c r="DA36" s="261">
        <v>137755.76131687243</v>
      </c>
      <c r="DB36" s="261">
        <v>3755.2983539094644</v>
      </c>
      <c r="DC36" s="251">
        <f t="shared" ref="DC36:DC64" si="136">DA36-DB36</f>
        <v>134000.46296296298</v>
      </c>
      <c r="DD36" s="249">
        <f>'NR '!BQ36</f>
        <v>0.10079999999999999</v>
      </c>
      <c r="DE36" s="250">
        <f t="shared" ref="DE36:DE60" si="137">DD36/DD$65</f>
        <v>4.8771481224721598E-4</v>
      </c>
      <c r="DF36" s="261">
        <f>'NR '!BS36</f>
        <v>138064.88095238095</v>
      </c>
      <c r="DG36" s="261">
        <v>8914.7817460317492</v>
      </c>
      <c r="DH36" s="251">
        <f t="shared" ref="DH36" si="138">DF36-DG36</f>
        <v>129150.0992063492</v>
      </c>
      <c r="DI36" s="249">
        <f>'NR '!BT36</f>
        <v>0.45360000000000017</v>
      </c>
      <c r="DJ36" s="250">
        <f t="shared" ref="DJ36:DJ60" si="139">DI36/DI$65</f>
        <v>3.3955865011063738E-3</v>
      </c>
      <c r="DK36" s="261">
        <f>'NR '!BV36</f>
        <v>137982.82627865963</v>
      </c>
      <c r="DL36" s="261">
        <v>1333.6860670193998</v>
      </c>
      <c r="DM36" s="251">
        <f t="shared" ref="DM36:DM64" si="140">DK36-DL36</f>
        <v>136649.14021164025</v>
      </c>
      <c r="DN36" s="249">
        <v>0.49680000000000002</v>
      </c>
      <c r="DO36" s="250">
        <f>DN36/DN$65</f>
        <v>4.3830604242993121E-3</v>
      </c>
      <c r="DP36" s="261">
        <v>137972.48389694042</v>
      </c>
      <c r="DQ36" s="261">
        <v>3514.6940418679551</v>
      </c>
      <c r="DR36" s="251">
        <f t="shared" ref="DR36:DR64" si="141">DP36-DQ36</f>
        <v>134457.78985507248</v>
      </c>
    </row>
    <row r="37" spans="1:122" s="301" customFormat="1">
      <c r="A37" s="319" t="s">
        <v>175</v>
      </c>
      <c r="B37" s="299">
        <v>16.819200000000052</v>
      </c>
      <c r="C37" s="298">
        <f t="shared" si="95"/>
        <v>0.18246901432211277</v>
      </c>
      <c r="D37" s="299">
        <v>163146.73982324608</v>
      </c>
      <c r="E37" s="299">
        <v>5523.3736327950155</v>
      </c>
      <c r="F37" s="251">
        <f t="shared" si="96"/>
        <v>157623.36619045108</v>
      </c>
      <c r="G37" s="297">
        <v>14.955825000000047</v>
      </c>
      <c r="H37" s="298">
        <f t="shared" si="97"/>
        <v>0.21088534173914089</v>
      </c>
      <c r="I37" s="320">
        <v>163875.15686959066</v>
      </c>
      <c r="J37" s="299">
        <v>5660.7785990786706</v>
      </c>
      <c r="K37" s="251">
        <f t="shared" si="98"/>
        <v>158214.37827051198</v>
      </c>
      <c r="L37" s="297">
        <v>16.353525000000062</v>
      </c>
      <c r="M37" s="298">
        <f t="shared" si="99"/>
        <v>0.18571579853781794</v>
      </c>
      <c r="N37" s="299">
        <v>164168.87983380642</v>
      </c>
      <c r="O37" s="299">
        <v>5630.8444341588474</v>
      </c>
      <c r="P37" s="251">
        <f t="shared" si="100"/>
        <v>158538.03539964758</v>
      </c>
      <c r="Q37" s="297">
        <v>15.048000000000075</v>
      </c>
      <c r="R37" s="298">
        <f t="shared" si="101"/>
        <v>0.16912007660303371</v>
      </c>
      <c r="S37" s="299">
        <v>157644.68050377653</v>
      </c>
      <c r="T37" s="299">
        <v>744.4444946878491</v>
      </c>
      <c r="U37" s="251">
        <f t="shared" si="102"/>
        <v>156900.23600908869</v>
      </c>
      <c r="V37" s="297">
        <v>12.458625000000051</v>
      </c>
      <c r="W37" s="298">
        <f t="shared" si="103"/>
        <v>0.13757797935163954</v>
      </c>
      <c r="X37" s="299">
        <v>158164.7374286413</v>
      </c>
      <c r="Y37" s="299">
        <v>616.18394147857396</v>
      </c>
      <c r="Z37" s="251">
        <f t="shared" si="104"/>
        <v>157548.55348716272</v>
      </c>
      <c r="AA37" s="297">
        <v>26.337670199999845</v>
      </c>
      <c r="AB37" s="298">
        <f t="shared" si="105"/>
        <v>0.25469619025158857</v>
      </c>
      <c r="AC37" s="299">
        <v>158412.62298944272</v>
      </c>
      <c r="AD37" s="299">
        <v>19389.92263729258</v>
      </c>
      <c r="AE37" s="251">
        <f t="shared" si="106"/>
        <v>139022.70035215013</v>
      </c>
      <c r="AF37" s="321">
        <v>26.404049999999984</v>
      </c>
      <c r="AG37" s="298">
        <f t="shared" si="107"/>
        <v>0.16179899007570575</v>
      </c>
      <c r="AH37" s="299">
        <v>138871.46741376404</v>
      </c>
      <c r="AI37" s="299">
        <v>2485.5314127287243</v>
      </c>
      <c r="AJ37" s="251">
        <f t="shared" si="108"/>
        <v>136385.93600103533</v>
      </c>
      <c r="AK37" s="297">
        <v>45.198971999999948</v>
      </c>
      <c r="AL37" s="298">
        <f t="shared" si="109"/>
        <v>0.19587974741616127</v>
      </c>
      <c r="AM37" s="299">
        <v>138055.39787495125</v>
      </c>
      <c r="AN37" s="299">
        <v>3109.5871659220707</v>
      </c>
      <c r="AO37" s="251">
        <f t="shared" si="110"/>
        <v>134945.81070902917</v>
      </c>
      <c r="AP37" s="297">
        <v>42.633899999999919</v>
      </c>
      <c r="AQ37" s="298">
        <f t="shared" si="111"/>
        <v>0.20983088085471993</v>
      </c>
      <c r="AR37" s="299">
        <v>142429.95597400208</v>
      </c>
      <c r="AS37" s="299">
        <v>10798.822533242348</v>
      </c>
      <c r="AT37" s="251">
        <f t="shared" si="112"/>
        <v>131631.13344075973</v>
      </c>
      <c r="AU37" s="321">
        <v>19.915275000000062</v>
      </c>
      <c r="AV37" s="298">
        <f t="shared" si="113"/>
        <v>0.10884506270938522</v>
      </c>
      <c r="AW37" s="299">
        <v>137306.8687226261</v>
      </c>
      <c r="AX37" s="299">
        <v>6898.9235649520051</v>
      </c>
      <c r="AY37" s="251">
        <f t="shared" si="114"/>
        <v>130407.94515767408</v>
      </c>
      <c r="AZ37" s="297">
        <v>14.679378000000096</v>
      </c>
      <c r="BA37" s="298">
        <f t="shared" si="115"/>
        <v>0.1887571925645514</v>
      </c>
      <c r="BB37" s="299">
        <v>136597.64603105027</v>
      </c>
      <c r="BC37" s="299">
        <v>534.17317818234199</v>
      </c>
      <c r="BD37" s="251">
        <f t="shared" si="116"/>
        <v>136063.47285286794</v>
      </c>
      <c r="BE37" s="297">
        <v>12.432600000000072</v>
      </c>
      <c r="BF37" s="298">
        <f t="shared" si="117"/>
        <v>0.1512159452145973</v>
      </c>
      <c r="BG37" s="299">
        <v>137009.28687482825</v>
      </c>
      <c r="BH37" s="299">
        <v>513.17986583658649</v>
      </c>
      <c r="BI37" s="251">
        <f t="shared" si="118"/>
        <v>136496.10700899168</v>
      </c>
      <c r="BJ37" s="322"/>
      <c r="BK37" s="297">
        <v>13.095000000000057</v>
      </c>
      <c r="BL37" s="298">
        <f t="shared" si="119"/>
        <v>0.16904866716841263</v>
      </c>
      <c r="BM37" s="299">
        <v>136883.42191676141</v>
      </c>
      <c r="BN37" s="299">
        <v>1188.1114929362295</v>
      </c>
      <c r="BO37" s="251">
        <f t="shared" si="120"/>
        <v>135695.31042382517</v>
      </c>
      <c r="BP37" s="297">
        <v>14.837550000000078</v>
      </c>
      <c r="BQ37" s="298">
        <f t="shared" si="121"/>
        <v>0.17029160366233376</v>
      </c>
      <c r="BR37" s="299">
        <v>139993.1558781596</v>
      </c>
      <c r="BS37" s="299">
        <v>2062.7913638033065</v>
      </c>
      <c r="BT37" s="251">
        <f t="shared" si="122"/>
        <v>137930.36451435628</v>
      </c>
      <c r="BU37" s="297">
        <f>'NR '!AV37</f>
        <v>13.124850000000075</v>
      </c>
      <c r="BV37" s="298">
        <f t="shared" si="123"/>
        <v>9.9838765207424796E-2</v>
      </c>
      <c r="BW37" s="299">
        <f>'NR '!AX37</f>
        <v>151259.14886646255</v>
      </c>
      <c r="BX37" s="299">
        <v>9391.5579987580386</v>
      </c>
      <c r="BY37" s="251">
        <f t="shared" si="124"/>
        <v>141867.59086770451</v>
      </c>
      <c r="BZ37" s="297">
        <f>'NR '!AY37</f>
        <v>16.820875000000026</v>
      </c>
      <c r="CA37" s="298">
        <f t="shared" si="125"/>
        <v>0.13444817470319745</v>
      </c>
      <c r="CB37" s="299">
        <f>'NR '!BA37</f>
        <v>157681.75080071625</v>
      </c>
      <c r="CC37" s="261">
        <v>14373.157163346077</v>
      </c>
      <c r="CD37" s="251">
        <f t="shared" si="126"/>
        <v>143308.59363737018</v>
      </c>
      <c r="CE37" s="249">
        <f>'NR '!BB37</f>
        <v>11.335575000000031</v>
      </c>
      <c r="CF37" s="250">
        <f t="shared" si="127"/>
        <v>6.6337853522414874E-3</v>
      </c>
      <c r="CG37" s="261">
        <f>'NR '!BD37</f>
        <v>159065.42985247751</v>
      </c>
      <c r="CH37" s="261">
        <v>14157.620588280635</v>
      </c>
      <c r="CI37" s="251">
        <f t="shared" si="128"/>
        <v>144907.80926419687</v>
      </c>
      <c r="CJ37" s="249">
        <f>'NR '!BE37</f>
        <v>9.5149500000000256</v>
      </c>
      <c r="CK37" s="250">
        <f t="shared" si="129"/>
        <v>8.7662911990212158E-2</v>
      </c>
      <c r="CL37" s="261">
        <f>'NR '!BG37</f>
        <v>158697.66104919062</v>
      </c>
      <c r="CM37" s="261">
        <v>1232.4752100641595</v>
      </c>
      <c r="CN37" s="251">
        <f t="shared" si="130"/>
        <v>157465.18583912647</v>
      </c>
      <c r="CO37" s="249">
        <f>'NR '!BH37</f>
        <v>29.281349999999897</v>
      </c>
      <c r="CP37" s="250">
        <f t="shared" si="131"/>
        <v>0.15903958640316532</v>
      </c>
      <c r="CQ37" s="261">
        <f>'NR '!BJ37</f>
        <v>158292.34854267325</v>
      </c>
      <c r="CR37" s="261">
        <v>434.66199475092668</v>
      </c>
      <c r="CS37" s="251">
        <f t="shared" si="132"/>
        <v>157857.68654792232</v>
      </c>
      <c r="CT37" s="249">
        <v>31.900283999999925</v>
      </c>
      <c r="CU37" s="250">
        <f t="shared" si="133"/>
        <v>0.1550819988087879</v>
      </c>
      <c r="CV37" s="261">
        <v>158271.11695933493</v>
      </c>
      <c r="CW37" s="261">
        <v>335.98290222118487</v>
      </c>
      <c r="CX37" s="251">
        <f t="shared" si="134"/>
        <v>157935.13405711376</v>
      </c>
      <c r="CY37" s="249">
        <v>22.979999999999915</v>
      </c>
      <c r="CZ37" s="250">
        <f t="shared" si="135"/>
        <v>0.11187296916848111</v>
      </c>
      <c r="DA37" s="261">
        <v>158382.28241949531</v>
      </c>
      <c r="DB37" s="261">
        <v>531.39120974760874</v>
      </c>
      <c r="DC37" s="251">
        <f t="shared" si="136"/>
        <v>157850.8912097477</v>
      </c>
      <c r="DD37" s="249">
        <f>'NR '!BQ37</f>
        <v>18.262799999999935</v>
      </c>
      <c r="DE37" s="250">
        <f t="shared" si="137"/>
        <v>8.8363472947504212E-2</v>
      </c>
      <c r="DF37" s="261">
        <f>'NR '!BS37</f>
        <v>158613.41962897289</v>
      </c>
      <c r="DG37" s="261">
        <v>4889.2825853648055</v>
      </c>
      <c r="DH37" s="251">
        <f t="shared" ref="DH37:DH64" si="142">DF37-DG37</f>
        <v>153724.13704360809</v>
      </c>
      <c r="DI37" s="249">
        <f>'NR '!BT37</f>
        <v>9.3070500000000287</v>
      </c>
      <c r="DJ37" s="250">
        <f t="shared" si="139"/>
        <v>6.9671281625048861E-2</v>
      </c>
      <c r="DK37" s="261">
        <f>'NR '!BV37</f>
        <v>158963.86287814032</v>
      </c>
      <c r="DL37" s="261">
        <v>2942.3168458319074</v>
      </c>
      <c r="DM37" s="251">
        <f t="shared" si="140"/>
        <v>156021.54603230843</v>
      </c>
      <c r="DN37" s="249">
        <v>7.773150000000026</v>
      </c>
      <c r="DO37" s="250">
        <f t="shared" ref="DO37:DO63" si="143">DN37/DN$65</f>
        <v>6.8579279664135087E-2</v>
      </c>
      <c r="DP37" s="261">
        <v>159020.54636794559</v>
      </c>
      <c r="DQ37" s="235">
        <v>2099.3651222477301</v>
      </c>
      <c r="DR37" s="251">
        <f t="shared" si="141"/>
        <v>156921.18124569787</v>
      </c>
    </row>
    <row r="38" spans="1:122" s="301" customFormat="1">
      <c r="A38" s="319" t="s">
        <v>176</v>
      </c>
      <c r="B38" s="299">
        <v>8.5491000000000437</v>
      </c>
      <c r="C38" s="298">
        <f t="shared" si="95"/>
        <v>9.2747922037979061E-2</v>
      </c>
      <c r="D38" s="299">
        <v>164780.31395629139</v>
      </c>
      <c r="E38" s="299">
        <v>6174.3004577944903</v>
      </c>
      <c r="F38" s="251">
        <f t="shared" si="96"/>
        <v>158606.0134984969</v>
      </c>
      <c r="G38" s="297">
        <v>4.7088000000000125</v>
      </c>
      <c r="H38" s="298">
        <f t="shared" si="97"/>
        <v>6.6396664656163479E-2</v>
      </c>
      <c r="I38" s="320">
        <v>164829.01697957062</v>
      </c>
      <c r="J38" s="299">
        <v>6747.2020798090016</v>
      </c>
      <c r="K38" s="251">
        <f t="shared" si="98"/>
        <v>158081.81489976161</v>
      </c>
      <c r="L38" s="297">
        <v>1.9871999999999981</v>
      </c>
      <c r="M38" s="298">
        <f t="shared" si="99"/>
        <v>2.2567271267469862E-2</v>
      </c>
      <c r="N38" s="299">
        <v>165342.00936972257</v>
      </c>
      <c r="O38" s="299">
        <v>6807.5004717342235</v>
      </c>
      <c r="P38" s="251">
        <f t="shared" si="100"/>
        <v>158534.50889798836</v>
      </c>
      <c r="Q38" s="297">
        <v>1.569599999999999</v>
      </c>
      <c r="R38" s="298">
        <f t="shared" si="101"/>
        <v>1.7640275932756529E-2</v>
      </c>
      <c r="S38" s="299">
        <v>159257.12569422627</v>
      </c>
      <c r="T38" s="299">
        <v>2245.2946544708661</v>
      </c>
      <c r="U38" s="251">
        <f t="shared" si="102"/>
        <v>157011.8310397554</v>
      </c>
      <c r="V38" s="297">
        <v>0.80640000000000012</v>
      </c>
      <c r="W38" s="298">
        <f t="shared" si="103"/>
        <v>8.9049058422708514E-3</v>
      </c>
      <c r="X38" s="299">
        <v>159591.71747551748</v>
      </c>
      <c r="Y38" s="299">
        <v>458.99178107310104</v>
      </c>
      <c r="Z38" s="251">
        <f t="shared" si="104"/>
        <v>159132.72569444438</v>
      </c>
      <c r="AA38" s="297">
        <v>3.1596000000000073</v>
      </c>
      <c r="AB38" s="298">
        <f t="shared" si="105"/>
        <v>3.0554641948509396E-2</v>
      </c>
      <c r="AC38" s="299">
        <v>158881.52952183061</v>
      </c>
      <c r="AD38" s="299">
        <v>35514.621241977751</v>
      </c>
      <c r="AE38" s="251">
        <f t="shared" si="106"/>
        <v>123366.90827985285</v>
      </c>
      <c r="AF38" s="321">
        <v>2.0687999999999991</v>
      </c>
      <c r="AG38" s="298">
        <f t="shared" si="107"/>
        <v>1.2677212422663195E-2</v>
      </c>
      <c r="AH38" s="299">
        <v>158804.71855201124</v>
      </c>
      <c r="AI38" s="299">
        <v>32187.339684540071</v>
      </c>
      <c r="AJ38" s="251">
        <f t="shared" si="108"/>
        <v>126617.37886747117</v>
      </c>
      <c r="AK38" s="297">
        <v>0.70799999999999996</v>
      </c>
      <c r="AL38" s="298">
        <f t="shared" si="109"/>
        <v>3.0682746760400288E-3</v>
      </c>
      <c r="AM38" s="299">
        <v>159142.89077909701</v>
      </c>
      <c r="AN38" s="299">
        <v>43763.068556492326</v>
      </c>
      <c r="AO38" s="251">
        <f t="shared" si="110"/>
        <v>115379.82222260468</v>
      </c>
      <c r="AP38" s="297">
        <v>0.69000000000000006</v>
      </c>
      <c r="AQ38" s="298">
        <f t="shared" si="111"/>
        <v>3.3959667726798873E-3</v>
      </c>
      <c r="AR38" s="299">
        <v>158810.33333333337</v>
      </c>
      <c r="AS38" s="299">
        <v>3444.1304347826053</v>
      </c>
      <c r="AT38" s="251">
        <f t="shared" si="112"/>
        <v>155366.20289855078</v>
      </c>
      <c r="AU38" s="321">
        <v>1.1870999999999998</v>
      </c>
      <c r="AV38" s="298">
        <f t="shared" si="113"/>
        <v>6.4879834168652343E-3</v>
      </c>
      <c r="AW38" s="299">
        <v>158667.80389183728</v>
      </c>
      <c r="AX38" s="299">
        <v>48031.496925280109</v>
      </c>
      <c r="AY38" s="251">
        <f t="shared" si="114"/>
        <v>110636.30696655717</v>
      </c>
      <c r="AZ38" s="297">
        <v>0.27990000000000004</v>
      </c>
      <c r="BA38" s="298">
        <f t="shared" si="115"/>
        <v>3.5991401133493258E-3</v>
      </c>
      <c r="BB38" s="299">
        <v>159092.96177206145</v>
      </c>
      <c r="BC38" s="299">
        <v>1202.1793497677741</v>
      </c>
      <c r="BD38" s="251">
        <f t="shared" si="116"/>
        <v>157890.78242229368</v>
      </c>
      <c r="BE38" s="297">
        <v>1.9092</v>
      </c>
      <c r="BF38" s="298">
        <f t="shared" si="117"/>
        <v>2.32213280089207E-2</v>
      </c>
      <c r="BG38" s="299">
        <v>158530.19065577205</v>
      </c>
      <c r="BH38" s="299">
        <v>48381.342970877857</v>
      </c>
      <c r="BI38" s="251">
        <f t="shared" si="118"/>
        <v>110148.84768489419</v>
      </c>
      <c r="BJ38" s="322"/>
      <c r="BK38" s="297">
        <v>0.41010000000000008</v>
      </c>
      <c r="BL38" s="298">
        <f t="shared" si="119"/>
        <v>5.2941472627541604E-3</v>
      </c>
      <c r="BM38" s="299">
        <v>159167.95903438181</v>
      </c>
      <c r="BN38" s="299">
        <v>25856.181419166056</v>
      </c>
      <c r="BO38" s="251">
        <f t="shared" si="120"/>
        <v>133311.77761521575</v>
      </c>
      <c r="BP38" s="297">
        <v>1.0322999999999996</v>
      </c>
      <c r="BQ38" s="298">
        <f t="shared" si="121"/>
        <v>1.184777961729707E-2</v>
      </c>
      <c r="BR38" s="299">
        <v>159119.73263586179</v>
      </c>
      <c r="BS38" s="299">
        <v>44298.188511091736</v>
      </c>
      <c r="BT38" s="251">
        <f t="shared" si="122"/>
        <v>114821.54412477005</v>
      </c>
      <c r="BU38" s="297">
        <f>'NR '!AV38</f>
        <v>12.762300000000002</v>
      </c>
      <c r="BV38" s="298">
        <f t="shared" si="123"/>
        <v>9.7080901740340675E-2</v>
      </c>
      <c r="BW38" s="299">
        <f>'NR '!AX38</f>
        <v>158777.07544878274</v>
      </c>
      <c r="BX38" s="299">
        <v>70270.491212398978</v>
      </c>
      <c r="BY38" s="251">
        <f t="shared" si="124"/>
        <v>88506.584236383758</v>
      </c>
      <c r="BZ38" s="297">
        <f>'NR '!AY38</f>
        <v>0.59939999999999993</v>
      </c>
      <c r="CA38" s="298">
        <f t="shared" si="125"/>
        <v>4.7909657444750297E-3</v>
      </c>
      <c r="CB38" s="299">
        <f>'NR '!BA38</f>
        <v>159327.67767767774</v>
      </c>
      <c r="CC38" s="261">
        <v>64775.725725725722</v>
      </c>
      <c r="CD38" s="251">
        <f t="shared" si="126"/>
        <v>94551.951951952011</v>
      </c>
      <c r="CE38" s="249">
        <f>'NR '!BB38</f>
        <v>0.93900000000000006</v>
      </c>
      <c r="CF38" s="250">
        <f t="shared" si="127"/>
        <v>5.4951993575577251E-4</v>
      </c>
      <c r="CG38" s="261">
        <f>'NR '!BD38</f>
        <v>158668.37060702874</v>
      </c>
      <c r="CH38" s="261">
        <v>68537.284345047912</v>
      </c>
      <c r="CI38" s="251">
        <f t="shared" si="128"/>
        <v>90131.086261980832</v>
      </c>
      <c r="CJ38" s="249">
        <f>'NR '!BE38</f>
        <v>2.8799999999999999E-2</v>
      </c>
      <c r="CK38" s="250">
        <f t="shared" si="129"/>
        <v>2.6533947790772453E-4</v>
      </c>
      <c r="CL38" s="261">
        <f>'NR '!BG38</f>
        <v>158301.04166666666</v>
      </c>
      <c r="CM38" s="261">
        <v>-2.4305555555555558</v>
      </c>
      <c r="CN38" s="251">
        <f t="shared" si="130"/>
        <v>158303.47222222222</v>
      </c>
      <c r="CO38" s="249">
        <f>'NR '!BH38</f>
        <v>7.2000000000000008E-2</v>
      </c>
      <c r="CP38" s="250">
        <f t="shared" si="131"/>
        <v>3.9106291960677855E-4</v>
      </c>
      <c r="CQ38" s="261">
        <f>'NR '!BJ38</f>
        <v>158668.33333333331</v>
      </c>
      <c r="CR38" s="261">
        <v>3619.0277777777774</v>
      </c>
      <c r="CS38" s="251">
        <f t="shared" si="132"/>
        <v>155049.30555555553</v>
      </c>
      <c r="CT38" s="249">
        <v>2.7E-2</v>
      </c>
      <c r="CU38" s="250">
        <f t="shared" si="133"/>
        <v>1.3125945737151691E-4</v>
      </c>
      <c r="CV38" s="261">
        <v>158668.14814814815</v>
      </c>
      <c r="CW38" s="261">
        <v>-3.333333333333333</v>
      </c>
      <c r="CX38" s="251">
        <f t="shared" si="134"/>
        <v>158671.48148148149</v>
      </c>
      <c r="CY38" s="249">
        <v>0</v>
      </c>
      <c r="CZ38" s="250">
        <f t="shared" si="135"/>
        <v>0</v>
      </c>
      <c r="DA38" s="261">
        <v>0</v>
      </c>
      <c r="DB38" s="261">
        <v>0</v>
      </c>
      <c r="DC38" s="251">
        <f t="shared" si="136"/>
        <v>0</v>
      </c>
      <c r="DD38" s="249">
        <f>'NR '!BQ38</f>
        <v>0</v>
      </c>
      <c r="DE38" s="250">
        <f t="shared" si="137"/>
        <v>0</v>
      </c>
      <c r="DF38" s="261">
        <f>'NR '!BS38</f>
        <v>0</v>
      </c>
      <c r="DG38" s="261"/>
      <c r="DH38" s="251">
        <f t="shared" si="142"/>
        <v>0</v>
      </c>
      <c r="DI38" s="249">
        <f>'NR '!BT38</f>
        <v>1.44E-2</v>
      </c>
      <c r="DJ38" s="250">
        <f t="shared" si="139"/>
        <v>1.0779639686051977E-4</v>
      </c>
      <c r="DK38" s="261">
        <f>'NR '!BV38</f>
        <v>157934.02777777778</v>
      </c>
      <c r="DL38" s="261">
        <v>-2.0833333333333335</v>
      </c>
      <c r="DM38" s="251">
        <f t="shared" si="140"/>
        <v>157936.11111111112</v>
      </c>
      <c r="DN38" s="249"/>
      <c r="DO38" s="250">
        <f t="shared" si="143"/>
        <v>0</v>
      </c>
      <c r="DP38" s="261"/>
      <c r="DQ38" s="261"/>
      <c r="DR38" s="251">
        <f t="shared" si="141"/>
        <v>0</v>
      </c>
    </row>
    <row r="39" spans="1:122" s="301" customFormat="1">
      <c r="A39" s="319" t="s">
        <v>177</v>
      </c>
      <c r="B39" s="299">
        <v>15.025250000000002</v>
      </c>
      <c r="C39" s="298">
        <f t="shared" si="95"/>
        <v>0.16300671598193237</v>
      </c>
      <c r="D39" s="299">
        <v>169392.80342489347</v>
      </c>
      <c r="E39" s="299">
        <v>3753.5496360583275</v>
      </c>
      <c r="F39" s="251">
        <f t="shared" si="96"/>
        <v>165639.25378883514</v>
      </c>
      <c r="G39" s="297">
        <v>9.9843749999999964</v>
      </c>
      <c r="H39" s="298">
        <f t="shared" si="97"/>
        <v>0.14078516791462373</v>
      </c>
      <c r="I39" s="320">
        <v>173415.429717875</v>
      </c>
      <c r="J39" s="299">
        <v>3927.3680610099204</v>
      </c>
      <c r="K39" s="251">
        <f t="shared" si="98"/>
        <v>169488.06165686509</v>
      </c>
      <c r="L39" s="297">
        <v>17.268750000000018</v>
      </c>
      <c r="M39" s="298">
        <f t="shared" si="99"/>
        <v>0.19610938290062449</v>
      </c>
      <c r="N39" s="299">
        <v>171457.00441148243</v>
      </c>
      <c r="O39" s="299">
        <v>4319.6750405971443</v>
      </c>
      <c r="P39" s="251">
        <f t="shared" si="100"/>
        <v>167137.32937088527</v>
      </c>
      <c r="Q39" s="297">
        <v>13.117500000000016</v>
      </c>
      <c r="R39" s="298">
        <f t="shared" si="101"/>
        <v>0.14742375098619662</v>
      </c>
      <c r="S39" s="299">
        <v>159693.61499290154</v>
      </c>
      <c r="T39" s="299">
        <v>330.48637348869875</v>
      </c>
      <c r="U39" s="251">
        <f t="shared" si="102"/>
        <v>159363.12861941283</v>
      </c>
      <c r="V39" s="297">
        <v>13.981750000000009</v>
      </c>
      <c r="W39" s="298">
        <f t="shared" si="103"/>
        <v>0.15439752884445751</v>
      </c>
      <c r="X39" s="299">
        <v>165027.03118118198</v>
      </c>
      <c r="Y39" s="299">
        <v>312.94227412475101</v>
      </c>
      <c r="Z39" s="251">
        <f t="shared" si="104"/>
        <v>164714.08890705724</v>
      </c>
      <c r="AA39" s="297">
        <v>11.797000000000018</v>
      </c>
      <c r="AB39" s="298">
        <f t="shared" si="105"/>
        <v>0.11408188095536305</v>
      </c>
      <c r="AC39" s="299">
        <v>162641.59447041678</v>
      </c>
      <c r="AD39" s="299">
        <v>400.01943368474974</v>
      </c>
      <c r="AE39" s="251">
        <f t="shared" si="106"/>
        <v>162241.57503673201</v>
      </c>
      <c r="AF39" s="321">
        <v>31.542500000000103</v>
      </c>
      <c r="AG39" s="298">
        <f t="shared" si="107"/>
        <v>0.19328643312154645</v>
      </c>
      <c r="AH39" s="299">
        <v>150746.95410334342</v>
      </c>
      <c r="AI39" s="299">
        <v>7588.3156536978131</v>
      </c>
      <c r="AJ39" s="251">
        <f t="shared" si="108"/>
        <v>143158.6384496456</v>
      </c>
      <c r="AK39" s="297">
        <v>43.089000000000155</v>
      </c>
      <c r="AL39" s="298">
        <f t="shared" si="109"/>
        <v>0.18673571683035209</v>
      </c>
      <c r="AM39" s="299">
        <v>142387.42312845495</v>
      </c>
      <c r="AN39" s="299">
        <v>1613.2907343474146</v>
      </c>
      <c r="AO39" s="251">
        <f t="shared" si="110"/>
        <v>140774.13239410752</v>
      </c>
      <c r="AP39" s="297">
        <v>34.349500000000127</v>
      </c>
      <c r="AQ39" s="298">
        <f t="shared" si="111"/>
        <v>0.16905762414227277</v>
      </c>
      <c r="AR39" s="299">
        <v>141809.07640576959</v>
      </c>
      <c r="AS39" s="299">
        <v>163.76075343163336</v>
      </c>
      <c r="AT39" s="251">
        <f t="shared" si="112"/>
        <v>141645.31565233797</v>
      </c>
      <c r="AU39" s="321">
        <v>22.114500000000067</v>
      </c>
      <c r="AV39" s="298">
        <f t="shared" si="113"/>
        <v>0.12086472013500689</v>
      </c>
      <c r="AW39" s="299">
        <v>142973.71679214961</v>
      </c>
      <c r="AX39" s="299">
        <v>209.38479278301415</v>
      </c>
      <c r="AY39" s="251">
        <f t="shared" si="114"/>
        <v>142764.33199936661</v>
      </c>
      <c r="AZ39" s="297">
        <v>18.963000000000051</v>
      </c>
      <c r="BA39" s="298">
        <f t="shared" si="115"/>
        <v>0.24383884947996942</v>
      </c>
      <c r="BB39" s="299">
        <v>146338.00400780429</v>
      </c>
      <c r="BC39" s="299">
        <v>467.07430258925154</v>
      </c>
      <c r="BD39" s="251">
        <f t="shared" si="116"/>
        <v>145870.92970521504</v>
      </c>
      <c r="BE39" s="297">
        <v>17.723875000000028</v>
      </c>
      <c r="BF39" s="298">
        <f t="shared" si="117"/>
        <v>0.21557297033527656</v>
      </c>
      <c r="BG39" s="299">
        <v>145740.71979180598</v>
      </c>
      <c r="BH39" s="299">
        <v>295.82300710200116</v>
      </c>
      <c r="BI39" s="251">
        <f t="shared" si="118"/>
        <v>145444.89678470397</v>
      </c>
      <c r="BJ39" s="322"/>
      <c r="BK39" s="297">
        <v>23.71500000000005</v>
      </c>
      <c r="BL39" s="298">
        <f t="shared" si="119"/>
        <v>0.30614655531873969</v>
      </c>
      <c r="BM39" s="299">
        <v>147600.91924941994</v>
      </c>
      <c r="BN39" s="299">
        <v>14245.474172464652</v>
      </c>
      <c r="BO39" s="251">
        <f t="shared" si="120"/>
        <v>133355.44507695528</v>
      </c>
      <c r="BP39" s="297">
        <v>17.168000000000024</v>
      </c>
      <c r="BQ39" s="298">
        <f t="shared" si="121"/>
        <v>0.19703834202243192</v>
      </c>
      <c r="BR39" s="299">
        <v>152116.81616961767</v>
      </c>
      <c r="BS39" s="299">
        <v>12169.028424976686</v>
      </c>
      <c r="BT39" s="251">
        <f t="shared" si="122"/>
        <v>139947.78774464098</v>
      </c>
      <c r="BU39" s="297">
        <f>'NR '!AV39</f>
        <v>17.921625000000059</v>
      </c>
      <c r="BV39" s="298">
        <f t="shared" si="123"/>
        <v>0.13632711311066489</v>
      </c>
      <c r="BW39" s="299">
        <f>'NR '!AX39</f>
        <v>153606.74771400428</v>
      </c>
      <c r="BX39" s="299">
        <v>16769.976494876941</v>
      </c>
      <c r="BY39" s="251">
        <f t="shared" si="124"/>
        <v>136836.77121912735</v>
      </c>
      <c r="BZ39" s="297">
        <f>'NR '!AY39</f>
        <v>19.000000000000046</v>
      </c>
      <c r="CA39" s="298">
        <f t="shared" si="125"/>
        <v>0.15186578102273238</v>
      </c>
      <c r="CB39" s="299">
        <f>'NR '!BA39</f>
        <v>152239.68473684174</v>
      </c>
      <c r="CC39" s="261">
        <v>17828.473157894696</v>
      </c>
      <c r="CD39" s="251">
        <f t="shared" si="126"/>
        <v>134411.21157894703</v>
      </c>
      <c r="CE39" s="249">
        <f>'NR '!BB39</f>
        <v>14.380875000000001</v>
      </c>
      <c r="CF39" s="250">
        <f t="shared" si="127"/>
        <v>8.4159504857420596E-3</v>
      </c>
      <c r="CG39" s="261">
        <f>'NR '!BD39</f>
        <v>153889.89543404002</v>
      </c>
      <c r="CH39" s="261">
        <v>13319.734021747638</v>
      </c>
      <c r="CI39" s="251">
        <f t="shared" si="128"/>
        <v>140570.16141229239</v>
      </c>
      <c r="CJ39" s="249">
        <f>'NR '!BE39</f>
        <v>16.455000000000027</v>
      </c>
      <c r="CK39" s="250">
        <f t="shared" si="129"/>
        <v>0.15160281628373659</v>
      </c>
      <c r="CL39" s="261">
        <f>'NR '!BG39</f>
        <v>146135.10179276776</v>
      </c>
      <c r="CM39" s="261">
        <v>9335.2348830142637</v>
      </c>
      <c r="CN39" s="251">
        <f t="shared" si="130"/>
        <v>136799.8669097535</v>
      </c>
      <c r="CO39" s="249">
        <f>'NR '!BH39</f>
        <v>36.104375000000097</v>
      </c>
      <c r="CP39" s="250">
        <f t="shared" si="131"/>
        <v>0.19609836525108362</v>
      </c>
      <c r="CQ39" s="261">
        <f>'NR '!BJ39</f>
        <v>149667.2303564313</v>
      </c>
      <c r="CR39" s="261">
        <v>13334.569840912602</v>
      </c>
      <c r="CS39" s="251">
        <f t="shared" si="132"/>
        <v>136332.66051551871</v>
      </c>
      <c r="CT39" s="249">
        <v>38.140375000000056</v>
      </c>
      <c r="CU39" s="250">
        <f t="shared" si="133"/>
        <v>0.18541796023874729</v>
      </c>
      <c r="CV39" s="261">
        <v>160955.80077542429</v>
      </c>
      <c r="CW39" s="261">
        <v>4367.8878353975224</v>
      </c>
      <c r="CX39" s="251">
        <f t="shared" si="134"/>
        <v>156587.91294002676</v>
      </c>
      <c r="CY39" s="249">
        <v>34.363250000000065</v>
      </c>
      <c r="CZ39" s="250">
        <f t="shared" si="135"/>
        <v>0.16728976535155918</v>
      </c>
      <c r="DA39" s="261">
        <v>163553.36238568704</v>
      </c>
      <c r="DB39" s="261">
        <v>1166.3786166907942</v>
      </c>
      <c r="DC39" s="251">
        <f t="shared" si="136"/>
        <v>162386.98376899626</v>
      </c>
      <c r="DD39" s="249">
        <f>'NR '!BQ39</f>
        <v>29.924500000000034</v>
      </c>
      <c r="DE39" s="250">
        <f t="shared" si="137"/>
        <v>0.14478791566559357</v>
      </c>
      <c r="DF39" s="261">
        <f>'NR '!BS39</f>
        <v>163258.49187120851</v>
      </c>
      <c r="DG39" s="261">
        <v>4774.2331534361429</v>
      </c>
      <c r="DH39" s="251">
        <f t="shared" si="142"/>
        <v>158484.25871777238</v>
      </c>
      <c r="DI39" s="249">
        <f>'NR '!BT39</f>
        <v>18.915000000000013</v>
      </c>
      <c r="DJ39" s="250">
        <f t="shared" si="139"/>
        <v>0.14159505879282866</v>
      </c>
      <c r="DK39" s="261">
        <f>'NR '!BV39</f>
        <v>161953.85567010273</v>
      </c>
      <c r="DL39" s="261">
        <v>10465.566481628326</v>
      </c>
      <c r="DM39" s="251">
        <f t="shared" si="140"/>
        <v>151488.28918847439</v>
      </c>
      <c r="DN39" s="249">
        <v>14.578999999999983</v>
      </c>
      <c r="DO39" s="250">
        <f t="shared" si="143"/>
        <v>0.1286244724755628</v>
      </c>
      <c r="DP39" s="261">
        <v>164475.20131696275</v>
      </c>
      <c r="DQ39" s="261">
        <v>5544.4776733658091</v>
      </c>
      <c r="DR39" s="251">
        <f t="shared" si="141"/>
        <v>158930.72364359692</v>
      </c>
    </row>
    <row r="40" spans="1:122" s="301" customFormat="1">
      <c r="A40" s="319" t="s">
        <v>178</v>
      </c>
      <c r="B40" s="299">
        <v>5.8392000000000222</v>
      </c>
      <c r="C40" s="298">
        <f t="shared" si="95"/>
        <v>6.3348617557891077E-2</v>
      </c>
      <c r="D40" s="299">
        <v>143662.62910328817</v>
      </c>
      <c r="E40" s="299">
        <v>6512.8757124128069</v>
      </c>
      <c r="F40" s="251">
        <f t="shared" si="96"/>
        <v>137149.75339087535</v>
      </c>
      <c r="G40" s="297">
        <v>6.9976500000000215</v>
      </c>
      <c r="H40" s="298">
        <f t="shared" si="97"/>
        <v>9.8670706003908121E-2</v>
      </c>
      <c r="I40" s="320">
        <v>143699.64432639212</v>
      </c>
      <c r="J40" s="299">
        <v>6665.2870778873403</v>
      </c>
      <c r="K40" s="251">
        <f t="shared" si="98"/>
        <v>137034.35724850479</v>
      </c>
      <c r="L40" s="297">
        <v>7.2432000000000176</v>
      </c>
      <c r="M40" s="298">
        <f t="shared" si="99"/>
        <v>8.225606846041579E-2</v>
      </c>
      <c r="N40" s="299">
        <v>143852.99180507657</v>
      </c>
      <c r="O40" s="299">
        <v>6832.1557105328429</v>
      </c>
      <c r="P40" s="251">
        <f t="shared" si="100"/>
        <v>137020.83609454372</v>
      </c>
      <c r="Q40" s="297">
        <v>8.575199999999997</v>
      </c>
      <c r="R40" s="298">
        <f t="shared" si="101"/>
        <v>9.6374168054646936E-2</v>
      </c>
      <c r="S40" s="299">
        <v>138845.92604799932</v>
      </c>
      <c r="T40" s="299">
        <v>2125.8845329325582</v>
      </c>
      <c r="U40" s="251">
        <f t="shared" si="102"/>
        <v>136720.04151506675</v>
      </c>
      <c r="V40" s="297">
        <v>5.1408000000000111</v>
      </c>
      <c r="W40" s="298">
        <f t="shared" si="103"/>
        <v>5.6768774744476794E-2</v>
      </c>
      <c r="X40" s="299">
        <v>138793.32732877095</v>
      </c>
      <c r="Y40" s="299">
        <v>1800.4157196831279</v>
      </c>
      <c r="Z40" s="251">
        <f t="shared" si="104"/>
        <v>136992.91160908781</v>
      </c>
      <c r="AA40" s="297">
        <v>8.1011500000000183</v>
      </c>
      <c r="AB40" s="298">
        <f t="shared" si="105"/>
        <v>7.834147918127829E-2</v>
      </c>
      <c r="AC40" s="299">
        <v>138724.93279576403</v>
      </c>
      <c r="AD40" s="299">
        <v>1599.0370895992994</v>
      </c>
      <c r="AE40" s="251">
        <f t="shared" si="106"/>
        <v>137125.89570616474</v>
      </c>
      <c r="AF40" s="321">
        <v>8.4024000000000143</v>
      </c>
      <c r="AG40" s="298">
        <f t="shared" si="107"/>
        <v>5.1488307066988329E-2</v>
      </c>
      <c r="AH40" s="299">
        <v>138499.96603873043</v>
      </c>
      <c r="AI40" s="299">
        <v>3572.3048942958612</v>
      </c>
      <c r="AJ40" s="251">
        <f t="shared" si="108"/>
        <v>134927.66114443456</v>
      </c>
      <c r="AK40" s="297">
        <v>12.592799999999979</v>
      </c>
      <c r="AL40" s="298">
        <f t="shared" si="109"/>
        <v>5.4573685509091543E-2</v>
      </c>
      <c r="AM40" s="299">
        <v>138453.46327300699</v>
      </c>
      <c r="AN40" s="299">
        <v>2563.7133799534213</v>
      </c>
      <c r="AO40" s="251">
        <f t="shared" si="110"/>
        <v>135889.74989305355</v>
      </c>
      <c r="AP40" s="297">
        <v>12.448799999999984</v>
      </c>
      <c r="AQ40" s="298">
        <f t="shared" si="111"/>
        <v>6.1269146608314964E-2</v>
      </c>
      <c r="AR40" s="299">
        <v>138428.93612235723</v>
      </c>
      <c r="AS40" s="299">
        <v>3075.1277231540407</v>
      </c>
      <c r="AT40" s="251">
        <f t="shared" si="112"/>
        <v>135353.8083992032</v>
      </c>
      <c r="AU40" s="321">
        <v>8.9765999999999977</v>
      </c>
      <c r="AV40" s="298">
        <f t="shared" si="113"/>
        <v>4.9060763153763336E-2</v>
      </c>
      <c r="AW40" s="299">
        <v>138156.19388187063</v>
      </c>
      <c r="AX40" s="299">
        <v>3309.3454091749677</v>
      </c>
      <c r="AY40" s="251">
        <f t="shared" si="114"/>
        <v>134846.84847269565</v>
      </c>
      <c r="AZ40" s="297">
        <v>6.2496000000000125</v>
      </c>
      <c r="BA40" s="298">
        <f t="shared" si="115"/>
        <v>8.0361507868481563E-2</v>
      </c>
      <c r="BB40" s="299">
        <v>138212.27758576555</v>
      </c>
      <c r="BC40" s="299">
        <v>3638.6120711725475</v>
      </c>
      <c r="BD40" s="251">
        <f t="shared" si="116"/>
        <v>134573.66551459301</v>
      </c>
      <c r="BE40" s="297">
        <v>7.8777500000000096</v>
      </c>
      <c r="BF40" s="298">
        <f t="shared" si="117"/>
        <v>9.5815952609614119E-2</v>
      </c>
      <c r="BG40" s="299">
        <v>138187.91913934809</v>
      </c>
      <c r="BH40" s="299">
        <v>3464.439719463041</v>
      </c>
      <c r="BI40" s="251">
        <f t="shared" si="118"/>
        <v>134723.47941988506</v>
      </c>
      <c r="BJ40" s="322"/>
      <c r="BK40" s="297">
        <v>6.6168000000000164</v>
      </c>
      <c r="BL40" s="298">
        <f t="shared" si="119"/>
        <v>8.5418955396712529E-2</v>
      </c>
      <c r="BM40" s="299">
        <v>138212.75843307946</v>
      </c>
      <c r="BN40" s="299">
        <v>3492.2273606577014</v>
      </c>
      <c r="BO40" s="251">
        <f t="shared" si="120"/>
        <v>134720.53107242176</v>
      </c>
      <c r="BP40" s="297">
        <v>6.3264000000000156</v>
      </c>
      <c r="BQ40" s="298">
        <f t="shared" si="121"/>
        <v>7.260853721870425E-2</v>
      </c>
      <c r="BR40" s="299">
        <v>138182.98400354054</v>
      </c>
      <c r="BS40" s="299">
        <v>2462.6375189681276</v>
      </c>
      <c r="BT40" s="251">
        <f t="shared" si="122"/>
        <v>135720.34648457239</v>
      </c>
      <c r="BU40" s="297">
        <f>'NR '!AV40</f>
        <v>7.5240000000000151</v>
      </c>
      <c r="BV40" s="298">
        <f t="shared" si="123"/>
        <v>5.7233939391357722E-2</v>
      </c>
      <c r="BW40" s="299">
        <f>'NR '!AX40</f>
        <v>138215.95029239764</v>
      </c>
      <c r="BX40" s="299">
        <v>2673.3878256246585</v>
      </c>
      <c r="BY40" s="251">
        <f t="shared" si="124"/>
        <v>135542.56246677297</v>
      </c>
      <c r="BZ40" s="297">
        <f>'NR '!AY40</f>
        <v>5.3912000000000129</v>
      </c>
      <c r="CA40" s="298">
        <f t="shared" si="125"/>
        <v>4.3091515718408149E-2</v>
      </c>
      <c r="CB40" s="299">
        <f>'NR '!BA40</f>
        <v>138227.72295592821</v>
      </c>
      <c r="CC40" s="261">
        <v>2483.7772666567644</v>
      </c>
      <c r="CD40" s="251">
        <f t="shared" si="126"/>
        <v>135743.94568927144</v>
      </c>
      <c r="CE40" s="249">
        <f>'NR '!BB40</f>
        <v>7.236000000000014</v>
      </c>
      <c r="CF40" s="250">
        <f t="shared" si="127"/>
        <v>4.2346392493384207E-3</v>
      </c>
      <c r="CG40" s="261">
        <f>'NR '!BD40</f>
        <v>138079.0409065781</v>
      </c>
      <c r="CH40" s="261">
        <v>3500.8015478164657</v>
      </c>
      <c r="CI40" s="251">
        <f t="shared" si="128"/>
        <v>134578.23935876164</v>
      </c>
      <c r="CJ40" s="249">
        <f>'NR '!BE40</f>
        <v>5.6360000000000063</v>
      </c>
      <c r="CK40" s="250">
        <f t="shared" si="129"/>
        <v>5.1925461718331151E-2</v>
      </c>
      <c r="CL40" s="261">
        <f>'NR '!BG40</f>
        <v>137954.05251951737</v>
      </c>
      <c r="CM40" s="261">
        <v>2632.0635202271037</v>
      </c>
      <c r="CN40" s="251">
        <f t="shared" si="130"/>
        <v>135321.98899929028</v>
      </c>
      <c r="CO40" s="249">
        <f>'NR '!BH40</f>
        <v>4.701600000000008</v>
      </c>
      <c r="CP40" s="250">
        <f t="shared" si="131"/>
        <v>2.5536408650322681E-2</v>
      </c>
      <c r="CQ40" s="261">
        <f>'NR '!BJ40</f>
        <v>137886.53649821307</v>
      </c>
      <c r="CR40" s="261">
        <v>1224.3959503147855</v>
      </c>
      <c r="CS40" s="251">
        <f t="shared" si="132"/>
        <v>136662.14054789828</v>
      </c>
      <c r="CT40" s="249">
        <v>6.1334000000000071</v>
      </c>
      <c r="CU40" s="250">
        <f t="shared" si="133"/>
        <v>2.9817287253424547E-2</v>
      </c>
      <c r="CV40" s="261">
        <v>137667.91176182849</v>
      </c>
      <c r="CW40" s="261">
        <v>1019.4851142922349</v>
      </c>
      <c r="CX40" s="251">
        <f t="shared" si="134"/>
        <v>136648.42664753625</v>
      </c>
      <c r="CY40" s="249">
        <v>17.186399999999967</v>
      </c>
      <c r="CZ40" s="250">
        <f t="shared" si="135"/>
        <v>8.3668128690913279E-2</v>
      </c>
      <c r="DA40" s="261">
        <v>137867.3672205933</v>
      </c>
      <c r="DB40" s="261">
        <v>1680.2716101103219</v>
      </c>
      <c r="DC40" s="251">
        <f t="shared" si="136"/>
        <v>136187.09561048297</v>
      </c>
      <c r="DD40" s="249">
        <f>'NR '!BQ40</f>
        <v>9.1799999999999944</v>
      </c>
      <c r="DE40" s="250">
        <f t="shared" si="137"/>
        <v>4.4416884686800003E-2</v>
      </c>
      <c r="DF40" s="261">
        <f>'NR '!BS40</f>
        <v>137949.49128540297</v>
      </c>
      <c r="DG40" s="261">
        <v>1911.2886710239652</v>
      </c>
      <c r="DH40" s="251">
        <f t="shared" si="142"/>
        <v>136038.202614379</v>
      </c>
      <c r="DI40" s="249">
        <f>'NR '!BT40</f>
        <v>2.1160500000000013</v>
      </c>
      <c r="DJ40" s="250">
        <f t="shared" si="139"/>
        <v>1.5840455942826598E-2</v>
      </c>
      <c r="DK40" s="261">
        <f>'NR '!BV40</f>
        <v>138021.28494128195</v>
      </c>
      <c r="DL40" s="261">
        <v>2307.899151721364</v>
      </c>
      <c r="DM40" s="251">
        <f t="shared" si="140"/>
        <v>135713.38578956059</v>
      </c>
      <c r="DN40" s="249">
        <v>11.462399999999977</v>
      </c>
      <c r="DO40" s="250">
        <f t="shared" si="143"/>
        <v>0.10112800283310858</v>
      </c>
      <c r="DP40" s="261">
        <v>137989.79882049168</v>
      </c>
      <c r="DQ40" s="261">
        <v>1859.2929927414868</v>
      </c>
      <c r="DR40" s="251">
        <f t="shared" si="141"/>
        <v>136130.5058277502</v>
      </c>
    </row>
    <row r="41" spans="1:122" s="301" customFormat="1">
      <c r="A41" s="319" t="s">
        <v>179</v>
      </c>
      <c r="B41" s="299">
        <v>7.1054999999999904</v>
      </c>
      <c r="C41" s="298">
        <f t="shared" si="95"/>
        <v>7.708651905356774E-2</v>
      </c>
      <c r="D41" s="299">
        <v>157067.57907018979</v>
      </c>
      <c r="E41" s="299">
        <v>5546.002826434742</v>
      </c>
      <c r="F41" s="251">
        <f t="shared" si="96"/>
        <v>151521.57624375506</v>
      </c>
      <c r="G41" s="297">
        <v>4.8279999999999923</v>
      </c>
      <c r="H41" s="298">
        <f t="shared" si="97"/>
        <v>6.8077450084937971E-2</v>
      </c>
      <c r="I41" s="320">
        <v>157627.12645715656</v>
      </c>
      <c r="J41" s="299">
        <v>5997.8878799721888</v>
      </c>
      <c r="K41" s="251">
        <f t="shared" si="98"/>
        <v>151629.23857718435</v>
      </c>
      <c r="L41" s="297">
        <v>6.9179999999999966</v>
      </c>
      <c r="M41" s="298">
        <f t="shared" si="99"/>
        <v>7.8562994478842893E-2</v>
      </c>
      <c r="N41" s="299">
        <v>158102.14631543637</v>
      </c>
      <c r="O41" s="299">
        <v>3586.8069243492341</v>
      </c>
      <c r="P41" s="251">
        <f t="shared" si="100"/>
        <v>154515.33939108715</v>
      </c>
      <c r="Q41" s="297">
        <v>4.4849999999999941</v>
      </c>
      <c r="R41" s="298">
        <f t="shared" si="101"/>
        <v>5.0405604968407861E-2</v>
      </c>
      <c r="S41" s="299">
        <v>152671.72866705179</v>
      </c>
      <c r="T41" s="299">
        <v>404.44902435564279</v>
      </c>
      <c r="U41" s="251">
        <f t="shared" si="102"/>
        <v>152267.27964269614</v>
      </c>
      <c r="V41" s="297">
        <v>2.1329999999999987</v>
      </c>
      <c r="W41" s="298">
        <f t="shared" si="103"/>
        <v>2.3554271033685157E-2</v>
      </c>
      <c r="X41" s="299">
        <v>152676.41602912481</v>
      </c>
      <c r="Y41" s="299">
        <v>442.78778781257108</v>
      </c>
      <c r="Z41" s="251">
        <f t="shared" si="104"/>
        <v>152233.62824131225</v>
      </c>
      <c r="AA41" s="297">
        <v>1.3949999999999996</v>
      </c>
      <c r="AB41" s="298">
        <f t="shared" si="105"/>
        <v>1.3490228357440973E-2</v>
      </c>
      <c r="AC41" s="299">
        <v>152190.78991984631</v>
      </c>
      <c r="AD41" s="299">
        <v>685.02814966565154</v>
      </c>
      <c r="AE41" s="251">
        <f t="shared" si="106"/>
        <v>151505.76177018066</v>
      </c>
      <c r="AF41" s="321">
        <v>3.0005000000000011</v>
      </c>
      <c r="AG41" s="298">
        <f t="shared" si="107"/>
        <v>1.8386492591937812E-2</v>
      </c>
      <c r="AH41" s="299">
        <v>152552.49988787281</v>
      </c>
      <c r="AI41" s="299">
        <v>10913.568490018968</v>
      </c>
      <c r="AJ41" s="251">
        <f t="shared" si="108"/>
        <v>141638.93139785383</v>
      </c>
      <c r="AK41" s="297">
        <v>1.2195</v>
      </c>
      <c r="AL41" s="298">
        <f t="shared" si="109"/>
        <v>5.2849731178401345E-3</v>
      </c>
      <c r="AM41" s="299">
        <v>151752.60343102281</v>
      </c>
      <c r="AN41" s="299">
        <v>11386.895879523458</v>
      </c>
      <c r="AO41" s="251">
        <f t="shared" si="110"/>
        <v>140365.70755149936</v>
      </c>
      <c r="AP41" s="297">
        <v>2.3095000000000008</v>
      </c>
      <c r="AQ41" s="298">
        <f t="shared" si="111"/>
        <v>1.1366645306527829E-2</v>
      </c>
      <c r="AR41" s="299">
        <v>153855.30201342283</v>
      </c>
      <c r="AS41" s="299">
        <v>131.85537995237218</v>
      </c>
      <c r="AT41" s="251">
        <f t="shared" si="112"/>
        <v>153723.44663347045</v>
      </c>
      <c r="AU41" s="321">
        <v>2.4564999999999997</v>
      </c>
      <c r="AV41" s="298">
        <f t="shared" si="113"/>
        <v>1.3425769744359741E-2</v>
      </c>
      <c r="AW41" s="299">
        <v>152942.99613270923</v>
      </c>
      <c r="AX41" s="299">
        <v>469.42804803582362</v>
      </c>
      <c r="AY41" s="251">
        <f t="shared" si="114"/>
        <v>152473.5680846734</v>
      </c>
      <c r="AZ41" s="297">
        <v>1.6369999999999998</v>
      </c>
      <c r="BA41" s="298">
        <f t="shared" si="115"/>
        <v>2.1049633317444961E-2</v>
      </c>
      <c r="BB41" s="299">
        <v>152676.51191203421</v>
      </c>
      <c r="BC41" s="299">
        <v>1101.191203420892</v>
      </c>
      <c r="BD41" s="251">
        <f t="shared" si="116"/>
        <v>151575.32070861332</v>
      </c>
      <c r="BE41" s="297">
        <v>4.7650000000000006</v>
      </c>
      <c r="BF41" s="298">
        <f t="shared" si="117"/>
        <v>5.7956017160332676E-2</v>
      </c>
      <c r="BG41" s="299">
        <v>152452.55613850997</v>
      </c>
      <c r="BH41" s="299">
        <v>17443.64533053515</v>
      </c>
      <c r="BI41" s="251">
        <f t="shared" si="118"/>
        <v>135008.91080797481</v>
      </c>
      <c r="BJ41" s="322"/>
      <c r="BK41" s="297">
        <v>3.7549999999999999</v>
      </c>
      <c r="BL41" s="298">
        <f t="shared" si="119"/>
        <v>4.8474818267841661E-2</v>
      </c>
      <c r="BM41" s="299">
        <v>152958.52996005327</v>
      </c>
      <c r="BN41" s="299">
        <v>28657.387483355531</v>
      </c>
      <c r="BO41" s="251">
        <f t="shared" si="120"/>
        <v>124301.14247669774</v>
      </c>
      <c r="BP41" s="297">
        <v>1.9349999999999987</v>
      </c>
      <c r="BQ41" s="298">
        <f t="shared" si="121"/>
        <v>2.2208130930417343E-2</v>
      </c>
      <c r="BR41" s="299">
        <v>153634.30490956077</v>
      </c>
      <c r="BS41" s="299">
        <v>28922.811369509061</v>
      </c>
      <c r="BT41" s="251">
        <f t="shared" si="122"/>
        <v>124711.49354005171</v>
      </c>
      <c r="BU41" s="297">
        <f>'NR '!AV41</f>
        <v>4.1399999999999988</v>
      </c>
      <c r="BV41" s="298">
        <f t="shared" si="123"/>
        <v>3.1492358995244607E-2</v>
      </c>
      <c r="BW41" s="299">
        <f>'NR '!AX41</f>
        <v>152094.57971014499</v>
      </c>
      <c r="BX41" s="299">
        <v>28839.652173913048</v>
      </c>
      <c r="BY41" s="251">
        <f t="shared" si="124"/>
        <v>123254.92753623193</v>
      </c>
      <c r="BZ41" s="297">
        <f>'NR '!AY41</f>
        <v>3.0299999999999989</v>
      </c>
      <c r="CA41" s="298">
        <f t="shared" si="125"/>
        <v>2.4218595605204098E-2</v>
      </c>
      <c r="CB41" s="299">
        <f>'NR '!BA41</f>
        <v>152657.49834983508</v>
      </c>
      <c r="CC41" s="261">
        <v>27862.554455445552</v>
      </c>
      <c r="CD41" s="251">
        <f t="shared" si="126"/>
        <v>124794.94389438952</v>
      </c>
      <c r="CE41" s="249">
        <f>'NR '!BB41</f>
        <v>1.3949999999999998</v>
      </c>
      <c r="CF41" s="250">
        <f t="shared" si="127"/>
        <v>8.1637945727295257E-4</v>
      </c>
      <c r="CG41" s="261">
        <f>'NR '!BD41</f>
        <v>151871.9641577061</v>
      </c>
      <c r="CH41" s="261">
        <v>25895.842293906811</v>
      </c>
      <c r="CI41" s="251">
        <f t="shared" si="128"/>
        <v>125976.12186379929</v>
      </c>
      <c r="CJ41" s="249">
        <f>'NR '!BE41</f>
        <v>0.58500000000000008</v>
      </c>
      <c r="CK41" s="250">
        <f t="shared" si="129"/>
        <v>5.3897081450006547E-3</v>
      </c>
      <c r="CL41" s="261">
        <f>'NR '!BG41</f>
        <v>152198.42735042734</v>
      </c>
      <c r="CM41" s="261">
        <v>18600.222222222219</v>
      </c>
      <c r="CN41" s="251">
        <f t="shared" si="130"/>
        <v>133598.20512820513</v>
      </c>
      <c r="CO41" s="249">
        <f>'NR '!BH41</f>
        <v>0.21000000000000002</v>
      </c>
      <c r="CP41" s="250">
        <f t="shared" si="131"/>
        <v>1.1406001821864375E-3</v>
      </c>
      <c r="CQ41" s="261">
        <f>'NR '!BJ41</f>
        <v>152394.28571428568</v>
      </c>
      <c r="CR41" s="261">
        <v>3700.4285714285716</v>
      </c>
      <c r="CS41" s="251">
        <f t="shared" si="132"/>
        <v>148693.8571428571</v>
      </c>
      <c r="CT41" s="249">
        <v>0.15000000000000002</v>
      </c>
      <c r="CU41" s="250">
        <f t="shared" si="133"/>
        <v>7.2921920761953856E-4</v>
      </c>
      <c r="CV41" s="261">
        <v>152056.93333333329</v>
      </c>
      <c r="CW41" s="261">
        <v>2124.8666666666645</v>
      </c>
      <c r="CX41" s="251">
        <f t="shared" si="134"/>
        <v>149932.06666666662</v>
      </c>
      <c r="CY41" s="249">
        <v>0</v>
      </c>
      <c r="CZ41" s="250">
        <f t="shared" si="135"/>
        <v>0</v>
      </c>
      <c r="DA41" s="261">
        <v>0</v>
      </c>
      <c r="DB41" s="261">
        <v>0</v>
      </c>
      <c r="DC41" s="251">
        <f t="shared" si="136"/>
        <v>0</v>
      </c>
      <c r="DD41" s="249">
        <f>'NR '!BQ41</f>
        <v>2.1279999999999997</v>
      </c>
      <c r="DE41" s="250">
        <f t="shared" si="137"/>
        <v>1.029620159188567E-2</v>
      </c>
      <c r="DF41" s="261">
        <f>'NR '!BS41</f>
        <v>151269.94830827072</v>
      </c>
      <c r="DG41" s="261">
        <v>20998.867481203019</v>
      </c>
      <c r="DH41" s="251">
        <f t="shared" si="142"/>
        <v>130271.08082706769</v>
      </c>
      <c r="DI41" s="249">
        <f>'NR '!BT41</f>
        <v>1.125</v>
      </c>
      <c r="DJ41" s="250">
        <f t="shared" si="139"/>
        <v>8.4215935047281063E-3</v>
      </c>
      <c r="DK41" s="261">
        <f>'NR '!BV41</f>
        <v>151367.12</v>
      </c>
      <c r="DL41" s="261">
        <v>18303.493333333332</v>
      </c>
      <c r="DM41" s="251">
        <f t="shared" si="140"/>
        <v>133063.62666666665</v>
      </c>
      <c r="DN41" s="249">
        <v>1.3950000000000002</v>
      </c>
      <c r="DO41" s="250">
        <f t="shared" si="143"/>
        <v>1.2307506626202782E-2</v>
      </c>
      <c r="DP41" s="261">
        <v>151343.79928315413</v>
      </c>
      <c r="DQ41" s="235">
        <v>21871.569892473119</v>
      </c>
      <c r="DR41" s="251">
        <f t="shared" si="141"/>
        <v>129472.22939068102</v>
      </c>
    </row>
    <row r="42" spans="1:122" s="301" customFormat="1">
      <c r="A42" s="319" t="s">
        <v>180</v>
      </c>
      <c r="B42" s="299">
        <v>4.4496000000000109</v>
      </c>
      <c r="C42" s="298">
        <f t="shared" si="95"/>
        <v>4.827305259035343E-2</v>
      </c>
      <c r="D42" s="299">
        <v>165047.16321862084</v>
      </c>
      <c r="E42" s="299">
        <v>6416.6753867581019</v>
      </c>
      <c r="F42" s="251">
        <f t="shared" si="96"/>
        <v>158630.48783186273</v>
      </c>
      <c r="G42" s="297">
        <v>0.77422499999999983</v>
      </c>
      <c r="H42" s="298">
        <f t="shared" si="97"/>
        <v>1.0916997471419049E-2</v>
      </c>
      <c r="I42" s="320">
        <v>167299.50743342901</v>
      </c>
      <c r="J42" s="299">
        <v>5099.7842794663547</v>
      </c>
      <c r="K42" s="251">
        <f t="shared" si="98"/>
        <v>162199.72315396267</v>
      </c>
      <c r="L42" s="297">
        <v>0.27359999999999995</v>
      </c>
      <c r="M42" s="298">
        <f t="shared" si="99"/>
        <v>3.1070880730574473E-3</v>
      </c>
      <c r="N42" s="299">
        <v>164871.58285383982</v>
      </c>
      <c r="O42" s="299">
        <v>6000.09291427479</v>
      </c>
      <c r="P42" s="251">
        <f t="shared" si="100"/>
        <v>158871.48993956504</v>
      </c>
      <c r="Q42" s="297">
        <v>8.6399999999999991E-2</v>
      </c>
      <c r="R42" s="298">
        <f t="shared" si="101"/>
        <v>9.7102436327100206E-4</v>
      </c>
      <c r="S42" s="299">
        <v>159418.30930936386</v>
      </c>
      <c r="T42" s="299">
        <v>1381.8509760304685</v>
      </c>
      <c r="U42" s="251">
        <f t="shared" si="102"/>
        <v>158036.4583333334</v>
      </c>
      <c r="V42" s="297">
        <v>9.2700000000000005E-2</v>
      </c>
      <c r="W42" s="298">
        <f t="shared" si="103"/>
        <v>1.0236666314217607E-3</v>
      </c>
      <c r="X42" s="299">
        <v>160232.323998281</v>
      </c>
      <c r="Y42" s="299">
        <v>-1472.8539952464994</v>
      </c>
      <c r="Z42" s="251">
        <f t="shared" si="104"/>
        <v>161705.1779935275</v>
      </c>
      <c r="AA42" s="297">
        <v>7.1999999999999995E-2</v>
      </c>
      <c r="AB42" s="298">
        <f t="shared" si="105"/>
        <v>6.9626985070663102E-4</v>
      </c>
      <c r="AC42" s="299">
        <v>154850.79503185654</v>
      </c>
      <c r="AD42" s="299">
        <v>5412.0450318565117</v>
      </c>
      <c r="AE42" s="251">
        <f t="shared" si="106"/>
        <v>149438.75000000003</v>
      </c>
      <c r="AF42" s="321">
        <v>7.1999999999999995E-2</v>
      </c>
      <c r="AG42" s="298">
        <f t="shared" si="107"/>
        <v>4.4120228849175866E-4</v>
      </c>
      <c r="AH42" s="299">
        <v>151309.85501901925</v>
      </c>
      <c r="AI42" s="299">
        <v>22992.49390790809</v>
      </c>
      <c r="AJ42" s="251">
        <f t="shared" si="108"/>
        <v>128317.36111111115</v>
      </c>
      <c r="AK42" s="297">
        <v>2.8799999999999999E-2</v>
      </c>
      <c r="AL42" s="298">
        <f t="shared" si="109"/>
        <v>1.2481117326264523E-4</v>
      </c>
      <c r="AM42" s="299">
        <v>149470.22152334722</v>
      </c>
      <c r="AN42" s="299">
        <v>22992.790967791672</v>
      </c>
      <c r="AO42" s="251">
        <f t="shared" si="110"/>
        <v>126477.43055555555</v>
      </c>
      <c r="AP42" s="297">
        <v>-5.9999999999999995E-4</v>
      </c>
      <c r="AQ42" s="298">
        <f t="shared" si="111"/>
        <v>-2.9530145849390321E-6</v>
      </c>
      <c r="AR42" s="299">
        <v>103466.66666666667</v>
      </c>
      <c r="AS42" s="299">
        <v>-159400.00000000003</v>
      </c>
      <c r="AT42" s="251">
        <f t="shared" si="112"/>
        <v>262866.66666666669</v>
      </c>
      <c r="AU42" s="321"/>
      <c r="AV42" s="298">
        <f t="shared" si="113"/>
        <v>0</v>
      </c>
      <c r="AW42" s="299">
        <v>0</v>
      </c>
      <c r="AX42" s="299"/>
      <c r="AY42" s="251">
        <f t="shared" si="114"/>
        <v>0</v>
      </c>
      <c r="AZ42" s="297">
        <v>4.3200000000000002E-2</v>
      </c>
      <c r="BA42" s="298">
        <f t="shared" si="115"/>
        <v>5.5549429402176084E-4</v>
      </c>
      <c r="BB42" s="299">
        <v>157970.13888888888</v>
      </c>
      <c r="BC42" s="299">
        <v>-3.0092592592592591</v>
      </c>
      <c r="BD42" s="251">
        <f t="shared" si="116"/>
        <v>157973.14814814815</v>
      </c>
      <c r="BE42" s="297">
        <v>-0.19462499999999994</v>
      </c>
      <c r="BF42" s="298">
        <f t="shared" si="117"/>
        <v>-2.3671961888414991E-3</v>
      </c>
      <c r="BG42" s="299">
        <v>126710.34039820175</v>
      </c>
      <c r="BH42" s="299">
        <v>11050.944123314071</v>
      </c>
      <c r="BI42" s="251">
        <f t="shared" si="118"/>
        <v>115659.39627488768</v>
      </c>
      <c r="BJ42" s="322"/>
      <c r="BK42" s="297"/>
      <c r="BL42" s="298">
        <f t="shared" si="119"/>
        <v>0</v>
      </c>
      <c r="BM42" s="299"/>
      <c r="BN42" s="299"/>
      <c r="BO42" s="251">
        <f t="shared" si="120"/>
        <v>0</v>
      </c>
      <c r="BP42" s="297"/>
      <c r="BQ42" s="298">
        <f t="shared" si="121"/>
        <v>0</v>
      </c>
      <c r="BR42" s="299"/>
      <c r="BS42" s="299"/>
      <c r="BT42" s="251">
        <f t="shared" si="122"/>
        <v>0</v>
      </c>
      <c r="BU42" s="297">
        <f>'NR '!AV42</f>
        <v>-1.9200000000000002E-2</v>
      </c>
      <c r="BV42" s="298">
        <f t="shared" si="123"/>
        <v>-1.4605151997794605E-4</v>
      </c>
      <c r="BW42" s="299">
        <f>'NR '!AX42</f>
        <v>124175.52083333333</v>
      </c>
      <c r="BX42" s="299">
        <v>8.3333333333333321</v>
      </c>
      <c r="BY42" s="251">
        <f t="shared" si="124"/>
        <v>124167.1875</v>
      </c>
      <c r="BZ42" s="297">
        <f>'NR '!AY42</f>
        <v>0</v>
      </c>
      <c r="CA42" s="298">
        <f t="shared" si="125"/>
        <v>0</v>
      </c>
      <c r="CB42" s="299">
        <f>'NR '!BA42</f>
        <v>0</v>
      </c>
      <c r="CC42" s="261">
        <v>62481.884057971009</v>
      </c>
      <c r="CD42" s="251">
        <f t="shared" si="126"/>
        <v>-62481.884057971009</v>
      </c>
      <c r="CE42" s="249">
        <f>'NR '!BB42</f>
        <v>0</v>
      </c>
      <c r="CF42" s="250">
        <f t="shared" si="127"/>
        <v>0</v>
      </c>
      <c r="CG42" s="261">
        <f>'NR '!BD42</f>
        <v>0</v>
      </c>
      <c r="CH42" s="261"/>
      <c r="CI42" s="251">
        <f t="shared" si="128"/>
        <v>0</v>
      </c>
      <c r="CJ42" s="249">
        <f>'NR '!BE42</f>
        <v>-6.0000000000000001E-3</v>
      </c>
      <c r="CK42" s="250">
        <f t="shared" si="129"/>
        <v>-5.5279057897442608E-5</v>
      </c>
      <c r="CL42" s="261">
        <f>'NR '!BG42</f>
        <v>144870</v>
      </c>
      <c r="CM42" s="261">
        <v>49436.666666666664</v>
      </c>
      <c r="CN42" s="251">
        <f t="shared" si="130"/>
        <v>95433.333333333343</v>
      </c>
      <c r="CO42" s="249">
        <f>'NR '!BH42</f>
        <v>1.1999999999999997E-3</v>
      </c>
      <c r="CP42" s="250">
        <f t="shared" si="131"/>
        <v>6.5177153267796398E-6</v>
      </c>
      <c r="CQ42" s="261">
        <f>'NR '!BJ42</f>
        <v>479450.00000000023</v>
      </c>
      <c r="CR42" s="261">
        <v>-116.66666666666671</v>
      </c>
      <c r="CS42" s="251">
        <f t="shared" si="132"/>
        <v>479566.66666666692</v>
      </c>
      <c r="CT42" s="249">
        <v>-2.64E-2</v>
      </c>
      <c r="CU42" s="250">
        <f t="shared" si="133"/>
        <v>-1.2834258054103876E-4</v>
      </c>
      <c r="CV42" s="261">
        <v>114453.0303030303</v>
      </c>
      <c r="CW42" s="261">
        <v>3582.1969696969695</v>
      </c>
      <c r="CX42" s="251">
        <f t="shared" si="134"/>
        <v>110870.83333333333</v>
      </c>
      <c r="CY42" s="249">
        <v>0.28800000000000003</v>
      </c>
      <c r="CZ42" s="250">
        <f t="shared" si="135"/>
        <v>1.4020633211715701E-3</v>
      </c>
      <c r="DA42" s="261">
        <v>153704.27083333331</v>
      </c>
      <c r="DB42" s="261">
        <v>0</v>
      </c>
      <c r="DC42" s="251">
        <f t="shared" si="136"/>
        <v>153704.27083333331</v>
      </c>
      <c r="DD42" s="249">
        <f>'NR '!BQ42</f>
        <v>0</v>
      </c>
      <c r="DE42" s="250">
        <f t="shared" si="137"/>
        <v>0</v>
      </c>
      <c r="DF42" s="261">
        <f>'NR '!BS42</f>
        <v>0</v>
      </c>
      <c r="DG42" s="261"/>
      <c r="DH42" s="251">
        <f t="shared" si="142"/>
        <v>0</v>
      </c>
      <c r="DI42" s="249">
        <f>'NR '!BT42</f>
        <v>0</v>
      </c>
      <c r="DJ42" s="250">
        <f t="shared" si="139"/>
        <v>0</v>
      </c>
      <c r="DK42" s="261">
        <f>'NR '!BV42</f>
        <v>0</v>
      </c>
      <c r="DL42" s="261">
        <v>0</v>
      </c>
      <c r="DM42" s="251">
        <f t="shared" si="140"/>
        <v>0</v>
      </c>
      <c r="DN42" s="249"/>
      <c r="DO42" s="250">
        <f t="shared" si="143"/>
        <v>0</v>
      </c>
      <c r="DP42" s="261"/>
      <c r="DQ42" s="261"/>
      <c r="DR42" s="251">
        <f t="shared" si="141"/>
        <v>0</v>
      </c>
    </row>
    <row r="43" spans="1:122" s="301" customFormat="1">
      <c r="A43" s="319" t="s">
        <v>181</v>
      </c>
      <c r="B43" s="299">
        <v>6.1649999999999956</v>
      </c>
      <c r="C43" s="298">
        <f t="shared" si="95"/>
        <v>6.6883173593025882E-2</v>
      </c>
      <c r="D43" s="299">
        <v>167860.08165805225</v>
      </c>
      <c r="E43" s="299">
        <v>3614.2702430283102</v>
      </c>
      <c r="F43" s="251">
        <f t="shared" si="96"/>
        <v>164245.81141502393</v>
      </c>
      <c r="G43" s="297">
        <v>3.5066249999999997</v>
      </c>
      <c r="H43" s="298">
        <f t="shared" si="97"/>
        <v>4.9445337283367016E-2</v>
      </c>
      <c r="I43" s="320">
        <v>167959.57352022818</v>
      </c>
      <c r="J43" s="299">
        <v>4375.5574628478325</v>
      </c>
      <c r="K43" s="251">
        <f t="shared" si="98"/>
        <v>163584.01605738036</v>
      </c>
      <c r="L43" s="297">
        <v>0.94500000000000051</v>
      </c>
      <c r="M43" s="298">
        <f t="shared" si="99"/>
        <v>1.0731718673389217E-2</v>
      </c>
      <c r="N43" s="299">
        <v>166956.84252382832</v>
      </c>
      <c r="O43" s="299">
        <v>3547.3729842935441</v>
      </c>
      <c r="P43" s="251">
        <f t="shared" si="100"/>
        <v>163409.46953953477</v>
      </c>
      <c r="Q43" s="297">
        <v>1.0500000000000003</v>
      </c>
      <c r="R43" s="298">
        <f t="shared" si="101"/>
        <v>1.1800643303640656E-2</v>
      </c>
      <c r="S43" s="299">
        <v>154582.13364501149</v>
      </c>
      <c r="T43" s="299">
        <v>888.07094656781305</v>
      </c>
      <c r="U43" s="251">
        <f t="shared" si="102"/>
        <v>153694.06269844368</v>
      </c>
      <c r="V43" s="297">
        <v>0.37400000000000017</v>
      </c>
      <c r="W43" s="298">
        <f t="shared" si="103"/>
        <v>4.130003453632564E-3</v>
      </c>
      <c r="X43" s="299">
        <v>165543.42473464608</v>
      </c>
      <c r="Y43" s="299">
        <v>3144.9758537444036</v>
      </c>
      <c r="Z43" s="251">
        <f t="shared" si="104"/>
        <v>162398.44888090168</v>
      </c>
      <c r="AA43" s="297">
        <v>0.42850000000000021</v>
      </c>
      <c r="AB43" s="298">
        <f t="shared" si="105"/>
        <v>4.1437726531637718E-3</v>
      </c>
      <c r="AC43" s="299">
        <v>157691.10310686691</v>
      </c>
      <c r="AD43" s="299">
        <v>3427.855772255014</v>
      </c>
      <c r="AE43" s="251">
        <f t="shared" si="106"/>
        <v>154263.24733461189</v>
      </c>
      <c r="AF43" s="321">
        <v>0.36050000000000004</v>
      </c>
      <c r="AG43" s="298">
        <f t="shared" si="107"/>
        <v>2.2090753472399868E-3</v>
      </c>
      <c r="AH43" s="299">
        <v>170864.72802354305</v>
      </c>
      <c r="AI43" s="299">
        <v>12069.227973645184</v>
      </c>
      <c r="AJ43" s="251">
        <f t="shared" si="108"/>
        <v>158795.50004989788</v>
      </c>
      <c r="AK43" s="297">
        <v>0.18000000000000005</v>
      </c>
      <c r="AL43" s="298">
        <f t="shared" si="109"/>
        <v>7.8006983289153297E-4</v>
      </c>
      <c r="AM43" s="299">
        <v>168286.60728298657</v>
      </c>
      <c r="AN43" s="299">
        <v>45344.926772895255</v>
      </c>
      <c r="AO43" s="251">
        <f t="shared" si="110"/>
        <v>122941.68051009132</v>
      </c>
      <c r="AP43" s="297">
        <v>7.4499999999999997E-2</v>
      </c>
      <c r="AQ43" s="298">
        <f t="shared" si="111"/>
        <v>3.6666597762992982E-4</v>
      </c>
      <c r="AR43" s="299">
        <v>173662.81879194631</v>
      </c>
      <c r="AS43" s="299">
        <v>4054.2281879194597</v>
      </c>
      <c r="AT43" s="251">
        <f t="shared" si="112"/>
        <v>169608.59060402686</v>
      </c>
      <c r="AU43" s="321"/>
      <c r="AV43" s="298">
        <f t="shared" si="113"/>
        <v>0</v>
      </c>
      <c r="AW43" s="299">
        <v>0</v>
      </c>
      <c r="AX43" s="299"/>
      <c r="AY43" s="251">
        <f t="shared" si="114"/>
        <v>0</v>
      </c>
      <c r="AZ43" s="297"/>
      <c r="BA43" s="298">
        <f t="shared" si="115"/>
        <v>0</v>
      </c>
      <c r="BB43" s="299">
        <v>0</v>
      </c>
      <c r="BC43" s="299"/>
      <c r="BD43" s="251">
        <f t="shared" si="116"/>
        <v>0</v>
      </c>
      <c r="BE43" s="297">
        <v>-2.1999999999999999E-2</v>
      </c>
      <c r="BF43" s="298">
        <f t="shared" si="117"/>
        <v>-2.6758287041496719E-4</v>
      </c>
      <c r="BG43" s="299">
        <v>94759.545454545485</v>
      </c>
      <c r="BH43" s="299">
        <v>29622.27272727271</v>
      </c>
      <c r="BI43" s="251">
        <f t="shared" si="118"/>
        <v>65137.272727272779</v>
      </c>
      <c r="BJ43" s="322"/>
      <c r="BK43" s="297">
        <v>1.2E-2</v>
      </c>
      <c r="BL43" s="298">
        <f t="shared" si="119"/>
        <v>1.5491286796647137E-4</v>
      </c>
      <c r="BM43" s="299">
        <v>278015</v>
      </c>
      <c r="BN43" s="299"/>
      <c r="BO43" s="251">
        <f t="shared" si="120"/>
        <v>278015</v>
      </c>
      <c r="BP43" s="297">
        <v>0</v>
      </c>
      <c r="BQ43" s="298">
        <f t="shared" si="121"/>
        <v>0</v>
      </c>
      <c r="BR43" s="299">
        <v>0</v>
      </c>
      <c r="BS43" s="299"/>
      <c r="BT43" s="251">
        <f t="shared" si="122"/>
        <v>0</v>
      </c>
      <c r="BU43" s="297">
        <f>'NR '!AV43</f>
        <v>-1.7500000000000002E-2</v>
      </c>
      <c r="BV43" s="298">
        <f t="shared" si="123"/>
        <v>-1.3311987497989877E-4</v>
      </c>
      <c r="BW43" s="299">
        <f>'NR '!AX43</f>
        <v>66226.857142857145</v>
      </c>
      <c r="BX43" s="299">
        <v>6.8571428571428559</v>
      </c>
      <c r="BY43" s="251">
        <f t="shared" si="124"/>
        <v>66220</v>
      </c>
      <c r="BZ43" s="297">
        <f>'NR '!AY43</f>
        <v>0</v>
      </c>
      <c r="CA43" s="298">
        <f t="shared" si="125"/>
        <v>0</v>
      </c>
      <c r="CB43" s="299">
        <f>'NR '!BA43</f>
        <v>0</v>
      </c>
      <c r="CC43" s="261">
        <v>0</v>
      </c>
      <c r="CD43" s="251">
        <f t="shared" si="126"/>
        <v>0</v>
      </c>
      <c r="CE43" s="249">
        <f>'NR '!BB43</f>
        <v>-5.0000000000000001E-4</v>
      </c>
      <c r="CF43" s="250">
        <f t="shared" si="127"/>
        <v>-2.9260912447059236E-7</v>
      </c>
      <c r="CG43" s="261">
        <f>'NR '!BD43</f>
        <v>136600</v>
      </c>
      <c r="CH43" s="261">
        <v>0</v>
      </c>
      <c r="CI43" s="251">
        <f t="shared" si="128"/>
        <v>136600</v>
      </c>
      <c r="CJ43" s="249">
        <f>'NR '!BE43</f>
        <v>0</v>
      </c>
      <c r="CK43" s="250">
        <f t="shared" si="129"/>
        <v>0</v>
      </c>
      <c r="CL43" s="261">
        <f>'NR '!BG43</f>
        <v>0</v>
      </c>
      <c r="CM43" s="261"/>
      <c r="CN43" s="251">
        <f t="shared" si="130"/>
        <v>0</v>
      </c>
      <c r="CO43" s="249">
        <f>'NR '!BH43</f>
        <v>-1.5E-3</v>
      </c>
      <c r="CP43" s="250">
        <f t="shared" si="131"/>
        <v>-8.1471441584745525E-6</v>
      </c>
      <c r="CQ43" s="261">
        <f>'NR '!BJ43</f>
        <v>137873.33333333334</v>
      </c>
      <c r="CR43" s="261">
        <v>-18946.666666666657</v>
      </c>
      <c r="CS43" s="251">
        <f t="shared" si="132"/>
        <v>156820</v>
      </c>
      <c r="CT43" s="249">
        <v>-4.1250000000000002E-3</v>
      </c>
      <c r="CU43" s="250">
        <f t="shared" si="133"/>
        <v>-2.0053528209537307E-5</v>
      </c>
      <c r="CV43" s="261">
        <v>116307.8787878788</v>
      </c>
      <c r="CW43" s="261">
        <v>9570.9090909090901</v>
      </c>
      <c r="CX43" s="251">
        <f t="shared" si="134"/>
        <v>106736.96969696971</v>
      </c>
      <c r="CY43" s="249">
        <v>-1.4999999999999999E-2</v>
      </c>
      <c r="CZ43" s="250">
        <f t="shared" si="135"/>
        <v>-7.3024131311019266E-5</v>
      </c>
      <c r="DA43" s="261">
        <v>192268</v>
      </c>
      <c r="DB43" s="261">
        <v>0</v>
      </c>
      <c r="DC43" s="251">
        <f t="shared" si="136"/>
        <v>192268</v>
      </c>
      <c r="DD43" s="249">
        <f>'NR '!BQ43</f>
        <v>0</v>
      </c>
      <c r="DE43" s="250">
        <f t="shared" si="137"/>
        <v>0</v>
      </c>
      <c r="DF43" s="261">
        <f>'NR '!BS43</f>
        <v>0</v>
      </c>
      <c r="DG43" s="261"/>
      <c r="DH43" s="251">
        <f t="shared" si="142"/>
        <v>0</v>
      </c>
      <c r="DI43" s="249">
        <f>'NR '!BT43</f>
        <v>0</v>
      </c>
      <c r="DJ43" s="250">
        <f t="shared" si="139"/>
        <v>0</v>
      </c>
      <c r="DK43" s="261">
        <f>'NR '!BV43</f>
        <v>0</v>
      </c>
      <c r="DL43" s="261">
        <v>0</v>
      </c>
      <c r="DM43" s="251">
        <f t="shared" si="140"/>
        <v>0</v>
      </c>
      <c r="DN43" s="249">
        <v>-5.0000000000000001E-4</v>
      </c>
      <c r="DO43" s="250">
        <f t="shared" si="143"/>
        <v>-4.4112926975637204E-6</v>
      </c>
      <c r="DP43" s="261">
        <v>618559.99999999988</v>
      </c>
      <c r="DQ43" s="261">
        <v>-28560.000000000058</v>
      </c>
      <c r="DR43" s="251">
        <f t="shared" si="141"/>
        <v>647120</v>
      </c>
    </row>
    <row r="44" spans="1:122" s="301" customFormat="1">
      <c r="A44" s="319" t="s">
        <v>182</v>
      </c>
      <c r="B44" s="299">
        <v>4.4064000000000103</v>
      </c>
      <c r="C44" s="298">
        <f t="shared" si="95"/>
        <v>4.780438217685485E-2</v>
      </c>
      <c r="D44" s="299">
        <v>143534.03837142445</v>
      </c>
      <c r="E44" s="299">
        <v>6681.4103757817929</v>
      </c>
      <c r="F44" s="251">
        <f t="shared" si="96"/>
        <v>136852.62799564266</v>
      </c>
      <c r="G44" s="297">
        <v>6.4224000000000157</v>
      </c>
      <c r="H44" s="298">
        <f t="shared" si="97"/>
        <v>9.055936524969084E-2</v>
      </c>
      <c r="I44" s="320">
        <v>143568.66609712286</v>
      </c>
      <c r="J44" s="299">
        <v>6811.994136485092</v>
      </c>
      <c r="K44" s="251">
        <f t="shared" si="98"/>
        <v>136756.67196063776</v>
      </c>
      <c r="L44" s="297">
        <v>8.0784000000000091</v>
      </c>
      <c r="M44" s="298">
        <f t="shared" si="99"/>
        <v>9.1740863630801597E-2</v>
      </c>
      <c r="N44" s="299">
        <v>143709.05694429256</v>
      </c>
      <c r="O44" s="299">
        <v>6949.3644309236943</v>
      </c>
      <c r="P44" s="251">
        <f t="shared" si="100"/>
        <v>136759.69251336888</v>
      </c>
      <c r="Q44" s="297">
        <v>7.1784000000000106</v>
      </c>
      <c r="R44" s="298">
        <f t="shared" si="101"/>
        <v>8.0675940848432548E-2</v>
      </c>
      <c r="S44" s="299">
        <v>138763.03448335646</v>
      </c>
      <c r="T44" s="299">
        <v>3402.9291674087804</v>
      </c>
      <c r="U44" s="251">
        <f t="shared" si="102"/>
        <v>135360.10531594767</v>
      </c>
      <c r="V44" s="297">
        <v>4.2192000000000078</v>
      </c>
      <c r="W44" s="298">
        <f t="shared" si="103"/>
        <v>4.6591739496167212E-2</v>
      </c>
      <c r="X44" s="299">
        <v>138450.35263574537</v>
      </c>
      <c r="Y44" s="299">
        <v>1672.7312857269126</v>
      </c>
      <c r="Z44" s="251">
        <f t="shared" si="104"/>
        <v>136777.62135001845</v>
      </c>
      <c r="AA44" s="297">
        <v>6.3288000000000135</v>
      </c>
      <c r="AB44" s="298">
        <f t="shared" si="105"/>
        <v>6.1202119877113E-2</v>
      </c>
      <c r="AC44" s="299">
        <v>138531.81772035663</v>
      </c>
      <c r="AD44" s="299">
        <v>1849.3818715388202</v>
      </c>
      <c r="AE44" s="251">
        <f t="shared" si="106"/>
        <v>136682.43584881781</v>
      </c>
      <c r="AF44" s="321">
        <v>5.8536000000000143</v>
      </c>
      <c r="AG44" s="298">
        <f t="shared" si="107"/>
        <v>3.5869746054380071E-2</v>
      </c>
      <c r="AH44" s="299">
        <v>138763.41009970877</v>
      </c>
      <c r="AI44" s="299">
        <v>2781.4041546497756</v>
      </c>
      <c r="AJ44" s="251">
        <f t="shared" si="108"/>
        <v>135982.00594505901</v>
      </c>
      <c r="AK44" s="297">
        <v>5.7960000000000171</v>
      </c>
      <c r="AL44" s="298">
        <f t="shared" si="109"/>
        <v>2.5118248619107431E-2</v>
      </c>
      <c r="AM44" s="299">
        <v>138460.43035831698</v>
      </c>
      <c r="AN44" s="299">
        <v>2770.4527875791314</v>
      </c>
      <c r="AO44" s="251">
        <f t="shared" si="110"/>
        <v>135689.97757073786</v>
      </c>
      <c r="AP44" s="297">
        <v>5.9904000000000135</v>
      </c>
      <c r="AQ44" s="298">
        <f t="shared" si="111"/>
        <v>2.9482897616031362E-2</v>
      </c>
      <c r="AR44" s="299">
        <v>138399.36064369648</v>
      </c>
      <c r="AS44" s="299">
        <v>3376.206931089735</v>
      </c>
      <c r="AT44" s="251">
        <f t="shared" si="112"/>
        <v>135023.15371260676</v>
      </c>
      <c r="AU44" s="321">
        <v>9.9322499999999838</v>
      </c>
      <c r="AV44" s="298">
        <f t="shared" si="113"/>
        <v>5.4283778360845442E-2</v>
      </c>
      <c r="AW44" s="299">
        <v>138395.78846686322</v>
      </c>
      <c r="AX44" s="299">
        <v>13892.389941856109</v>
      </c>
      <c r="AY44" s="251">
        <f t="shared" si="114"/>
        <v>124503.39852500711</v>
      </c>
      <c r="AZ44" s="297">
        <v>9.31679999999999</v>
      </c>
      <c r="BA44" s="298">
        <f t="shared" si="115"/>
        <v>0.11980160274402629</v>
      </c>
      <c r="BB44" s="299">
        <v>138194.61188390883</v>
      </c>
      <c r="BC44" s="299">
        <v>15891.215868109246</v>
      </c>
      <c r="BD44" s="251">
        <f t="shared" si="116"/>
        <v>122303.39601579959</v>
      </c>
      <c r="BE44" s="297">
        <v>6.2617000000000109</v>
      </c>
      <c r="BF44" s="298">
        <f t="shared" si="117"/>
        <v>7.6160166348972866E-2</v>
      </c>
      <c r="BG44" s="299">
        <v>138099.70615008695</v>
      </c>
      <c r="BH44" s="299">
        <v>6759.7297858409047</v>
      </c>
      <c r="BI44" s="251">
        <f t="shared" si="118"/>
        <v>131339.97636424605</v>
      </c>
      <c r="BJ44" s="322"/>
      <c r="BK44" s="297">
        <v>5.65920000000001</v>
      </c>
      <c r="BL44" s="298">
        <f t="shared" si="119"/>
        <v>7.3056908532988032E-2</v>
      </c>
      <c r="BM44" s="299">
        <v>138102.3360192253</v>
      </c>
      <c r="BN44" s="299">
        <v>7166.0234662142993</v>
      </c>
      <c r="BO44" s="251">
        <f t="shared" si="120"/>
        <v>130936.312553011</v>
      </c>
      <c r="BP44" s="297">
        <v>5.6952000000000176</v>
      </c>
      <c r="BQ44" s="298">
        <f t="shared" si="121"/>
        <v>6.5364210477991389E-2</v>
      </c>
      <c r="BR44" s="299">
        <v>138150.00175586433</v>
      </c>
      <c r="BS44" s="299">
        <v>7973.073816547253</v>
      </c>
      <c r="BT44" s="251">
        <f t="shared" si="122"/>
        <v>130176.92793931707</v>
      </c>
      <c r="BU44" s="297">
        <f>'NR '!AV44</f>
        <v>5.4504000000000161</v>
      </c>
      <c r="BV44" s="298">
        <f t="shared" si="123"/>
        <v>4.1460375233739556E-2</v>
      </c>
      <c r="BW44" s="299">
        <f>'NR '!AX44</f>
        <v>138182.96271833242</v>
      </c>
      <c r="BX44" s="299">
        <v>7904.0143842653679</v>
      </c>
      <c r="BY44" s="251">
        <f t="shared" si="124"/>
        <v>130278.94833406706</v>
      </c>
      <c r="BZ44" s="297">
        <f>'NR '!AY44</f>
        <v>5.0328000000000106</v>
      </c>
      <c r="CA44" s="298">
        <f t="shared" si="125"/>
        <v>4.0226847512168804E-2</v>
      </c>
      <c r="CB44" s="299">
        <f>'NR '!BA44</f>
        <v>138101.3769670958</v>
      </c>
      <c r="CC44" s="261">
        <v>8444.4106660308316</v>
      </c>
      <c r="CD44" s="251">
        <f t="shared" si="126"/>
        <v>129656.96630106497</v>
      </c>
      <c r="CE44" s="249">
        <f>'NR '!BB44</f>
        <v>5.0918500000000115</v>
      </c>
      <c r="CF44" s="250">
        <f t="shared" si="127"/>
        <v>2.979843540871178E-3</v>
      </c>
      <c r="CG44" s="261">
        <f>'NR '!BD44</f>
        <v>138053.58170409553</v>
      </c>
      <c r="CH44" s="261">
        <v>6784.6715830199155</v>
      </c>
      <c r="CI44" s="251">
        <f t="shared" si="128"/>
        <v>131268.91012107561</v>
      </c>
      <c r="CJ44" s="249">
        <f>'NR '!BE44</f>
        <v>3.9240000000000061</v>
      </c>
      <c r="CK44" s="250">
        <f t="shared" si="129"/>
        <v>3.6152503864927521E-2</v>
      </c>
      <c r="CL44" s="261">
        <f>'NR '!BG44</f>
        <v>137914.2125382261</v>
      </c>
      <c r="CM44" s="261">
        <v>6541.9291539245587</v>
      </c>
      <c r="CN44" s="251">
        <f t="shared" si="130"/>
        <v>131372.28338430155</v>
      </c>
      <c r="CO44" s="249">
        <f>'NR '!BH44</f>
        <v>3.448800000000007</v>
      </c>
      <c r="CP44" s="250">
        <f t="shared" si="131"/>
        <v>1.8731913849164727E-2</v>
      </c>
      <c r="CQ44" s="261">
        <f>'NR '!BJ44</f>
        <v>137871.32915796776</v>
      </c>
      <c r="CR44" s="261">
        <v>3337.546392948258</v>
      </c>
      <c r="CS44" s="251">
        <f t="shared" si="132"/>
        <v>134533.78276501951</v>
      </c>
      <c r="CT44" s="249">
        <v>1.7064000000000019</v>
      </c>
      <c r="CU44" s="250">
        <f t="shared" si="133"/>
        <v>8.2955977058798789E-3</v>
      </c>
      <c r="CV44" s="261">
        <v>137926.14861697113</v>
      </c>
      <c r="CW44" s="261">
        <v>3299.5721987810434</v>
      </c>
      <c r="CX44" s="251">
        <f t="shared" si="134"/>
        <v>134626.57641819009</v>
      </c>
      <c r="CY44" s="249">
        <v>5.0760000000000067</v>
      </c>
      <c r="CZ44" s="250">
        <f t="shared" si="135"/>
        <v>2.4711366035648951E-2</v>
      </c>
      <c r="DA44" s="261">
        <v>137745.58313632768</v>
      </c>
      <c r="DB44" s="261">
        <v>3475.7269503546004</v>
      </c>
      <c r="DC44" s="251">
        <f t="shared" si="136"/>
        <v>134269.85618597307</v>
      </c>
      <c r="DD44" s="249">
        <f>'NR '!BQ44</f>
        <v>4.4064000000000085</v>
      </c>
      <c r="DE44" s="250">
        <f t="shared" si="137"/>
        <v>2.1320104649664055E-2</v>
      </c>
      <c r="DF44" s="261">
        <f>'NR '!BS44</f>
        <v>137941.38525780657</v>
      </c>
      <c r="DG44" s="261">
        <v>3171.7819535221329</v>
      </c>
      <c r="DH44" s="251">
        <f t="shared" si="142"/>
        <v>134769.60330428445</v>
      </c>
      <c r="DI44" s="249">
        <f>'NR '!BT44</f>
        <v>4.8168000000000069</v>
      </c>
      <c r="DJ44" s="250">
        <f t="shared" si="139"/>
        <v>3.6057894749843916E-2</v>
      </c>
      <c r="DK44" s="261">
        <f>'NR '!BV44</f>
        <v>137858.36655040682</v>
      </c>
      <c r="DL44" s="261">
        <v>2520.9765819631202</v>
      </c>
      <c r="DM44" s="251">
        <f t="shared" si="140"/>
        <v>135337.38996844369</v>
      </c>
      <c r="DN44" s="249">
        <v>4.658400000000011</v>
      </c>
      <c r="DO44" s="250">
        <f t="shared" si="143"/>
        <v>4.1099131804661765E-2</v>
      </c>
      <c r="DP44" s="261">
        <v>137971.5309977672</v>
      </c>
      <c r="DQ44" s="261">
        <v>4107.8825347758675</v>
      </c>
      <c r="DR44" s="251">
        <f t="shared" si="141"/>
        <v>133863.64846299135</v>
      </c>
    </row>
    <row r="45" spans="1:122" s="301" customFormat="1">
      <c r="A45" s="319" t="s">
        <v>183</v>
      </c>
      <c r="B45" s="299">
        <v>2.8224000000000058</v>
      </c>
      <c r="C45" s="298">
        <f t="shared" si="95"/>
        <v>3.0619800348573686E-2</v>
      </c>
      <c r="D45" s="299">
        <v>143821.54523567515</v>
      </c>
      <c r="E45" s="299">
        <v>6988.5945554031168</v>
      </c>
      <c r="F45" s="251">
        <f t="shared" si="96"/>
        <v>136832.95068027204</v>
      </c>
      <c r="G45" s="297">
        <v>0.51119999999999988</v>
      </c>
      <c r="H45" s="298">
        <f t="shared" si="97"/>
        <v>7.2082005972287358E-3</v>
      </c>
      <c r="I45" s="320">
        <v>143445.03120068074</v>
      </c>
      <c r="J45" s="299">
        <v>7428.5014667214318</v>
      </c>
      <c r="K45" s="251">
        <f t="shared" si="98"/>
        <v>136016.52973395929</v>
      </c>
      <c r="L45" s="297">
        <v>0.16560000000000002</v>
      </c>
      <c r="M45" s="298">
        <f t="shared" si="99"/>
        <v>1.8806059389558239E-3</v>
      </c>
      <c r="N45" s="299">
        <v>143363.47594099276</v>
      </c>
      <c r="O45" s="299">
        <v>6424.3455062101757</v>
      </c>
      <c r="P45" s="251">
        <f t="shared" si="100"/>
        <v>136939.13043478259</v>
      </c>
      <c r="Q45" s="297">
        <v>0.2016</v>
      </c>
      <c r="R45" s="298">
        <f t="shared" si="101"/>
        <v>2.2657235142990052E-3</v>
      </c>
      <c r="S45" s="299">
        <v>138601.8057565848</v>
      </c>
      <c r="T45" s="299">
        <v>9602.9466296006722</v>
      </c>
      <c r="U45" s="251">
        <f t="shared" si="102"/>
        <v>128998.85912698413</v>
      </c>
      <c r="V45" s="297">
        <v>7.0199999999999999E-2</v>
      </c>
      <c r="W45" s="298">
        <f t="shared" si="103"/>
        <v>7.7520385680482839E-4</v>
      </c>
      <c r="X45" s="299">
        <v>138550.50965202373</v>
      </c>
      <c r="Y45" s="299">
        <v>1179.4270309411077</v>
      </c>
      <c r="Z45" s="251">
        <f t="shared" si="104"/>
        <v>137371.08262108261</v>
      </c>
      <c r="AA45" s="297">
        <v>7.1999999999999998E-3</v>
      </c>
      <c r="AB45" s="298">
        <f t="shared" si="105"/>
        <v>6.9626985070663102E-5</v>
      </c>
      <c r="AC45" s="299">
        <v>139757.41409907717</v>
      </c>
      <c r="AD45" s="299">
        <v>0.4696546327270173</v>
      </c>
      <c r="AE45" s="251">
        <f t="shared" si="106"/>
        <v>139756.94444444444</v>
      </c>
      <c r="AF45" s="321"/>
      <c r="AG45" s="298">
        <f t="shared" si="107"/>
        <v>0</v>
      </c>
      <c r="AH45" s="299">
        <v>0</v>
      </c>
      <c r="AI45" s="299"/>
      <c r="AJ45" s="251">
        <f t="shared" si="108"/>
        <v>0</v>
      </c>
      <c r="AK45" s="297"/>
      <c r="AL45" s="298">
        <f t="shared" si="109"/>
        <v>0</v>
      </c>
      <c r="AM45" s="299">
        <v>0</v>
      </c>
      <c r="AN45" s="299"/>
      <c r="AO45" s="251">
        <f t="shared" si="110"/>
        <v>0</v>
      </c>
      <c r="AP45" s="297"/>
      <c r="AQ45" s="298">
        <f t="shared" si="111"/>
        <v>0</v>
      </c>
      <c r="AR45" s="299">
        <v>0</v>
      </c>
      <c r="AS45" s="299"/>
      <c r="AT45" s="251">
        <f t="shared" si="112"/>
        <v>0</v>
      </c>
      <c r="AU45" s="321"/>
      <c r="AV45" s="298">
        <f t="shared" si="113"/>
        <v>0</v>
      </c>
      <c r="AW45" s="299">
        <v>0</v>
      </c>
      <c r="AX45" s="299"/>
      <c r="AY45" s="251">
        <f t="shared" si="114"/>
        <v>0</v>
      </c>
      <c r="AZ45" s="297"/>
      <c r="BA45" s="298">
        <f t="shared" si="115"/>
        <v>0</v>
      </c>
      <c r="BB45" s="299">
        <v>0</v>
      </c>
      <c r="BC45" s="299"/>
      <c r="BD45" s="251">
        <f t="shared" si="116"/>
        <v>0</v>
      </c>
      <c r="BE45" s="297">
        <v>-2.5499999999999997E-3</v>
      </c>
      <c r="BF45" s="298">
        <f t="shared" si="117"/>
        <v>-3.1015287252643926E-5</v>
      </c>
      <c r="BG45" s="299">
        <v>140580.39215686277</v>
      </c>
      <c r="BH45" s="299">
        <v>3243.1372549019679</v>
      </c>
      <c r="BI45" s="251">
        <f t="shared" si="118"/>
        <v>137337.25490196081</v>
      </c>
      <c r="BJ45" s="322"/>
      <c r="BK45" s="297"/>
      <c r="BL45" s="298">
        <f t="shared" si="119"/>
        <v>0</v>
      </c>
      <c r="BM45" s="299"/>
      <c r="BN45" s="299"/>
      <c r="BO45" s="251">
        <f t="shared" si="120"/>
        <v>0</v>
      </c>
      <c r="BP45" s="297"/>
      <c r="BQ45" s="298">
        <f t="shared" si="121"/>
        <v>0</v>
      </c>
      <c r="BR45" s="299"/>
      <c r="BS45" s="299"/>
      <c r="BT45" s="251">
        <f t="shared" si="122"/>
        <v>0</v>
      </c>
      <c r="BU45" s="297">
        <f>'NR '!AV45</f>
        <v>0</v>
      </c>
      <c r="BV45" s="298">
        <f t="shared" si="123"/>
        <v>0</v>
      </c>
      <c r="BW45" s="299">
        <f>'NR '!AX45</f>
        <v>0</v>
      </c>
      <c r="BX45" s="299"/>
      <c r="BY45" s="251">
        <f t="shared" si="124"/>
        <v>0</v>
      </c>
      <c r="BZ45" s="297">
        <f>'NR '!AY45</f>
        <v>0</v>
      </c>
      <c r="CA45" s="298">
        <f t="shared" si="125"/>
        <v>0</v>
      </c>
      <c r="CB45" s="299">
        <f>'NR '!BA45</f>
        <v>0</v>
      </c>
      <c r="CC45" s="261">
        <v>0</v>
      </c>
      <c r="CD45" s="251">
        <f t="shared" si="126"/>
        <v>0</v>
      </c>
      <c r="CE45" s="249">
        <f>'NR '!BB45</f>
        <v>0</v>
      </c>
      <c r="CF45" s="250">
        <f t="shared" si="127"/>
        <v>0</v>
      </c>
      <c r="CG45" s="261">
        <f>'NR '!BD45</f>
        <v>0</v>
      </c>
      <c r="CH45" s="261"/>
      <c r="CI45" s="251">
        <f t="shared" si="128"/>
        <v>0</v>
      </c>
      <c r="CJ45" s="249">
        <f>'NR '!BE45</f>
        <v>0</v>
      </c>
      <c r="CK45" s="250">
        <f t="shared" si="129"/>
        <v>0</v>
      </c>
      <c r="CL45" s="261">
        <f>'NR '!BG45</f>
        <v>0</v>
      </c>
      <c r="CM45" s="261"/>
      <c r="CN45" s="251">
        <f t="shared" si="130"/>
        <v>0</v>
      </c>
      <c r="CO45" s="249">
        <f>'NR '!BH45</f>
        <v>-7.1999999999999998E-3</v>
      </c>
      <c r="CP45" s="250">
        <f t="shared" si="131"/>
        <v>-3.9106291960677851E-5</v>
      </c>
      <c r="CQ45" s="261">
        <f>'NR '!BJ45</f>
        <v>137972.22222222222</v>
      </c>
      <c r="CR45" s="261">
        <v>-27.777777777777779</v>
      </c>
      <c r="CS45" s="251">
        <f t="shared" si="132"/>
        <v>138000</v>
      </c>
      <c r="CT45" s="249">
        <v>0</v>
      </c>
      <c r="CU45" s="250">
        <f t="shared" si="133"/>
        <v>0</v>
      </c>
      <c r="CV45" s="261">
        <v>0</v>
      </c>
      <c r="CW45" s="261">
        <v>0</v>
      </c>
      <c r="CX45" s="251">
        <f t="shared" si="134"/>
        <v>0</v>
      </c>
      <c r="CY45" s="249">
        <v>0</v>
      </c>
      <c r="CZ45" s="250">
        <f t="shared" si="135"/>
        <v>0</v>
      </c>
      <c r="DA45" s="261">
        <v>0</v>
      </c>
      <c r="DB45" s="261">
        <v>0</v>
      </c>
      <c r="DC45" s="251">
        <f t="shared" si="136"/>
        <v>0</v>
      </c>
      <c r="DD45" s="249">
        <f>'NR '!BQ45</f>
        <v>0</v>
      </c>
      <c r="DE45" s="250">
        <f t="shared" si="137"/>
        <v>0</v>
      </c>
      <c r="DF45" s="261">
        <f>'NR '!BS45</f>
        <v>0</v>
      </c>
      <c r="DG45" s="261"/>
      <c r="DH45" s="251">
        <f t="shared" si="142"/>
        <v>0</v>
      </c>
      <c r="DI45" s="249">
        <f>'NR '!BT45</f>
        <v>0</v>
      </c>
      <c r="DJ45" s="250">
        <f t="shared" si="139"/>
        <v>0</v>
      </c>
      <c r="DK45" s="261">
        <f>'NR '!BV45</f>
        <v>0</v>
      </c>
      <c r="DL45" s="261">
        <v>0</v>
      </c>
      <c r="DM45" s="251">
        <f t="shared" si="140"/>
        <v>0</v>
      </c>
      <c r="DN45" s="249"/>
      <c r="DO45" s="250">
        <f t="shared" si="143"/>
        <v>0</v>
      </c>
      <c r="DP45" s="261"/>
      <c r="DQ45" s="261"/>
      <c r="DR45" s="251">
        <f t="shared" si="141"/>
        <v>0</v>
      </c>
    </row>
    <row r="46" spans="1:122" s="301" customFormat="1">
      <c r="A46" s="319" t="s">
        <v>184</v>
      </c>
      <c r="B46" s="299">
        <v>3.450000000000002</v>
      </c>
      <c r="C46" s="298">
        <f t="shared" si="95"/>
        <v>3.7428539966900175E-2</v>
      </c>
      <c r="D46" s="299">
        <v>158284.85967432556</v>
      </c>
      <c r="E46" s="299">
        <v>3088.9256956984941</v>
      </c>
      <c r="F46" s="251">
        <f t="shared" si="96"/>
        <v>155195.93397862706</v>
      </c>
      <c r="G46" s="297">
        <v>3.4981249999999986</v>
      </c>
      <c r="H46" s="298">
        <f t="shared" si="97"/>
        <v>4.9325482617724507E-2</v>
      </c>
      <c r="I46" s="320">
        <v>178334.02212442714</v>
      </c>
      <c r="J46" s="299">
        <v>1884.6191942902092</v>
      </c>
      <c r="K46" s="251">
        <f t="shared" si="98"/>
        <v>176449.40293013692</v>
      </c>
      <c r="L46" s="297">
        <v>4.0632499999999991</v>
      </c>
      <c r="M46" s="298">
        <f t="shared" si="99"/>
        <v>4.6143551216559477E-2</v>
      </c>
      <c r="N46" s="299">
        <v>170046.37132667482</v>
      </c>
      <c r="O46" s="299">
        <v>3435.5134901231681</v>
      </c>
      <c r="P46" s="251">
        <f t="shared" si="100"/>
        <v>166610.85783655164</v>
      </c>
      <c r="Q46" s="297">
        <v>3.2099999999999995</v>
      </c>
      <c r="R46" s="298">
        <f t="shared" si="101"/>
        <v>3.6076252385415702E-2</v>
      </c>
      <c r="S46" s="299">
        <v>161323.53819441647</v>
      </c>
      <c r="T46" s="299">
        <v>489.19977337463018</v>
      </c>
      <c r="U46" s="251">
        <f t="shared" si="102"/>
        <v>160834.33842104184</v>
      </c>
      <c r="V46" s="297">
        <v>3.3239999999999976</v>
      </c>
      <c r="W46" s="298">
        <f t="shared" si="103"/>
        <v>3.6706233903408089E-2</v>
      </c>
      <c r="X46" s="299">
        <v>161149.65016334728</v>
      </c>
      <c r="Y46" s="299">
        <v>476.03910053466058</v>
      </c>
      <c r="Z46" s="251">
        <f t="shared" si="104"/>
        <v>160673.61106281262</v>
      </c>
      <c r="AA46" s="297">
        <v>3.7649999999999997</v>
      </c>
      <c r="AB46" s="298">
        <f t="shared" si="105"/>
        <v>3.6409110943200915E-2</v>
      </c>
      <c r="AC46" s="299">
        <v>155824.55465615599</v>
      </c>
      <c r="AD46" s="299">
        <v>537.86817504675901</v>
      </c>
      <c r="AE46" s="251">
        <f t="shared" si="106"/>
        <v>155286.68648110924</v>
      </c>
      <c r="AF46" s="321">
        <v>21.734500000000068</v>
      </c>
      <c r="AG46" s="298">
        <f t="shared" si="107"/>
        <v>0.13318487693366887</v>
      </c>
      <c r="AH46" s="299">
        <v>147651.63864022415</v>
      </c>
      <c r="AI46" s="299">
        <v>9034.6489061261691</v>
      </c>
      <c r="AJ46" s="251">
        <f t="shared" si="108"/>
        <v>138616.98973409797</v>
      </c>
      <c r="AK46" s="297">
        <v>31.355000000000111</v>
      </c>
      <c r="AL46" s="298">
        <f t="shared" si="109"/>
        <v>0.13588383116841166</v>
      </c>
      <c r="AM46" s="299">
        <v>137842.87529914989</v>
      </c>
      <c r="AN46" s="299">
        <v>842.54483284027197</v>
      </c>
      <c r="AO46" s="251">
        <f t="shared" si="110"/>
        <v>137000.33046630962</v>
      </c>
      <c r="AP46" s="297">
        <v>53.916750000000107</v>
      </c>
      <c r="AQ46" s="298">
        <f t="shared" si="111"/>
        <v>0.26536158187085312</v>
      </c>
      <c r="AR46" s="299">
        <v>137543.38920650797</v>
      </c>
      <c r="AS46" s="299">
        <v>293.65902061974953</v>
      </c>
      <c r="AT46" s="251">
        <f t="shared" si="112"/>
        <v>137249.73018588821</v>
      </c>
      <c r="AU46" s="321">
        <v>12.691995000000002</v>
      </c>
      <c r="AV46" s="298">
        <f t="shared" si="113"/>
        <v>6.9366905135992335E-2</v>
      </c>
      <c r="AW46" s="299">
        <v>139024.37560052585</v>
      </c>
      <c r="AX46" s="299">
        <v>726.6462049504413</v>
      </c>
      <c r="AY46" s="251">
        <f t="shared" si="114"/>
        <v>138297.72939557541</v>
      </c>
      <c r="AZ46" s="297">
        <v>5.2049999999999921</v>
      </c>
      <c r="BA46" s="298">
        <f t="shared" si="115"/>
        <v>6.6929347231093991E-2</v>
      </c>
      <c r="BB46" s="299">
        <v>142922.23439000989</v>
      </c>
      <c r="BC46" s="299">
        <v>208.57444764649409</v>
      </c>
      <c r="BD46" s="251">
        <f t="shared" si="116"/>
        <v>142713.65994236339</v>
      </c>
      <c r="BE46" s="297">
        <v>2.2066249999999989</v>
      </c>
      <c r="BF46" s="298">
        <f t="shared" si="117"/>
        <v>2.6838865974064853E-2</v>
      </c>
      <c r="BG46" s="299">
        <v>142994.49158783228</v>
      </c>
      <c r="BH46" s="299">
        <v>-9.3581827451437505</v>
      </c>
      <c r="BI46" s="251">
        <f t="shared" si="118"/>
        <v>143003.84977057742</v>
      </c>
      <c r="BJ46" s="322"/>
      <c r="BK46" s="297">
        <v>2.6849999999999992</v>
      </c>
      <c r="BL46" s="298">
        <f t="shared" si="119"/>
        <v>3.4661754207497959E-2</v>
      </c>
      <c r="BM46" s="299">
        <v>144503.92551210438</v>
      </c>
      <c r="BN46" s="299">
        <v>4646.990689013036</v>
      </c>
      <c r="BO46" s="251">
        <f t="shared" si="120"/>
        <v>139856.93482309135</v>
      </c>
      <c r="BP46" s="297">
        <v>2.0429999999999979</v>
      </c>
      <c r="BQ46" s="298">
        <f t="shared" si="121"/>
        <v>2.3447654517231326E-2</v>
      </c>
      <c r="BR46" s="299">
        <v>141183.69554576636</v>
      </c>
      <c r="BS46" s="299">
        <v>3677.0044052863468</v>
      </c>
      <c r="BT46" s="251">
        <f t="shared" si="122"/>
        <v>137506.69114048002</v>
      </c>
      <c r="BU46" s="297">
        <f>'NR '!AV46</f>
        <v>2.6182499999999989</v>
      </c>
      <c r="BV46" s="298">
        <f t="shared" si="123"/>
        <v>1.9916635009492555E-2</v>
      </c>
      <c r="BW46" s="299">
        <f>'NR '!AX46</f>
        <v>144747.60622553257</v>
      </c>
      <c r="BX46" s="299">
        <v>4963.0554759858733</v>
      </c>
      <c r="BY46" s="251">
        <f t="shared" si="124"/>
        <v>139784.5507495467</v>
      </c>
      <c r="BZ46" s="297">
        <f>'NR '!AY46</f>
        <v>2.2689999999999979</v>
      </c>
      <c r="CA46" s="298">
        <f t="shared" si="125"/>
        <v>1.8135971428451508E-2</v>
      </c>
      <c r="CB46" s="299">
        <f>'NR '!BA46</f>
        <v>138079.81489643047</v>
      </c>
      <c r="CC46" s="261">
        <v>2420.5068312031749</v>
      </c>
      <c r="CD46" s="251">
        <f t="shared" si="126"/>
        <v>135659.30806522729</v>
      </c>
      <c r="CE46" s="249">
        <f>'NR '!BB46</f>
        <v>2.4719999999999995</v>
      </c>
      <c r="CF46" s="250">
        <f t="shared" si="127"/>
        <v>1.4466595113826082E-3</v>
      </c>
      <c r="CG46" s="261">
        <f>'NR '!BD46</f>
        <v>151197.80339805828</v>
      </c>
      <c r="CH46" s="261">
        <v>8741.4037216828528</v>
      </c>
      <c r="CI46" s="251">
        <f t="shared" si="128"/>
        <v>142456.39967637544</v>
      </c>
      <c r="CJ46" s="249">
        <f>'NR '!BE46</f>
        <v>4.9768749999999899</v>
      </c>
      <c r="CK46" s="250">
        <f t="shared" si="129"/>
        <v>4.5852826878889023E-2</v>
      </c>
      <c r="CL46" s="261">
        <f>'NR '!BG46</f>
        <v>144339.30930553839</v>
      </c>
      <c r="CM46" s="261">
        <v>3177.4557327640409</v>
      </c>
      <c r="CN46" s="251">
        <f t="shared" si="130"/>
        <v>141161.85357277436</v>
      </c>
      <c r="CO46" s="249">
        <f>'NR '!BH46</f>
        <v>18.968250000000022</v>
      </c>
      <c r="CP46" s="250">
        <f t="shared" si="131"/>
        <v>0.10302471145599007</v>
      </c>
      <c r="CQ46" s="261">
        <f>'NR '!BJ46</f>
        <v>155821.52175345627</v>
      </c>
      <c r="CR46" s="261">
        <v>1631.6096635166648</v>
      </c>
      <c r="CS46" s="251">
        <f t="shared" si="132"/>
        <v>154189.91208993961</v>
      </c>
      <c r="CT46" s="249">
        <v>37.592375000000061</v>
      </c>
      <c r="CU46" s="250">
        <f t="shared" si="133"/>
        <v>0.18275387940024393</v>
      </c>
      <c r="CV46" s="261">
        <v>165119.27405491093</v>
      </c>
      <c r="CW46" s="261">
        <v>738.40692427653119</v>
      </c>
      <c r="CX46" s="251">
        <f t="shared" si="134"/>
        <v>164380.8671306344</v>
      </c>
      <c r="CY46" s="249">
        <v>25.919500000000028</v>
      </c>
      <c r="CZ46" s="250">
        <f t="shared" si="135"/>
        <v>0.12618326476773106</v>
      </c>
      <c r="DA46" s="261">
        <v>164812.1082582603</v>
      </c>
      <c r="DB46" s="261">
        <v>422.55714809313417</v>
      </c>
      <c r="DC46" s="251">
        <f t="shared" si="136"/>
        <v>164389.55111016717</v>
      </c>
      <c r="DD46" s="249">
        <f>'NR '!BQ46</f>
        <v>13.919999999999989</v>
      </c>
      <c r="DE46" s="250">
        <f t="shared" si="137"/>
        <v>6.7351093119853586E-2</v>
      </c>
      <c r="DF46" s="261">
        <f>'NR '!BS46</f>
        <v>165132.48563218385</v>
      </c>
      <c r="DG46" s="261">
        <v>386.70330459770156</v>
      </c>
      <c r="DH46" s="251">
        <f t="shared" si="142"/>
        <v>164745.78232758614</v>
      </c>
      <c r="DI46" s="249">
        <f>'NR '!BT46</f>
        <v>2.5779999999999998</v>
      </c>
      <c r="DJ46" s="250">
        <f t="shared" si="139"/>
        <v>1.9298549382390274E-2</v>
      </c>
      <c r="DK46" s="261">
        <f>'NR '!BV46</f>
        <v>164452.3312645462</v>
      </c>
      <c r="DL46" s="261">
        <v>922.6299456943367</v>
      </c>
      <c r="DM46" s="251">
        <f t="shared" si="140"/>
        <v>163529.70131885188</v>
      </c>
      <c r="DN46" s="249">
        <v>2.141</v>
      </c>
      <c r="DO46" s="250">
        <f t="shared" si="143"/>
        <v>1.8889155330967848E-2</v>
      </c>
      <c r="DP46" s="261">
        <v>164694.02148528732</v>
      </c>
      <c r="DQ46" s="235">
        <v>1740.7613264829533</v>
      </c>
      <c r="DR46" s="251">
        <f t="shared" si="141"/>
        <v>162953.26015880436</v>
      </c>
    </row>
    <row r="47" spans="1:122" s="301" customFormat="1">
      <c r="A47" s="319" t="s">
        <v>185</v>
      </c>
      <c r="B47" s="299">
        <v>1.3679999999999997</v>
      </c>
      <c r="C47" s="298">
        <f t="shared" si="95"/>
        <v>1.4841229760788232E-2</v>
      </c>
      <c r="D47" s="299">
        <v>143563.3541112825</v>
      </c>
      <c r="E47" s="299">
        <v>6914.4359826274394</v>
      </c>
      <c r="F47" s="251">
        <f t="shared" si="96"/>
        <v>136648.91812865506</v>
      </c>
      <c r="G47" s="297">
        <v>1.5840000000000023</v>
      </c>
      <c r="H47" s="298">
        <f t="shared" si="97"/>
        <v>2.2335269456201755E-2</v>
      </c>
      <c r="I47" s="320">
        <v>143380.25986125704</v>
      </c>
      <c r="J47" s="299">
        <v>6125.5628915602583</v>
      </c>
      <c r="K47" s="251">
        <f t="shared" si="98"/>
        <v>137254.69696969679</v>
      </c>
      <c r="L47" s="297">
        <v>1.8216000000000003</v>
      </c>
      <c r="M47" s="298">
        <f t="shared" si="99"/>
        <v>2.0686665328514067E-2</v>
      </c>
      <c r="N47" s="299">
        <v>143786.09915541901</v>
      </c>
      <c r="O47" s="299">
        <v>6942.522080320171</v>
      </c>
      <c r="P47" s="251">
        <f t="shared" si="100"/>
        <v>136843.57707509884</v>
      </c>
      <c r="Q47" s="297">
        <v>1.7064000000000006</v>
      </c>
      <c r="R47" s="298">
        <f t="shared" si="101"/>
        <v>1.9177731174602301E-2</v>
      </c>
      <c r="S47" s="299">
        <v>138741.82200983839</v>
      </c>
      <c r="T47" s="299">
        <v>1916.1949587367069</v>
      </c>
      <c r="U47" s="251">
        <f t="shared" si="102"/>
        <v>136825.62705110168</v>
      </c>
      <c r="V47" s="297">
        <v>2.3040000000000003</v>
      </c>
      <c r="W47" s="298">
        <f t="shared" si="103"/>
        <v>2.5442588120773858E-2</v>
      </c>
      <c r="X47" s="299">
        <v>138576.97467737304</v>
      </c>
      <c r="Y47" s="299">
        <v>2606.5232884841375</v>
      </c>
      <c r="Z47" s="251">
        <f t="shared" si="104"/>
        <v>135970.45138888891</v>
      </c>
      <c r="AA47" s="297">
        <v>3.2184000000000026</v>
      </c>
      <c r="AB47" s="298">
        <f t="shared" si="105"/>
        <v>3.1123262326586434E-2</v>
      </c>
      <c r="AC47" s="299">
        <v>138281.16323671499</v>
      </c>
      <c r="AD47" s="299">
        <v>1383.0181957010373</v>
      </c>
      <c r="AE47" s="251">
        <f t="shared" si="106"/>
        <v>136898.14504101395</v>
      </c>
      <c r="AF47" s="321">
        <v>13.953599999999996</v>
      </c>
      <c r="AG47" s="298">
        <f t="shared" si="107"/>
        <v>8.5505003509702818E-2</v>
      </c>
      <c r="AH47" s="299">
        <v>138358.34012503401</v>
      </c>
      <c r="AI47" s="299">
        <v>2973.9095838116377</v>
      </c>
      <c r="AJ47" s="251">
        <f t="shared" si="108"/>
        <v>135384.43054122236</v>
      </c>
      <c r="AK47" s="297">
        <v>40.823999999999991</v>
      </c>
      <c r="AL47" s="298">
        <f t="shared" si="109"/>
        <v>0.17691983809979961</v>
      </c>
      <c r="AM47" s="299">
        <v>138543.5370789528</v>
      </c>
      <c r="AN47" s="299">
        <v>2906.6700399559486</v>
      </c>
      <c r="AO47" s="251">
        <f t="shared" si="110"/>
        <v>135636.86703899683</v>
      </c>
      <c r="AP47" s="297">
        <v>31.240800000000018</v>
      </c>
      <c r="AQ47" s="298">
        <f t="shared" si="111"/>
        <v>0.15375756340860561</v>
      </c>
      <c r="AR47" s="299">
        <v>138404.42114158414</v>
      </c>
      <c r="AS47" s="299">
        <v>2737.9266856162444</v>
      </c>
      <c r="AT47" s="251">
        <f t="shared" si="112"/>
        <v>135666.49445596788</v>
      </c>
      <c r="AU47" s="321">
        <v>17.445599999999981</v>
      </c>
      <c r="AV47" s="298">
        <f t="shared" si="113"/>
        <v>9.5347286241482629E-2</v>
      </c>
      <c r="AW47" s="299">
        <v>138262.9763378732</v>
      </c>
      <c r="AX47" s="299">
        <v>12097.420553033462</v>
      </c>
      <c r="AY47" s="251">
        <f t="shared" si="114"/>
        <v>126165.55578483974</v>
      </c>
      <c r="AZ47" s="297">
        <v>1.6056000000000008</v>
      </c>
      <c r="BA47" s="298">
        <f t="shared" si="115"/>
        <v>2.0645871261142121E-2</v>
      </c>
      <c r="BB47" s="299">
        <v>138148.62356751351</v>
      </c>
      <c r="BC47" s="299">
        <v>5055.6053811659176</v>
      </c>
      <c r="BD47" s="251">
        <f t="shared" si="116"/>
        <v>133093.01818634759</v>
      </c>
      <c r="BE47" s="297">
        <v>1.5832000000000006</v>
      </c>
      <c r="BF47" s="298">
        <f t="shared" si="117"/>
        <v>1.9256236383680739E-2</v>
      </c>
      <c r="BG47" s="299">
        <v>138115.38655886796</v>
      </c>
      <c r="BH47" s="299">
        <v>9113.573774633649</v>
      </c>
      <c r="BI47" s="251">
        <f t="shared" si="118"/>
        <v>129001.81278423431</v>
      </c>
      <c r="BJ47" s="322"/>
      <c r="BK47" s="297">
        <v>2.1024000000000043</v>
      </c>
      <c r="BL47" s="298">
        <f t="shared" si="119"/>
        <v>2.714073446772584E-2</v>
      </c>
      <c r="BM47" s="299">
        <v>138127.33066971044</v>
      </c>
      <c r="BN47" s="299">
        <v>8816.4145738203661</v>
      </c>
      <c r="BO47" s="251">
        <f t="shared" si="120"/>
        <v>129310.91609589008</v>
      </c>
      <c r="BP47" s="297">
        <v>1.1736000000000006</v>
      </c>
      <c r="BQ47" s="298">
        <f t="shared" si="121"/>
        <v>1.3469489643378721E-2</v>
      </c>
      <c r="BR47" s="299">
        <v>138145.65439672777</v>
      </c>
      <c r="BS47" s="299">
        <v>12060.429447852748</v>
      </c>
      <c r="BT47" s="251">
        <f t="shared" si="122"/>
        <v>126085.22494887502</v>
      </c>
      <c r="BU47" s="297">
        <f>'NR '!AV47</f>
        <v>1.0223999999999995</v>
      </c>
      <c r="BV47" s="298">
        <f t="shared" si="123"/>
        <v>7.7772434388256239E-3</v>
      </c>
      <c r="BW47" s="299">
        <f>'NR '!AX47</f>
        <v>138189.95500782467</v>
      </c>
      <c r="BX47" s="299">
        <v>9415.0821596244114</v>
      </c>
      <c r="BY47" s="251">
        <f t="shared" si="124"/>
        <v>128774.87284820026</v>
      </c>
      <c r="BZ47" s="297">
        <f>'NR '!AY47</f>
        <v>0.94109999999999938</v>
      </c>
      <c r="CA47" s="298">
        <f t="shared" si="125"/>
        <v>7.5221519221312112E-3</v>
      </c>
      <c r="CB47" s="299">
        <f>'NR '!BA47</f>
        <v>137203.34714695576</v>
      </c>
      <c r="CC47" s="261">
        <v>10867.644246094991</v>
      </c>
      <c r="CD47" s="251">
        <f t="shared" si="126"/>
        <v>126335.70290086076</v>
      </c>
      <c r="CE47" s="249">
        <f>'NR '!BB47</f>
        <v>0.52560000000000007</v>
      </c>
      <c r="CF47" s="250">
        <f t="shared" si="127"/>
        <v>3.0759071164348671E-4</v>
      </c>
      <c r="CG47" s="261">
        <f>'NR '!BD47</f>
        <v>138091.57153729073</v>
      </c>
      <c r="CH47" s="261">
        <v>5893.9497716894948</v>
      </c>
      <c r="CI47" s="251">
        <f t="shared" si="128"/>
        <v>132197.62176560124</v>
      </c>
      <c r="CJ47" s="249">
        <f>'NR '!BE47</f>
        <v>2.6640000000000001</v>
      </c>
      <c r="CK47" s="250">
        <f t="shared" si="129"/>
        <v>2.4543901706464519E-2</v>
      </c>
      <c r="CL47" s="261">
        <f>'NR '!BG47</f>
        <v>137955.41666666666</v>
      </c>
      <c r="CM47" s="261">
        <v>8043.438438438433</v>
      </c>
      <c r="CN47" s="251">
        <f t="shared" si="130"/>
        <v>129911.97822822822</v>
      </c>
      <c r="CO47" s="249">
        <f>'NR '!BH47</f>
        <v>4.8096000000000023</v>
      </c>
      <c r="CP47" s="250">
        <f t="shared" si="131"/>
        <v>2.6123003029732816E-2</v>
      </c>
      <c r="CQ47" s="261">
        <f>'NR '!BJ47</f>
        <v>137953.96082834326</v>
      </c>
      <c r="CR47" s="261">
        <v>2929.5887391882875</v>
      </c>
      <c r="CS47" s="251">
        <f t="shared" si="132"/>
        <v>135024.37208915496</v>
      </c>
      <c r="CT47" s="249">
        <v>25.963199999999993</v>
      </c>
      <c r="CU47" s="250">
        <f t="shared" si="133"/>
        <v>0.12621909420845062</v>
      </c>
      <c r="CV47" s="261">
        <v>137932.91196770812</v>
      </c>
      <c r="CW47" s="261">
        <v>2360.3053552720771</v>
      </c>
      <c r="CX47" s="251">
        <f t="shared" si="134"/>
        <v>135572.60661243604</v>
      </c>
      <c r="CY47" s="249">
        <v>31.910400000000013</v>
      </c>
      <c r="CZ47" s="250">
        <f t="shared" si="135"/>
        <v>0.15534861598581001</v>
      </c>
      <c r="DA47" s="261">
        <v>137913.09667067777</v>
      </c>
      <c r="DB47" s="261">
        <v>2333.2249047332516</v>
      </c>
      <c r="DC47" s="251">
        <f t="shared" si="136"/>
        <v>135579.87176594452</v>
      </c>
      <c r="DD47" s="249">
        <f>'NR '!BQ47</f>
        <v>8.5104000000000006</v>
      </c>
      <c r="DE47" s="250">
        <f t="shared" si="137"/>
        <v>4.1177064862586384E-2</v>
      </c>
      <c r="DF47" s="261">
        <f>'NR '!BS47</f>
        <v>137897.25864824216</v>
      </c>
      <c r="DG47" s="261">
        <v>2129.8916619665347</v>
      </c>
      <c r="DH47" s="251">
        <f t="shared" si="142"/>
        <v>135767.36698627562</v>
      </c>
      <c r="DI47" s="249">
        <f>'NR '!BT47</f>
        <v>4.4064000000000085</v>
      </c>
      <c r="DJ47" s="250">
        <f t="shared" si="139"/>
        <v>3.298569743931911E-2</v>
      </c>
      <c r="DK47" s="261">
        <f>'NR '!BV47</f>
        <v>137872.65341321702</v>
      </c>
      <c r="DL47" s="261">
        <v>3514.2043391430498</v>
      </c>
      <c r="DM47" s="251">
        <f t="shared" si="140"/>
        <v>134358.44907407396</v>
      </c>
      <c r="DN47" s="249">
        <v>1.4112000000000005</v>
      </c>
      <c r="DO47" s="250">
        <f t="shared" si="143"/>
        <v>1.2450432509603848E-2</v>
      </c>
      <c r="DP47" s="261">
        <v>137927.76360544199</v>
      </c>
      <c r="DQ47" s="261">
        <v>5911.9543650793557</v>
      </c>
      <c r="DR47" s="251">
        <f t="shared" si="141"/>
        <v>132015.80924036264</v>
      </c>
    </row>
    <row r="48" spans="1:122" s="301" customFormat="1">
      <c r="A48" s="319" t="s">
        <v>186</v>
      </c>
      <c r="B48" s="299">
        <v>1.1807999999999998</v>
      </c>
      <c r="C48" s="298">
        <f t="shared" si="95"/>
        <v>1.2810324635627739E-2</v>
      </c>
      <c r="D48" s="299">
        <v>165113.90404898967</v>
      </c>
      <c r="E48" s="299">
        <v>6869.2224771739475</v>
      </c>
      <c r="F48" s="251">
        <f t="shared" si="96"/>
        <v>158244.68157181572</v>
      </c>
      <c r="G48" s="297">
        <v>1.1319000000000001</v>
      </c>
      <c r="H48" s="298">
        <f t="shared" si="97"/>
        <v>1.5960411298910814E-2</v>
      </c>
      <c r="I48" s="320">
        <v>168064.14910281129</v>
      </c>
      <c r="J48" s="299">
        <v>4804.9935961488145</v>
      </c>
      <c r="K48" s="251">
        <f t="shared" si="98"/>
        <v>163259.15550666247</v>
      </c>
      <c r="L48" s="297">
        <v>1.329599999999999</v>
      </c>
      <c r="M48" s="298">
        <f t="shared" si="99"/>
        <v>1.5099357828717762E-2</v>
      </c>
      <c r="N48" s="299">
        <v>165658.4998816908</v>
      </c>
      <c r="O48" s="299">
        <v>5590.2173739936197</v>
      </c>
      <c r="P48" s="251">
        <f t="shared" si="100"/>
        <v>160068.28250769718</v>
      </c>
      <c r="Q48" s="297">
        <v>2.3184000000000005</v>
      </c>
      <c r="R48" s="298">
        <f t="shared" si="101"/>
        <v>2.6055820414438564E-2</v>
      </c>
      <c r="S48" s="299">
        <v>159511.97906615533</v>
      </c>
      <c r="T48" s="299">
        <v>2242.588317001419</v>
      </c>
      <c r="U48" s="251">
        <f t="shared" si="102"/>
        <v>157269.39074915391</v>
      </c>
      <c r="V48" s="297">
        <v>4.6863000000000001</v>
      </c>
      <c r="W48" s="298">
        <f t="shared" si="103"/>
        <v>5.1749826697214639E-2</v>
      </c>
      <c r="X48" s="299">
        <v>159299.01055260136</v>
      </c>
      <c r="Y48" s="299">
        <v>2670.9127008668856</v>
      </c>
      <c r="Z48" s="251">
        <f t="shared" si="104"/>
        <v>156628.09785173449</v>
      </c>
      <c r="AA48" s="297">
        <v>6.2640000000000091</v>
      </c>
      <c r="AB48" s="298">
        <f t="shared" si="105"/>
        <v>6.0575477011476989E-2</v>
      </c>
      <c r="AC48" s="299">
        <v>159089.62046429815</v>
      </c>
      <c r="AD48" s="299">
        <v>18731.634900636771</v>
      </c>
      <c r="AE48" s="251">
        <f t="shared" si="106"/>
        <v>140357.98556366138</v>
      </c>
      <c r="AF48" s="321">
        <v>18.629999999999981</v>
      </c>
      <c r="AG48" s="298">
        <f t="shared" si="107"/>
        <v>0.11416109214724245</v>
      </c>
      <c r="AH48" s="299">
        <v>149176.22743812745</v>
      </c>
      <c r="AI48" s="299">
        <v>14627.590388734143</v>
      </c>
      <c r="AJ48" s="251">
        <f t="shared" si="108"/>
        <v>134548.63704939329</v>
      </c>
      <c r="AK48" s="297">
        <v>30.468600000000016</v>
      </c>
      <c r="AL48" s="298">
        <f t="shared" si="109"/>
        <v>0.13204242061354982</v>
      </c>
      <c r="AM48" s="299">
        <v>137107.9074064201</v>
      </c>
      <c r="AN48" s="299">
        <v>1886.9209640371932</v>
      </c>
      <c r="AO48" s="251">
        <f t="shared" si="110"/>
        <v>135220.98644238291</v>
      </c>
      <c r="AP48" s="297">
        <v>9.7199999999999995E-2</v>
      </c>
      <c r="AQ48" s="298">
        <f t="shared" si="111"/>
        <v>4.7838836276012321E-4</v>
      </c>
      <c r="AR48" s="299">
        <v>159654.21810699589</v>
      </c>
      <c r="AS48" s="299">
        <v>2591.0493827160435</v>
      </c>
      <c r="AT48" s="251">
        <f t="shared" si="112"/>
        <v>157063.16872427985</v>
      </c>
      <c r="AU48" s="321">
        <v>42.94289999999981</v>
      </c>
      <c r="AV48" s="298">
        <f t="shared" si="113"/>
        <v>0.23470038166296089</v>
      </c>
      <c r="AW48" s="299">
        <v>136859.79591504188</v>
      </c>
      <c r="AX48" s="299">
        <v>44384.870840115662</v>
      </c>
      <c r="AY48" s="251">
        <f t="shared" si="114"/>
        <v>92474.925074926214</v>
      </c>
      <c r="AZ48" s="297">
        <v>1.7660999999999989</v>
      </c>
      <c r="BA48" s="298">
        <f t="shared" si="115"/>
        <v>2.2709686867403499E-2</v>
      </c>
      <c r="BB48" s="299">
        <v>136100.56055716003</v>
      </c>
      <c r="BC48" s="299">
        <v>479.1687899892421</v>
      </c>
      <c r="BD48" s="251">
        <f t="shared" si="116"/>
        <v>135621.3917671708</v>
      </c>
      <c r="BE48" s="297">
        <v>0.47940000000000005</v>
      </c>
      <c r="BF48" s="298">
        <f t="shared" si="117"/>
        <v>5.8308740034970592E-3</v>
      </c>
      <c r="BG48" s="299">
        <v>158053.7546933667</v>
      </c>
      <c r="BH48" s="299">
        <v>-3176.199415936589</v>
      </c>
      <c r="BI48" s="251">
        <f t="shared" si="118"/>
        <v>161229.9541093033</v>
      </c>
      <c r="BJ48" s="322"/>
      <c r="BK48" s="297">
        <v>0.833699999999999</v>
      </c>
      <c r="BL48" s="298">
        <f t="shared" si="119"/>
        <v>1.0762571501970585E-2</v>
      </c>
      <c r="BM48" s="299">
        <v>136562.93630802454</v>
      </c>
      <c r="BN48" s="299">
        <v>1417.0325056974877</v>
      </c>
      <c r="BO48" s="251">
        <f t="shared" si="120"/>
        <v>135145.90380232706</v>
      </c>
      <c r="BP48" s="297">
        <v>0.91454999999999953</v>
      </c>
      <c r="BQ48" s="298">
        <f t="shared" si="121"/>
        <v>1.049635459556237E-2</v>
      </c>
      <c r="BR48" s="299">
        <v>137361.62046908317</v>
      </c>
      <c r="BS48" s="299">
        <v>1056.5414684817645</v>
      </c>
      <c r="BT48" s="251">
        <f t="shared" si="122"/>
        <v>136305.0790006014</v>
      </c>
      <c r="BU48" s="297">
        <f>'NR '!AV48</f>
        <v>0.44460000000000005</v>
      </c>
      <c r="BV48" s="298">
        <f t="shared" si="123"/>
        <v>3.3820055094893136E-3</v>
      </c>
      <c r="BW48" s="299">
        <f>'NR '!AX48</f>
        <v>137631.73639226271</v>
      </c>
      <c r="BX48" s="299">
        <v>1375.2811515969418</v>
      </c>
      <c r="BY48" s="251">
        <f t="shared" si="124"/>
        <v>136256.45524066576</v>
      </c>
      <c r="BZ48" s="297">
        <f>'NR '!AY48</f>
        <v>6.7949999999999997E-2</v>
      </c>
      <c r="CA48" s="298">
        <f t="shared" si="125"/>
        <v>5.4311999055234946E-4</v>
      </c>
      <c r="CB48" s="299">
        <f>'NR '!BA48</f>
        <v>399110.08094186912</v>
      </c>
      <c r="CC48" s="261">
        <v>43203.679175864629</v>
      </c>
      <c r="CD48" s="251">
        <f t="shared" si="126"/>
        <v>355906.40176600451</v>
      </c>
      <c r="CE48" s="249">
        <f>'NR '!BB48</f>
        <v>0.2994</v>
      </c>
      <c r="CF48" s="250">
        <f t="shared" si="127"/>
        <v>1.752143437329907E-4</v>
      </c>
      <c r="CG48" s="261">
        <f>'NR '!BD48</f>
        <v>136709.98663994655</v>
      </c>
      <c r="CH48" s="261">
        <v>11182.999331997333</v>
      </c>
      <c r="CI48" s="251">
        <f t="shared" si="128"/>
        <v>125526.98730794922</v>
      </c>
      <c r="CJ48" s="249">
        <f>'NR '!BE48</f>
        <v>1.3982999999999994</v>
      </c>
      <c r="CK48" s="250">
        <f t="shared" si="129"/>
        <v>1.2882784442998995E-2</v>
      </c>
      <c r="CL48" s="261">
        <f>'NR '!BG48</f>
        <v>135657.21232925705</v>
      </c>
      <c r="CM48" s="261">
        <v>-185.56103840377486</v>
      </c>
      <c r="CN48" s="251">
        <f t="shared" si="130"/>
        <v>135842.77336766082</v>
      </c>
      <c r="CO48" s="249">
        <f>'NR '!BH48</f>
        <v>14.669700000000025</v>
      </c>
      <c r="CP48" s="250">
        <f t="shared" si="131"/>
        <v>7.967744044104956E-2</v>
      </c>
      <c r="CQ48" s="261">
        <f>'NR '!BJ48</f>
        <v>151677.23129988994</v>
      </c>
      <c r="CR48" s="261">
        <v>379.22861408208689</v>
      </c>
      <c r="CS48" s="251">
        <f t="shared" si="132"/>
        <v>151298.00268580785</v>
      </c>
      <c r="CT48" s="249">
        <v>12.09997740000002</v>
      </c>
      <c r="CU48" s="250">
        <f t="shared" si="133"/>
        <v>5.8823572878948911E-2</v>
      </c>
      <c r="CV48" s="261">
        <v>152547.33368344957</v>
      </c>
      <c r="CW48" s="261">
        <v>538.92084129016541</v>
      </c>
      <c r="CX48" s="251">
        <f t="shared" si="134"/>
        <v>152008.41284215939</v>
      </c>
      <c r="CY48" s="249">
        <v>15.206400000000022</v>
      </c>
      <c r="CZ48" s="250">
        <f t="shared" si="135"/>
        <v>7.4028943357858992E-2</v>
      </c>
      <c r="DA48" s="261">
        <v>156653.81944444432</v>
      </c>
      <c r="DB48" s="261">
        <v>259.20664983164949</v>
      </c>
      <c r="DC48" s="251">
        <f t="shared" si="136"/>
        <v>156394.61279461268</v>
      </c>
      <c r="DD48" s="249">
        <f>'NR '!BQ48</f>
        <v>4.0392000000000028</v>
      </c>
      <c r="DE48" s="250">
        <f t="shared" si="137"/>
        <v>1.9543429262192026E-2</v>
      </c>
      <c r="DF48" s="261">
        <f>'NR '!BS48</f>
        <v>158058.87056842932</v>
      </c>
      <c r="DG48" s="261">
        <v>2239.3766092295491</v>
      </c>
      <c r="DH48" s="251">
        <f t="shared" si="142"/>
        <v>155819.49395919978</v>
      </c>
      <c r="DI48" s="249">
        <f>'NR '!BT48</f>
        <v>0.61920000000000019</v>
      </c>
      <c r="DJ48" s="250">
        <f t="shared" si="139"/>
        <v>4.6352450650023512E-3</v>
      </c>
      <c r="DK48" s="261">
        <f>'NR '!BV48</f>
        <v>158999.32170542632</v>
      </c>
      <c r="DL48" s="261">
        <v>3074.7577519379847</v>
      </c>
      <c r="DM48" s="251">
        <f t="shared" si="140"/>
        <v>155924.56395348834</v>
      </c>
      <c r="DN48" s="249">
        <v>0.66030000000000022</v>
      </c>
      <c r="DO48" s="250">
        <f t="shared" si="143"/>
        <v>5.8255531364026511E-3</v>
      </c>
      <c r="DP48" s="261">
        <v>158764.45555050726</v>
      </c>
      <c r="DQ48" s="261">
        <v>2448.0539148871721</v>
      </c>
      <c r="DR48" s="251">
        <f t="shared" si="141"/>
        <v>156316.4016356201</v>
      </c>
    </row>
    <row r="49" spans="1:122" s="301" customFormat="1">
      <c r="A49" s="319" t="s">
        <v>187</v>
      </c>
      <c r="B49" s="299">
        <v>0.80400000000000038</v>
      </c>
      <c r="C49" s="298">
        <f t="shared" si="95"/>
        <v>8.722477140112388E-3</v>
      </c>
      <c r="D49" s="299">
        <v>165250.90698347561</v>
      </c>
      <c r="E49" s="299">
        <v>8986.0062307323351</v>
      </c>
      <c r="F49" s="251">
        <f t="shared" si="96"/>
        <v>156264.90075274327</v>
      </c>
      <c r="G49" s="297">
        <v>0.90130000000000043</v>
      </c>
      <c r="H49" s="298">
        <f t="shared" si="97"/>
        <v>1.2708824722774383E-2</v>
      </c>
      <c r="I49" s="320">
        <v>164858.62798252367</v>
      </c>
      <c r="J49" s="299">
        <v>7286.2361002755479</v>
      </c>
      <c r="K49" s="251">
        <f t="shared" si="98"/>
        <v>157572.39188224814</v>
      </c>
      <c r="L49" s="297">
        <v>1.8720000000000012</v>
      </c>
      <c r="M49" s="298">
        <f t="shared" si="99"/>
        <v>2.12590236577615E-2</v>
      </c>
      <c r="N49" s="299">
        <v>164789.28332028646</v>
      </c>
      <c r="O49" s="299">
        <v>2476.6853492742139</v>
      </c>
      <c r="P49" s="251">
        <f t="shared" si="100"/>
        <v>162312.59797101223</v>
      </c>
      <c r="Q49" s="297">
        <v>12.096000000000002</v>
      </c>
      <c r="R49" s="298">
        <f t="shared" si="101"/>
        <v>0.13594341085794032</v>
      </c>
      <c r="S49" s="299">
        <v>159558.1313930242</v>
      </c>
      <c r="T49" s="299">
        <v>57305.608905916059</v>
      </c>
      <c r="U49" s="251">
        <f t="shared" si="102"/>
        <v>102252.52248710814</v>
      </c>
      <c r="V49" s="297">
        <v>7.367999999999995</v>
      </c>
      <c r="W49" s="298">
        <f t="shared" si="103"/>
        <v>8.1363276594558012E-2</v>
      </c>
      <c r="X49" s="299">
        <v>159353.56211094666</v>
      </c>
      <c r="Y49" s="299">
        <v>64864.255559912373</v>
      </c>
      <c r="Z49" s="251">
        <f t="shared" si="104"/>
        <v>94489.306551034286</v>
      </c>
      <c r="AA49" s="297">
        <v>2.0983000000000005</v>
      </c>
      <c r="AB49" s="298">
        <f t="shared" si="105"/>
        <v>2.0291430940801727E-2</v>
      </c>
      <c r="AC49" s="299">
        <v>159150.66853631401</v>
      </c>
      <c r="AD49" s="299">
        <v>49501.180537448039</v>
      </c>
      <c r="AE49" s="251">
        <f t="shared" si="106"/>
        <v>109649.48799886598</v>
      </c>
      <c r="AF49" s="321">
        <v>0.50400000000000011</v>
      </c>
      <c r="AG49" s="298">
        <f t="shared" si="107"/>
        <v>3.0884160194423116E-3</v>
      </c>
      <c r="AH49" s="299">
        <v>158668.38900170708</v>
      </c>
      <c r="AI49" s="299">
        <v>38946.504081072126</v>
      </c>
      <c r="AJ49" s="251">
        <f t="shared" si="108"/>
        <v>119721.88492063496</v>
      </c>
      <c r="AK49" s="297">
        <v>0.10309999999999998</v>
      </c>
      <c r="AL49" s="298">
        <f t="shared" si="109"/>
        <v>4.4680666539509455E-4</v>
      </c>
      <c r="AM49" s="299">
        <v>158668.38900170711</v>
      </c>
      <c r="AN49" s="299">
        <v>64921.347294626583</v>
      </c>
      <c r="AO49" s="251">
        <f t="shared" si="110"/>
        <v>93747.041707080527</v>
      </c>
      <c r="AP49" s="297"/>
      <c r="AQ49" s="298">
        <f t="shared" si="111"/>
        <v>0</v>
      </c>
      <c r="AR49" s="299">
        <v>0</v>
      </c>
      <c r="AS49" s="299"/>
      <c r="AT49" s="251">
        <f t="shared" si="112"/>
        <v>0</v>
      </c>
      <c r="AU49" s="321">
        <v>0.108</v>
      </c>
      <c r="AV49" s="298">
        <f t="shared" si="113"/>
        <v>5.9026384383914195E-4</v>
      </c>
      <c r="AW49" s="299">
        <v>158668.42592592593</v>
      </c>
      <c r="AX49" s="299">
        <v>70520.092592592599</v>
      </c>
      <c r="AY49" s="251">
        <f t="shared" si="114"/>
        <v>88148.333333333328</v>
      </c>
      <c r="AZ49" s="297"/>
      <c r="BA49" s="298">
        <f t="shared" si="115"/>
        <v>0</v>
      </c>
      <c r="BB49" s="299">
        <v>0</v>
      </c>
      <c r="BC49" s="299"/>
      <c r="BD49" s="251">
        <f t="shared" si="116"/>
        <v>0</v>
      </c>
      <c r="BE49" s="297">
        <v>-1.5900000000000001E-2</v>
      </c>
      <c r="BF49" s="298">
        <f t="shared" si="117"/>
        <v>-1.9338943816354451E-4</v>
      </c>
      <c r="BG49" s="299">
        <v>275463.52201257861</v>
      </c>
      <c r="BH49" s="299">
        <v>25065.408805031439</v>
      </c>
      <c r="BI49" s="251">
        <f t="shared" si="118"/>
        <v>250398.11320754717</v>
      </c>
      <c r="BJ49" s="322"/>
      <c r="BK49" s="297"/>
      <c r="BL49" s="298">
        <f t="shared" si="119"/>
        <v>0</v>
      </c>
      <c r="BM49" s="299"/>
      <c r="BN49" s="299"/>
      <c r="BO49" s="251">
        <f t="shared" si="120"/>
        <v>0</v>
      </c>
      <c r="BP49" s="297"/>
      <c r="BQ49" s="298">
        <f t="shared" si="121"/>
        <v>0</v>
      </c>
      <c r="BR49" s="299"/>
      <c r="BS49" s="299"/>
      <c r="BT49" s="251">
        <f t="shared" si="122"/>
        <v>0</v>
      </c>
      <c r="BU49" s="297">
        <f>'NR '!AV49</f>
        <v>0</v>
      </c>
      <c r="BV49" s="298">
        <f t="shared" si="123"/>
        <v>0</v>
      </c>
      <c r="BW49" s="299">
        <f>'NR '!AX49</f>
        <v>0</v>
      </c>
      <c r="BX49" s="299"/>
      <c r="BY49" s="251">
        <f t="shared" si="124"/>
        <v>0</v>
      </c>
      <c r="BZ49" s="297">
        <f>'NR '!AY49</f>
        <v>0</v>
      </c>
      <c r="CA49" s="298">
        <f t="shared" si="125"/>
        <v>0</v>
      </c>
      <c r="CB49" s="299">
        <f>'NR '!BA49</f>
        <v>0</v>
      </c>
      <c r="CC49" s="261">
        <v>0</v>
      </c>
      <c r="CD49" s="251">
        <f t="shared" si="126"/>
        <v>0</v>
      </c>
      <c r="CE49" s="249">
        <f>'NR '!BB49</f>
        <v>0</v>
      </c>
      <c r="CF49" s="250">
        <f t="shared" si="127"/>
        <v>0</v>
      </c>
      <c r="CG49" s="261">
        <f>'NR '!BD49</f>
        <v>0</v>
      </c>
      <c r="CH49" s="261"/>
      <c r="CI49" s="251">
        <f t="shared" si="128"/>
        <v>0</v>
      </c>
      <c r="CJ49" s="249">
        <f>'NR '!BE49</f>
        <v>0</v>
      </c>
      <c r="CK49" s="250">
        <f t="shared" si="129"/>
        <v>0</v>
      </c>
      <c r="CL49" s="261">
        <f>'NR '!BG49</f>
        <v>0</v>
      </c>
      <c r="CM49" s="261"/>
      <c r="CN49" s="251">
        <f t="shared" si="130"/>
        <v>0</v>
      </c>
      <c r="CO49" s="249">
        <f>'NR '!BH49</f>
        <v>0</v>
      </c>
      <c r="CP49" s="250">
        <f t="shared" si="131"/>
        <v>0</v>
      </c>
      <c r="CQ49" s="261">
        <f>'NR '!BJ49</f>
        <v>0</v>
      </c>
      <c r="CR49" s="261"/>
      <c r="CS49" s="251">
        <f t="shared" si="132"/>
        <v>0</v>
      </c>
      <c r="CT49" s="249">
        <v>0</v>
      </c>
      <c r="CU49" s="250">
        <f t="shared" si="133"/>
        <v>0</v>
      </c>
      <c r="CV49" s="261">
        <v>0</v>
      </c>
      <c r="CW49" s="261">
        <v>0</v>
      </c>
      <c r="CX49" s="251">
        <f t="shared" si="134"/>
        <v>0</v>
      </c>
      <c r="CY49" s="249">
        <v>0</v>
      </c>
      <c r="CZ49" s="250">
        <f t="shared" si="135"/>
        <v>0</v>
      </c>
      <c r="DA49" s="261">
        <v>0</v>
      </c>
      <c r="DB49" s="261">
        <v>0</v>
      </c>
      <c r="DC49" s="251">
        <f t="shared" si="136"/>
        <v>0</v>
      </c>
      <c r="DD49" s="249">
        <f>'NR '!BQ49</f>
        <v>0</v>
      </c>
      <c r="DE49" s="250">
        <f t="shared" si="137"/>
        <v>0</v>
      </c>
      <c r="DF49" s="261">
        <f>'NR '!BS49</f>
        <v>0</v>
      </c>
      <c r="DG49" s="261"/>
      <c r="DH49" s="251">
        <f t="shared" si="142"/>
        <v>0</v>
      </c>
      <c r="DI49" s="249">
        <f>'NR '!BT49</f>
        <v>0</v>
      </c>
      <c r="DJ49" s="250">
        <f t="shared" si="139"/>
        <v>0</v>
      </c>
      <c r="DK49" s="261">
        <f>'NR '!BV49</f>
        <v>0</v>
      </c>
      <c r="DL49" s="261">
        <v>0</v>
      </c>
      <c r="DM49" s="251">
        <f t="shared" si="140"/>
        <v>0</v>
      </c>
      <c r="DN49" s="249"/>
      <c r="DO49" s="250">
        <f t="shared" si="143"/>
        <v>0</v>
      </c>
      <c r="DP49" s="261"/>
      <c r="DQ49" s="261"/>
      <c r="DR49" s="251">
        <f t="shared" si="141"/>
        <v>0</v>
      </c>
    </row>
    <row r="50" spans="1:122" s="301" customFormat="1">
      <c r="A50" s="319" t="s">
        <v>188</v>
      </c>
      <c r="B50" s="299">
        <v>1.26</v>
      </c>
      <c r="C50" s="298">
        <f t="shared" si="95"/>
        <v>1.3669553727041796E-2</v>
      </c>
      <c r="D50" s="299">
        <v>202046.28568174518</v>
      </c>
      <c r="E50" s="299">
        <v>2244.6431819546715</v>
      </c>
      <c r="F50" s="251">
        <f t="shared" si="96"/>
        <v>199801.6424997905</v>
      </c>
      <c r="G50" s="297">
        <v>2.3099999999999996</v>
      </c>
      <c r="H50" s="298">
        <f t="shared" si="97"/>
        <v>3.2572267956960839E-2</v>
      </c>
      <c r="I50" s="320">
        <v>187497.70750978438</v>
      </c>
      <c r="J50" s="299">
        <v>2178.3258096963427</v>
      </c>
      <c r="K50" s="251">
        <f t="shared" si="98"/>
        <v>185319.38170008804</v>
      </c>
      <c r="L50" s="297">
        <v>6.8849999999999927</v>
      </c>
      <c r="M50" s="298">
        <f t="shared" si="99"/>
        <v>7.8188236048978454E-2</v>
      </c>
      <c r="N50" s="299">
        <v>181010.03839130493</v>
      </c>
      <c r="O50" s="299">
        <v>3258.5214855395288</v>
      </c>
      <c r="P50" s="251">
        <f t="shared" si="100"/>
        <v>177751.5169057654</v>
      </c>
      <c r="Q50" s="297">
        <v>5.9249999999999936</v>
      </c>
      <c r="R50" s="298">
        <f t="shared" si="101"/>
        <v>6.6589344356257893E-2</v>
      </c>
      <c r="S50" s="299">
        <v>169663.99710034794</v>
      </c>
      <c r="T50" s="299">
        <v>177.23865608741548</v>
      </c>
      <c r="U50" s="251">
        <f t="shared" si="102"/>
        <v>169486.75844426051</v>
      </c>
      <c r="V50" s="297">
        <v>4.154999999999994</v>
      </c>
      <c r="W50" s="298">
        <f t="shared" si="103"/>
        <v>4.588279237926008E-2</v>
      </c>
      <c r="X50" s="299">
        <v>164389.4406114486</v>
      </c>
      <c r="Y50" s="299">
        <v>215.90268947946723</v>
      </c>
      <c r="Z50" s="251">
        <f t="shared" si="104"/>
        <v>164173.53792196914</v>
      </c>
      <c r="AA50" s="297">
        <v>5.999999999999992</v>
      </c>
      <c r="AB50" s="298">
        <f t="shared" si="105"/>
        <v>5.8022487558885845E-2</v>
      </c>
      <c r="AC50" s="299">
        <v>171820.03347182504</v>
      </c>
      <c r="AD50" s="299">
        <v>82.695586827235232</v>
      </c>
      <c r="AE50" s="251">
        <f t="shared" si="106"/>
        <v>171737.3378849978</v>
      </c>
      <c r="AF50" s="321">
        <v>13.259500000000001</v>
      </c>
      <c r="AG50" s="298">
        <f t="shared" si="107"/>
        <v>8.1251690892451045E-2</v>
      </c>
      <c r="AH50" s="299">
        <v>160810.99880788272</v>
      </c>
      <c r="AI50" s="299">
        <v>9677.7809511463347</v>
      </c>
      <c r="AJ50" s="251">
        <f t="shared" si="108"/>
        <v>151133.21785673639</v>
      </c>
      <c r="AK50" s="297">
        <v>9.1599999999999895</v>
      </c>
      <c r="AL50" s="298">
        <f t="shared" si="109"/>
        <v>3.9696887051591294E-2</v>
      </c>
      <c r="AM50" s="299">
        <v>154714.76979789109</v>
      </c>
      <c r="AN50" s="299">
        <v>3314.5708881323244</v>
      </c>
      <c r="AO50" s="251">
        <f t="shared" si="110"/>
        <v>151400.19890975876</v>
      </c>
      <c r="AP50" s="297">
        <v>14.997000000000034</v>
      </c>
      <c r="AQ50" s="298">
        <f t="shared" si="111"/>
        <v>7.3810599550551276E-2</v>
      </c>
      <c r="AR50" s="299">
        <v>144612.90458091561</v>
      </c>
      <c r="AS50" s="299">
        <v>180.79282523171111</v>
      </c>
      <c r="AT50" s="251">
        <f t="shared" si="112"/>
        <v>144432.1117556839</v>
      </c>
      <c r="AU50" s="321">
        <v>8.5949999999999935</v>
      </c>
      <c r="AV50" s="298">
        <f t="shared" si="113"/>
        <v>4.6975164238865011E-2</v>
      </c>
      <c r="AW50" s="299">
        <v>149376.31529959277</v>
      </c>
      <c r="AX50" s="299">
        <v>186.90401396160473</v>
      </c>
      <c r="AY50" s="251">
        <f t="shared" si="114"/>
        <v>149189.41128563115</v>
      </c>
      <c r="AZ50" s="297">
        <v>9.4699999999999971</v>
      </c>
      <c r="BA50" s="298">
        <f t="shared" si="115"/>
        <v>0.12177155010152947</v>
      </c>
      <c r="BB50" s="299">
        <v>150465.32418162614</v>
      </c>
      <c r="BC50" s="299">
        <v>1170.7391763463575</v>
      </c>
      <c r="BD50" s="251">
        <f t="shared" si="116"/>
        <v>149294.58500527978</v>
      </c>
      <c r="BE50" s="297">
        <v>8.5459999999999869</v>
      </c>
      <c r="BF50" s="298">
        <f t="shared" si="117"/>
        <v>0.10394378229846847</v>
      </c>
      <c r="BG50" s="299">
        <v>146621.88626257915</v>
      </c>
      <c r="BH50" s="299">
        <v>199.07208050549926</v>
      </c>
      <c r="BI50" s="251">
        <f t="shared" si="118"/>
        <v>146422.81418207366</v>
      </c>
      <c r="BJ50" s="322"/>
      <c r="BK50" s="297">
        <v>8.8049999999999997</v>
      </c>
      <c r="BL50" s="298">
        <f t="shared" si="119"/>
        <v>0.11366731687039837</v>
      </c>
      <c r="BM50" s="299">
        <v>148528.80749574097</v>
      </c>
      <c r="BN50" s="299">
        <v>13724.02612152186</v>
      </c>
      <c r="BO50" s="251">
        <f t="shared" si="120"/>
        <v>134804.78137421911</v>
      </c>
      <c r="BP50" s="297">
        <v>5.5649999999999888</v>
      </c>
      <c r="BQ50" s="298">
        <f t="shared" si="121"/>
        <v>6.3869895931665296E-2</v>
      </c>
      <c r="BR50" s="299">
        <v>151561.63881401671</v>
      </c>
      <c r="BS50" s="299">
        <v>11491.486073674774</v>
      </c>
      <c r="BT50" s="251">
        <f t="shared" si="122"/>
        <v>140070.15274034193</v>
      </c>
      <c r="BU50" s="297">
        <f>'NR '!AV50</f>
        <v>8.9883750000000049</v>
      </c>
      <c r="BV50" s="298">
        <f t="shared" si="123"/>
        <v>6.8373220358425607E-2</v>
      </c>
      <c r="BW50" s="299">
        <f>'NR '!AX50</f>
        <v>153119.21120335991</v>
      </c>
      <c r="BX50" s="299">
        <v>17294.397485641162</v>
      </c>
      <c r="BY50" s="251">
        <f t="shared" si="124"/>
        <v>135824.81371771876</v>
      </c>
      <c r="BZ50" s="297">
        <f>'NR '!AY50</f>
        <v>6.7499999999999911</v>
      </c>
      <c r="CA50" s="298">
        <f t="shared" si="125"/>
        <v>5.3952316942286305E-2</v>
      </c>
      <c r="CB50" s="299">
        <f>'NR '!BA50</f>
        <v>151988.00888888925</v>
      </c>
      <c r="CC50" s="261">
        <v>21130.595555555577</v>
      </c>
      <c r="CD50" s="251">
        <f t="shared" si="126"/>
        <v>130857.41333333368</v>
      </c>
      <c r="CE50" s="249">
        <f>'NR '!BB50</f>
        <v>7.4509999999999952</v>
      </c>
      <c r="CF50" s="250">
        <f t="shared" si="127"/>
        <v>4.3604611728607643E-3</v>
      </c>
      <c r="CG50" s="261">
        <f>'NR '!BD50</f>
        <v>161004.46651456208</v>
      </c>
      <c r="CH50" s="261">
        <v>17810.429472554028</v>
      </c>
      <c r="CI50" s="251">
        <f t="shared" si="128"/>
        <v>143194.03704200804</v>
      </c>
      <c r="CJ50" s="249">
        <f>'NR '!BE50</f>
        <v>9.0750000000000011</v>
      </c>
      <c r="CK50" s="250">
        <f t="shared" si="129"/>
        <v>8.3609575069881953E-2</v>
      </c>
      <c r="CL50" s="261">
        <f>'NR '!BG50</f>
        <v>157628.27438016524</v>
      </c>
      <c r="CM50" s="261">
        <v>16523.946005509635</v>
      </c>
      <c r="CN50" s="251">
        <f t="shared" si="130"/>
        <v>141104.3283746556</v>
      </c>
      <c r="CO50" s="249">
        <f>'NR '!BH50</f>
        <v>9.9580000000000037</v>
      </c>
      <c r="CP50" s="250">
        <f t="shared" si="131"/>
        <v>5.4086174353393079E-2</v>
      </c>
      <c r="CQ50" s="261">
        <f>'NR '!BJ50</f>
        <v>153382.499497891</v>
      </c>
      <c r="CR50" s="261">
        <v>12616.204057039562</v>
      </c>
      <c r="CS50" s="251">
        <f t="shared" si="132"/>
        <v>140766.29544085142</v>
      </c>
      <c r="CT50" s="249">
        <v>8.9568750000000037</v>
      </c>
      <c r="CU50" s="250">
        <f t="shared" si="133"/>
        <v>4.3543501934981708E-2</v>
      </c>
      <c r="CV50" s="261">
        <v>154586.20668480903</v>
      </c>
      <c r="CW50" s="261">
        <v>14944.111646081912</v>
      </c>
      <c r="CX50" s="251">
        <f t="shared" si="134"/>
        <v>139642.09503872713</v>
      </c>
      <c r="CY50" s="249">
        <v>6.089999999999991</v>
      </c>
      <c r="CZ50" s="250">
        <f t="shared" si="135"/>
        <v>2.964779731227378E-2</v>
      </c>
      <c r="DA50" s="261">
        <v>158967.31362890021</v>
      </c>
      <c r="DB50" s="261">
        <v>15954.899835796408</v>
      </c>
      <c r="DC50" s="251">
        <f t="shared" si="136"/>
        <v>143012.4137931038</v>
      </c>
      <c r="DD50" s="249">
        <f>'NR '!BQ50</f>
        <v>8.7299999999999951</v>
      </c>
      <c r="DE50" s="250">
        <f t="shared" si="137"/>
        <v>4.2239586417839224E-2</v>
      </c>
      <c r="DF50" s="261">
        <f>'NR '!BS50</f>
        <v>153717.83963344805</v>
      </c>
      <c r="DG50" s="261">
        <v>18139.7857961054</v>
      </c>
      <c r="DH50" s="251">
        <f t="shared" si="142"/>
        <v>135578.05383734265</v>
      </c>
      <c r="DI50" s="249">
        <f>'NR '!BT50</f>
        <v>5.8349999999999973</v>
      </c>
      <c r="DJ50" s="250">
        <f t="shared" si="139"/>
        <v>4.3679998311189759E-2</v>
      </c>
      <c r="DK50" s="261">
        <f>'NR '!BV50</f>
        <v>155805.80119965738</v>
      </c>
      <c r="DL50" s="261">
        <v>14937.859468723227</v>
      </c>
      <c r="DM50" s="251">
        <f t="shared" si="140"/>
        <v>140867.94173093414</v>
      </c>
      <c r="DN50" s="249">
        <v>6.5914999999999946</v>
      </c>
      <c r="DO50" s="250">
        <f t="shared" si="143"/>
        <v>5.8154071631982475E-2</v>
      </c>
      <c r="DP50" s="261">
        <v>153735.89622999344</v>
      </c>
      <c r="DQ50" s="261">
        <v>13539.502389440957</v>
      </c>
      <c r="DR50" s="251">
        <f t="shared" si="141"/>
        <v>140196.39384055248</v>
      </c>
    </row>
    <row r="51" spans="1:122" s="301" customFormat="1">
      <c r="A51" s="319" t="s">
        <v>189</v>
      </c>
      <c r="B51" s="299"/>
      <c r="C51" s="298">
        <f t="shared" si="95"/>
        <v>0</v>
      </c>
      <c r="D51" s="299">
        <v>0</v>
      </c>
      <c r="E51" s="299"/>
      <c r="F51" s="251">
        <f t="shared" si="96"/>
        <v>0</v>
      </c>
      <c r="G51" s="297"/>
      <c r="H51" s="298">
        <f t="shared" si="97"/>
        <v>0</v>
      </c>
      <c r="I51" s="320">
        <v>0</v>
      </c>
      <c r="J51" s="299"/>
      <c r="K51" s="251">
        <f t="shared" si="98"/>
        <v>0</v>
      </c>
      <c r="L51" s="297"/>
      <c r="M51" s="298">
        <f t="shared" si="99"/>
        <v>0</v>
      </c>
      <c r="N51" s="299">
        <v>0</v>
      </c>
      <c r="O51" s="299"/>
      <c r="P51" s="251">
        <f t="shared" si="100"/>
        <v>0</v>
      </c>
      <c r="Q51" s="297"/>
      <c r="R51" s="298">
        <f t="shared" si="101"/>
        <v>0</v>
      </c>
      <c r="S51" s="299">
        <v>0</v>
      </c>
      <c r="T51" s="299"/>
      <c r="U51" s="251">
        <f t="shared" si="102"/>
        <v>0</v>
      </c>
      <c r="V51" s="297">
        <v>4.4496000000000118</v>
      </c>
      <c r="W51" s="298">
        <f t="shared" si="103"/>
        <v>4.9135998308244638E-2</v>
      </c>
      <c r="X51" s="299">
        <v>159557.54048932737</v>
      </c>
      <c r="Y51" s="299">
        <v>527.30631097489845</v>
      </c>
      <c r="Z51" s="251">
        <f t="shared" si="104"/>
        <v>159030.23417835246</v>
      </c>
      <c r="AA51" s="297">
        <v>4.6224000000000096</v>
      </c>
      <c r="AB51" s="298">
        <f t="shared" si="105"/>
        <v>4.470052441536581E-2</v>
      </c>
      <c r="AC51" s="299">
        <v>159500.86148659964</v>
      </c>
      <c r="AD51" s="299">
        <v>17957.410032809879</v>
      </c>
      <c r="AE51" s="251">
        <f t="shared" si="106"/>
        <v>141543.45145378975</v>
      </c>
      <c r="AF51" s="321">
        <v>2.3004000000000007</v>
      </c>
      <c r="AG51" s="298">
        <f t="shared" si="107"/>
        <v>1.4096413117311695E-2</v>
      </c>
      <c r="AH51" s="299">
        <v>160381.76104285935</v>
      </c>
      <c r="AI51" s="299">
        <v>23521.058556335396</v>
      </c>
      <c r="AJ51" s="251">
        <f t="shared" si="108"/>
        <v>136860.70248652395</v>
      </c>
      <c r="AK51" s="297">
        <v>1.2887999999999988</v>
      </c>
      <c r="AL51" s="298">
        <f t="shared" si="109"/>
        <v>5.58530000350337E-3</v>
      </c>
      <c r="AM51" s="299">
        <v>144354.87828281362</v>
      </c>
      <c r="AN51" s="299">
        <v>8110.1234721368992</v>
      </c>
      <c r="AO51" s="251">
        <f t="shared" si="110"/>
        <v>136244.75481067671</v>
      </c>
      <c r="AP51" s="297">
        <v>0.28260000000000007</v>
      </c>
      <c r="AQ51" s="298">
        <f t="shared" si="111"/>
        <v>1.3908698695062846E-3</v>
      </c>
      <c r="AR51" s="299">
        <v>158805.06015569705</v>
      </c>
      <c r="AS51" s="299">
        <v>4146.0721868365199</v>
      </c>
      <c r="AT51" s="251">
        <f t="shared" si="112"/>
        <v>154658.98796886054</v>
      </c>
      <c r="AU51" s="321">
        <v>2.1824999999999992</v>
      </c>
      <c r="AV51" s="298">
        <f t="shared" si="113"/>
        <v>1.1928248510915989E-2</v>
      </c>
      <c r="AW51" s="299">
        <v>139473.07674684998</v>
      </c>
      <c r="AX51" s="299">
        <v>38696.137457044686</v>
      </c>
      <c r="AY51" s="251">
        <f t="shared" si="114"/>
        <v>100776.9392898053</v>
      </c>
      <c r="AZ51" s="297">
        <v>0.70650000000000002</v>
      </c>
      <c r="BA51" s="298">
        <f t="shared" si="115"/>
        <v>9.0846462668142131E-3</v>
      </c>
      <c r="BB51" s="299">
        <v>145184.72753007777</v>
      </c>
      <c r="BC51" s="299">
        <v>2200.3963198867677</v>
      </c>
      <c r="BD51" s="251">
        <f t="shared" si="116"/>
        <v>142984.33121019101</v>
      </c>
      <c r="BE51" s="297">
        <v>3.8198999999999983</v>
      </c>
      <c r="BF51" s="298">
        <f t="shared" si="117"/>
        <v>4.6460900304460581E-2</v>
      </c>
      <c r="BG51" s="299">
        <v>141774.48886096501</v>
      </c>
      <c r="BH51" s="299">
        <v>29279.858111468893</v>
      </c>
      <c r="BI51" s="251">
        <f t="shared" si="118"/>
        <v>112494.63074949611</v>
      </c>
      <c r="BJ51" s="322"/>
      <c r="BK51" s="297">
        <v>0.62939999999999996</v>
      </c>
      <c r="BL51" s="298">
        <f t="shared" si="119"/>
        <v>8.1251799248414237E-3</v>
      </c>
      <c r="BM51" s="299">
        <v>139529.91738163325</v>
      </c>
      <c r="BN51" s="299">
        <v>4530.537019383537</v>
      </c>
      <c r="BO51" s="251">
        <f t="shared" si="120"/>
        <v>134999.38036224971</v>
      </c>
      <c r="BP51" s="297">
        <v>1.6873499999999986</v>
      </c>
      <c r="BQ51" s="298">
        <f t="shared" si="121"/>
        <v>1.936583448343137E-2</v>
      </c>
      <c r="BR51" s="299">
        <v>137210.89282010266</v>
      </c>
      <c r="BS51" s="299">
        <v>37067.437105520548</v>
      </c>
      <c r="BT51" s="251">
        <f t="shared" si="122"/>
        <v>100143.45571458212</v>
      </c>
      <c r="BU51" s="297">
        <f>'NR '!AV51</f>
        <v>20.446200000000001</v>
      </c>
      <c r="BV51" s="298">
        <f t="shared" si="123"/>
        <v>0.15553117644651462</v>
      </c>
      <c r="BW51" s="299">
        <f>'NR '!AX51</f>
        <v>136819.11553247063</v>
      </c>
      <c r="BX51" s="299">
        <v>49513.352114329304</v>
      </c>
      <c r="BY51" s="251">
        <f t="shared" si="124"/>
        <v>87305.76341814133</v>
      </c>
      <c r="BZ51" s="297">
        <f>'NR '!AY51</f>
        <v>2.1325499999999993</v>
      </c>
      <c r="CA51" s="298">
        <f t="shared" si="125"/>
        <v>1.7045335332633003E-2</v>
      </c>
      <c r="CB51" s="299">
        <f>'NR '!BA51</f>
        <v>136613.48620196481</v>
      </c>
      <c r="CC51" s="261">
        <v>42019.976084968708</v>
      </c>
      <c r="CD51" s="251">
        <f t="shared" si="126"/>
        <v>94593.510116996098</v>
      </c>
      <c r="CE51" s="249">
        <f>'NR '!BB51</f>
        <v>0.99539999999999984</v>
      </c>
      <c r="CF51" s="250">
        <f t="shared" si="127"/>
        <v>5.8252624499605511E-4</v>
      </c>
      <c r="CG51" s="261">
        <f>'NR '!BD51</f>
        <v>136001.51697809924</v>
      </c>
      <c r="CH51" s="261">
        <v>44126.994173196712</v>
      </c>
      <c r="CI51" s="251">
        <f t="shared" si="128"/>
        <v>91874.522804902532</v>
      </c>
      <c r="CJ51" s="249">
        <f>'NR '!BE51</f>
        <v>7.5299999999999992E-2</v>
      </c>
      <c r="CK51" s="250">
        <f t="shared" si="129"/>
        <v>6.9375217661290459E-4</v>
      </c>
      <c r="CL51" s="261">
        <f>'NR '!BG51</f>
        <v>140248.47277556441</v>
      </c>
      <c r="CM51" s="261">
        <v>690.17264276228423</v>
      </c>
      <c r="CN51" s="251">
        <f t="shared" si="130"/>
        <v>139558.30013280213</v>
      </c>
      <c r="CO51" s="249">
        <f>'NR '!BH51</f>
        <v>0.126</v>
      </c>
      <c r="CP51" s="250">
        <f t="shared" si="131"/>
        <v>6.8436010931186236E-4</v>
      </c>
      <c r="CQ51" s="261">
        <f>'NR '!BJ51</f>
        <v>136001.58730158725</v>
      </c>
      <c r="CR51" s="261">
        <v>-2.3015873015873018</v>
      </c>
      <c r="CS51" s="251">
        <f t="shared" si="132"/>
        <v>136003.88888888885</v>
      </c>
      <c r="CT51" s="249">
        <v>0.1134</v>
      </c>
      <c r="CU51" s="250">
        <f t="shared" si="133"/>
        <v>5.5128972096037099E-4</v>
      </c>
      <c r="CV51" s="261">
        <v>136001.58730158725</v>
      </c>
      <c r="CW51" s="261">
        <v>341.09347442680775</v>
      </c>
      <c r="CX51" s="251">
        <f t="shared" si="134"/>
        <v>135660.49382716045</v>
      </c>
      <c r="CY51" s="249">
        <v>1.5192000000000001</v>
      </c>
      <c r="CZ51" s="250">
        <f t="shared" si="135"/>
        <v>7.3958840191800318E-3</v>
      </c>
      <c r="DA51" s="261">
        <v>139173.08451816745</v>
      </c>
      <c r="DB51" s="261">
        <v>177.67245918904686</v>
      </c>
      <c r="DC51" s="251">
        <f t="shared" si="136"/>
        <v>138995.4120589784</v>
      </c>
      <c r="DD51" s="249">
        <f>'NR '!BQ51</f>
        <v>0.2142</v>
      </c>
      <c r="DE51" s="250">
        <f t="shared" si="137"/>
        <v>1.0363939760253342E-3</v>
      </c>
      <c r="DF51" s="261">
        <f>'NR '!BS51</f>
        <v>136001.58730158728</v>
      </c>
      <c r="DG51" s="261">
        <v>-2.1942110177404297</v>
      </c>
      <c r="DH51" s="251">
        <f t="shared" si="142"/>
        <v>136003.78151260503</v>
      </c>
      <c r="DI51" s="249">
        <f>'NR '!BT51</f>
        <v>0.51659999999999995</v>
      </c>
      <c r="DJ51" s="250">
        <f t="shared" si="139"/>
        <v>3.8671957373711463E-3</v>
      </c>
      <c r="DK51" s="261">
        <f>'NR '!BV51</f>
        <v>140424.31281455673</v>
      </c>
      <c r="DL51" s="261">
        <v>9841.0569105691065</v>
      </c>
      <c r="DM51" s="251">
        <f t="shared" si="140"/>
        <v>130583.25590398762</v>
      </c>
      <c r="DN51" s="249"/>
      <c r="DO51" s="250">
        <f t="shared" si="143"/>
        <v>0</v>
      </c>
      <c r="DP51" s="261"/>
      <c r="DQ51" s="261"/>
      <c r="DR51" s="251">
        <f t="shared" si="141"/>
        <v>0</v>
      </c>
    </row>
    <row r="52" spans="1:122" s="301" customFormat="1">
      <c r="A52" s="319" t="s">
        <v>190</v>
      </c>
      <c r="B52" s="299"/>
      <c r="C52" s="298">
        <f t="shared" si="95"/>
        <v>0</v>
      </c>
      <c r="D52" s="299">
        <v>0</v>
      </c>
      <c r="E52" s="299"/>
      <c r="F52" s="251">
        <f t="shared" si="96"/>
        <v>0</v>
      </c>
      <c r="G52" s="297">
        <v>2.937600000000002</v>
      </c>
      <c r="H52" s="298">
        <f t="shared" si="97"/>
        <v>4.1421772446046855E-2</v>
      </c>
      <c r="I52" s="320">
        <v>164958.11697870604</v>
      </c>
      <c r="J52" s="299">
        <v>6386.3111131605374</v>
      </c>
      <c r="K52" s="251">
        <f t="shared" si="98"/>
        <v>158571.8058655455</v>
      </c>
      <c r="L52" s="297">
        <v>4.9392000000000156</v>
      </c>
      <c r="M52" s="298">
        <f t="shared" si="99"/>
        <v>5.6091116266247791E-2</v>
      </c>
      <c r="N52" s="299">
        <v>165266.0534347732</v>
      </c>
      <c r="O52" s="299">
        <v>6057.7719834625223</v>
      </c>
      <c r="P52" s="251">
        <f t="shared" si="100"/>
        <v>159208.28145131067</v>
      </c>
      <c r="Q52" s="297">
        <v>4.9530000000000198</v>
      </c>
      <c r="R52" s="298">
        <f t="shared" si="101"/>
        <v>5.566532026945941E-2</v>
      </c>
      <c r="S52" s="299">
        <v>159493.76396009579</v>
      </c>
      <c r="T52" s="299">
        <v>752.3234839824197</v>
      </c>
      <c r="U52" s="251">
        <f t="shared" si="102"/>
        <v>158741.44047611338</v>
      </c>
      <c r="V52" s="297">
        <v>4.5180000000000158</v>
      </c>
      <c r="W52" s="298">
        <f t="shared" si="103"/>
        <v>4.9891325143080159E-2</v>
      </c>
      <c r="X52" s="299">
        <v>159391.34115629352</v>
      </c>
      <c r="Y52" s="299">
        <v>709.79332577715013</v>
      </c>
      <c r="Z52" s="251">
        <f t="shared" si="104"/>
        <v>158681.54783051639</v>
      </c>
      <c r="AA52" s="297">
        <v>7.6176126000000259</v>
      </c>
      <c r="AB52" s="298">
        <f t="shared" si="105"/>
        <v>7.3665472051985689E-2</v>
      </c>
      <c r="AC52" s="299">
        <v>159124.73456187278</v>
      </c>
      <c r="AD52" s="299">
        <v>20753.867011987324</v>
      </c>
      <c r="AE52" s="251">
        <f t="shared" si="106"/>
        <v>138370.86754988547</v>
      </c>
      <c r="AF52" s="321">
        <v>5.6001000000000012</v>
      </c>
      <c r="AG52" s="298">
        <f t="shared" si="107"/>
        <v>3.4316346330315259E-2</v>
      </c>
      <c r="AH52" s="299">
        <v>144973.05904540769</v>
      </c>
      <c r="AI52" s="299">
        <v>8509.3464811662525</v>
      </c>
      <c r="AJ52" s="251">
        <f t="shared" si="108"/>
        <v>136463.71256424143</v>
      </c>
      <c r="AK52" s="297">
        <v>2.9933999999999963</v>
      </c>
      <c r="AL52" s="298">
        <f t="shared" si="109"/>
        <v>1.2972561320986174E-2</v>
      </c>
      <c r="AM52" s="299">
        <v>137483.12433291867</v>
      </c>
      <c r="AN52" s="299">
        <v>1841.7646768497862</v>
      </c>
      <c r="AO52" s="251">
        <f t="shared" si="110"/>
        <v>135641.35965606887</v>
      </c>
      <c r="AP52" s="297">
        <v>4.3200000000000002E-2</v>
      </c>
      <c r="AQ52" s="298">
        <f t="shared" si="111"/>
        <v>2.1261705011561033E-4</v>
      </c>
      <c r="AR52" s="299">
        <v>158915.04629629626</v>
      </c>
      <c r="AS52" s="299">
        <v>1487.9629629629569</v>
      </c>
      <c r="AT52" s="251">
        <f t="shared" si="112"/>
        <v>157427.08333333331</v>
      </c>
      <c r="AU52" s="321">
        <v>30.720000000000006</v>
      </c>
      <c r="AV52" s="298">
        <f t="shared" si="113"/>
        <v>0.16789727113646707</v>
      </c>
      <c r="AW52" s="299">
        <v>136956.31477864584</v>
      </c>
      <c r="AX52" s="299">
        <v>42533.419921874913</v>
      </c>
      <c r="AY52" s="251">
        <f t="shared" si="114"/>
        <v>94422.89485677093</v>
      </c>
      <c r="AZ52" s="297">
        <v>3.3305999999999951</v>
      </c>
      <c r="BA52" s="298">
        <f t="shared" si="115"/>
        <v>4.2827067029372078E-2</v>
      </c>
      <c r="BB52" s="299">
        <v>136041.08268780416</v>
      </c>
      <c r="BC52" s="299">
        <v>519.26980123701514</v>
      </c>
      <c r="BD52" s="251">
        <f t="shared" si="116"/>
        <v>135521.81288656715</v>
      </c>
      <c r="BE52" s="297">
        <v>4.253999999999996</v>
      </c>
      <c r="BF52" s="298">
        <f t="shared" si="117"/>
        <v>5.1740796852057701E-2</v>
      </c>
      <c r="BG52" s="299">
        <v>148936.83121767757</v>
      </c>
      <c r="BH52" s="299">
        <v>675.81570286788951</v>
      </c>
      <c r="BI52" s="251">
        <f t="shared" si="118"/>
        <v>148261.01551480967</v>
      </c>
      <c r="BJ52" s="322"/>
      <c r="BK52" s="297">
        <v>3.924300000000005</v>
      </c>
      <c r="BL52" s="298">
        <f t="shared" si="119"/>
        <v>5.0660380646735365E-2</v>
      </c>
      <c r="BM52" s="299">
        <v>157861.04528196086</v>
      </c>
      <c r="BN52" s="299">
        <v>1527.9591264684143</v>
      </c>
      <c r="BO52" s="251">
        <f t="shared" si="120"/>
        <v>156333.08615549243</v>
      </c>
      <c r="BP52" s="297">
        <v>4.0629000000000115</v>
      </c>
      <c r="BQ52" s="298">
        <f t="shared" si="121"/>
        <v>4.6630188711727617E-2</v>
      </c>
      <c r="BR52" s="299">
        <v>159292.04509094454</v>
      </c>
      <c r="BS52" s="299">
        <v>860.86785301139241</v>
      </c>
      <c r="BT52" s="251">
        <f t="shared" si="122"/>
        <v>158431.17723793315</v>
      </c>
      <c r="BU52" s="297">
        <f>'NR '!AV52</f>
        <v>3.7392000000000074</v>
      </c>
      <c r="BV52" s="298">
        <f t="shared" si="123"/>
        <v>2.8443533515705048E-2</v>
      </c>
      <c r="BW52" s="299">
        <f>'NR '!AX52</f>
        <v>159220.49368848919</v>
      </c>
      <c r="BX52" s="299">
        <v>14131.921266581076</v>
      </c>
      <c r="BY52" s="251">
        <f t="shared" si="124"/>
        <v>145088.57242190812</v>
      </c>
      <c r="BZ52" s="297">
        <f>'NR '!AY52</f>
        <v>4.6107000000000138</v>
      </c>
      <c r="CA52" s="298">
        <f t="shared" si="125"/>
        <v>3.6853029292711191E-2</v>
      </c>
      <c r="CB52" s="299">
        <f>'NR '!BA52</f>
        <v>159125.51239508053</v>
      </c>
      <c r="CC52" s="261">
        <v>13974.461578502149</v>
      </c>
      <c r="CD52" s="251">
        <f t="shared" si="126"/>
        <v>145151.05081657838</v>
      </c>
      <c r="CE52" s="249">
        <f>'NR '!BB52</f>
        <v>3.4122000000000057</v>
      </c>
      <c r="CF52" s="250">
        <f t="shared" si="127"/>
        <v>1.9968817090371136E-3</v>
      </c>
      <c r="CG52" s="261">
        <f>'NR '!BD52</f>
        <v>159157.20063302244</v>
      </c>
      <c r="CH52" s="261">
        <v>13871.675165582306</v>
      </c>
      <c r="CI52" s="251">
        <f t="shared" si="128"/>
        <v>145285.52546744014</v>
      </c>
      <c r="CJ52" s="249">
        <f>'NR '!BE52</f>
        <v>2.9088000000000029</v>
      </c>
      <c r="CK52" s="250">
        <f t="shared" si="129"/>
        <v>2.6799287268680205E-2</v>
      </c>
      <c r="CL52" s="261">
        <f>'NR '!BG52</f>
        <v>158958.463971397</v>
      </c>
      <c r="CM52" s="261">
        <v>2988.8441969196892</v>
      </c>
      <c r="CN52" s="251">
        <f t="shared" si="130"/>
        <v>155969.61977447729</v>
      </c>
      <c r="CO52" s="249">
        <f>'NR '!BH52</f>
        <v>5.259600000000014</v>
      </c>
      <c r="CP52" s="250">
        <f t="shared" si="131"/>
        <v>2.8567146277275246E-2</v>
      </c>
      <c r="CQ52" s="261">
        <f>'NR '!BJ52</f>
        <v>158503.14472583425</v>
      </c>
      <c r="CR52" s="261">
        <v>650.23195680279684</v>
      </c>
      <c r="CS52" s="251">
        <f t="shared" si="132"/>
        <v>157852.91276903145</v>
      </c>
      <c r="CT52" s="249">
        <v>4.0605000000000073</v>
      </c>
      <c r="CU52" s="250">
        <f t="shared" si="133"/>
        <v>1.9739963950260939E-2</v>
      </c>
      <c r="CV52" s="261">
        <v>158675.83056273829</v>
      </c>
      <c r="CW52" s="261">
        <v>556.36990518408982</v>
      </c>
      <c r="CX52" s="251">
        <f t="shared" si="134"/>
        <v>158119.46065755421</v>
      </c>
      <c r="CY52" s="249">
        <v>3.0498000000000043</v>
      </c>
      <c r="CZ52" s="250">
        <f t="shared" si="135"/>
        <v>1.4847266378156459E-2</v>
      </c>
      <c r="DA52" s="261">
        <v>158776.63453341188</v>
      </c>
      <c r="DB52" s="261">
        <v>1414.1976523050671</v>
      </c>
      <c r="DC52" s="251">
        <f t="shared" si="136"/>
        <v>157362.43688110681</v>
      </c>
      <c r="DD52" s="249">
        <f>'NR '!BQ52</f>
        <v>3.8448000000000104</v>
      </c>
      <c r="DE52" s="250">
        <f t="shared" si="137"/>
        <v>1.8602836410001003E-2</v>
      </c>
      <c r="DF52" s="261">
        <f>'NR '!BS52</f>
        <v>158893.1439866829</v>
      </c>
      <c r="DG52" s="261">
        <v>4572.2690387016019</v>
      </c>
      <c r="DH52" s="251">
        <f t="shared" si="142"/>
        <v>154320.8749479813</v>
      </c>
      <c r="DI52" s="249">
        <f>'NR '!BT52</f>
        <v>2.7648000000000028</v>
      </c>
      <c r="DJ52" s="250">
        <f t="shared" si="139"/>
        <v>2.0696908197219817E-2</v>
      </c>
      <c r="DK52" s="261">
        <f>'NR '!BV52</f>
        <v>159025.86805555547</v>
      </c>
      <c r="DL52" s="261">
        <v>2546.8496817129612</v>
      </c>
      <c r="DM52" s="251">
        <f t="shared" si="140"/>
        <v>156479.01837384253</v>
      </c>
      <c r="DN52" s="249">
        <v>2.5341000000000009</v>
      </c>
      <c r="DO52" s="250">
        <f t="shared" si="143"/>
        <v>2.2357313649792456E-2</v>
      </c>
      <c r="DP52" s="261">
        <v>158975.00493271774</v>
      </c>
      <c r="DQ52" s="261">
        <v>2597.9400970758848</v>
      </c>
      <c r="DR52" s="251">
        <f t="shared" si="141"/>
        <v>156377.06483564185</v>
      </c>
    </row>
    <row r="53" spans="1:122" s="301" customFormat="1">
      <c r="A53" s="319" t="s">
        <v>191</v>
      </c>
      <c r="B53" s="299"/>
      <c r="C53" s="298">
        <f t="shared" si="95"/>
        <v>0</v>
      </c>
      <c r="D53" s="299">
        <v>0</v>
      </c>
      <c r="E53" s="299"/>
      <c r="F53" s="251">
        <f t="shared" si="96"/>
        <v>0</v>
      </c>
      <c r="G53" s="297"/>
      <c r="H53" s="298">
        <f t="shared" si="97"/>
        <v>0</v>
      </c>
      <c r="I53" s="320">
        <v>0</v>
      </c>
      <c r="J53" s="299"/>
      <c r="K53" s="251">
        <f t="shared" si="98"/>
        <v>0</v>
      </c>
      <c r="L53" s="323"/>
      <c r="M53" s="298">
        <f t="shared" si="99"/>
        <v>0</v>
      </c>
      <c r="N53" s="299">
        <v>0</v>
      </c>
      <c r="O53" s="299"/>
      <c r="P53" s="251">
        <f t="shared" si="100"/>
        <v>0</v>
      </c>
      <c r="Q53" s="297">
        <v>1.7204999999999986</v>
      </c>
      <c r="R53" s="298">
        <f t="shared" si="101"/>
        <v>1.9336196956108311E-2</v>
      </c>
      <c r="S53" s="299">
        <v>152442.10981295508</v>
      </c>
      <c r="T53" s="299">
        <v>741.53439883109559</v>
      </c>
      <c r="U53" s="251">
        <f t="shared" si="102"/>
        <v>151700.57541412397</v>
      </c>
      <c r="V53" s="297">
        <v>6.3299999999999903</v>
      </c>
      <c r="W53" s="298">
        <f t="shared" si="103"/>
        <v>6.9900860592230149E-2</v>
      </c>
      <c r="X53" s="299">
        <v>152479.56646347581</v>
      </c>
      <c r="Y53" s="299">
        <v>328.0757129391456</v>
      </c>
      <c r="Z53" s="251">
        <f t="shared" si="104"/>
        <v>152151.49075053667</v>
      </c>
      <c r="AA53" s="324">
        <v>2.2894999999999999</v>
      </c>
      <c r="AB53" s="298">
        <f t="shared" si="105"/>
        <v>2.2140414211011553E-2</v>
      </c>
      <c r="AC53" s="299">
        <v>152503.92494719446</v>
      </c>
      <c r="AD53" s="299">
        <v>692.81132460986009</v>
      </c>
      <c r="AE53" s="251">
        <f t="shared" si="106"/>
        <v>151811.11362258461</v>
      </c>
      <c r="AF53" s="324">
        <v>5.5799999999999956</v>
      </c>
      <c r="AG53" s="298">
        <f t="shared" si="107"/>
        <v>3.4193177358111275E-2</v>
      </c>
      <c r="AH53" s="299">
        <v>152763.9587596363</v>
      </c>
      <c r="AI53" s="299">
        <v>15262.220537805333</v>
      </c>
      <c r="AJ53" s="251">
        <f t="shared" si="108"/>
        <v>137501.73822183098</v>
      </c>
      <c r="AK53" s="297">
        <v>2.6760000000000002</v>
      </c>
      <c r="AL53" s="298">
        <f t="shared" si="109"/>
        <v>1.1597038182320789E-2</v>
      </c>
      <c r="AM53" s="299">
        <v>152743.97133602574</v>
      </c>
      <c r="AN53" s="299">
        <v>14906.957405601472</v>
      </c>
      <c r="AO53" s="251">
        <f t="shared" si="110"/>
        <v>137837.01393042426</v>
      </c>
      <c r="AP53" s="297">
        <v>0.95760000000000034</v>
      </c>
      <c r="AQ53" s="298">
        <f t="shared" si="111"/>
        <v>4.7130112775626972E-3</v>
      </c>
      <c r="AR53" s="299">
        <v>147025.85630743517</v>
      </c>
      <c r="AS53" s="299">
        <v>652.16165413533838</v>
      </c>
      <c r="AT53" s="251">
        <f t="shared" si="112"/>
        <v>146373.69465329984</v>
      </c>
      <c r="AU53" s="324">
        <v>1.4328049999999992</v>
      </c>
      <c r="AV53" s="298">
        <f t="shared" si="113"/>
        <v>7.8308609886290868E-3</v>
      </c>
      <c r="AW53" s="299">
        <v>145555.1872027248</v>
      </c>
      <c r="AX53" s="299">
        <v>9008.3228352776623</v>
      </c>
      <c r="AY53" s="251">
        <f t="shared" si="114"/>
        <v>136546.86436744715</v>
      </c>
      <c r="AZ53" s="297">
        <v>1.5344999999999991</v>
      </c>
      <c r="BA53" s="298">
        <f t="shared" si="115"/>
        <v>1.9731620235564618E-2</v>
      </c>
      <c r="BB53" s="299">
        <v>151402.37210817862</v>
      </c>
      <c r="BC53" s="299">
        <v>12562.280873248623</v>
      </c>
      <c r="BD53" s="251">
        <f t="shared" si="116"/>
        <v>138840.09123493001</v>
      </c>
      <c r="BE53" s="297">
        <v>5.503495</v>
      </c>
      <c r="BF53" s="298">
        <f t="shared" si="117"/>
        <v>6.693822679156454E-2</v>
      </c>
      <c r="BG53" s="299">
        <v>151989.32859937192</v>
      </c>
      <c r="BH53" s="299">
        <v>32971.887863984615</v>
      </c>
      <c r="BI53" s="251">
        <f t="shared" si="118"/>
        <v>119017.4407353873</v>
      </c>
      <c r="BJ53" s="322"/>
      <c r="BK53" s="297">
        <v>1.8449999999999989</v>
      </c>
      <c r="BL53" s="298">
        <f t="shared" si="119"/>
        <v>2.381785344984496E-2</v>
      </c>
      <c r="BM53" s="299">
        <v>151583.82113821147</v>
      </c>
      <c r="BN53" s="299">
        <v>26798.059620596228</v>
      </c>
      <c r="BO53" s="251">
        <f t="shared" si="120"/>
        <v>124785.76151761523</v>
      </c>
      <c r="BP53" s="297">
        <v>1.2149999999999999</v>
      </c>
      <c r="BQ53" s="298">
        <f t="shared" si="121"/>
        <v>1.3944640351657409E-2</v>
      </c>
      <c r="BR53" s="299">
        <v>152406.18106995884</v>
      </c>
      <c r="BS53" s="299">
        <v>31282.139917695473</v>
      </c>
      <c r="BT53" s="251">
        <f t="shared" si="122"/>
        <v>121124.04115226337</v>
      </c>
      <c r="BU53" s="297">
        <f>'NR '!AV53</f>
        <v>1.7849999999999986</v>
      </c>
      <c r="BV53" s="298">
        <f t="shared" si="123"/>
        <v>1.3578227247949661E-2</v>
      </c>
      <c r="BW53" s="299">
        <f>'NR '!AX53</f>
        <v>151930.47058823536</v>
      </c>
      <c r="BX53" s="299">
        <v>32367.79831932778</v>
      </c>
      <c r="BY53" s="251">
        <f t="shared" si="124"/>
        <v>119562.67226890758</v>
      </c>
      <c r="BZ53" s="297">
        <f>'NR '!AY53</f>
        <v>1.0650000000000004</v>
      </c>
      <c r="CA53" s="298">
        <f t="shared" si="125"/>
        <v>8.5124766731162968E-3</v>
      </c>
      <c r="CB53" s="299">
        <f>'NR '!BA53</f>
        <v>151794.99530516422</v>
      </c>
      <c r="CC53" s="261">
        <v>31824.037558685439</v>
      </c>
      <c r="CD53" s="251">
        <f t="shared" si="126"/>
        <v>119970.95774647879</v>
      </c>
      <c r="CE53" s="249">
        <f>'NR '!BB53</f>
        <v>0.61650000000000016</v>
      </c>
      <c r="CF53" s="250">
        <f t="shared" si="127"/>
        <v>3.6078705047224048E-4</v>
      </c>
      <c r="CG53" s="261">
        <f>'NR '!BD53</f>
        <v>151903.03325223026</v>
      </c>
      <c r="CH53" s="261">
        <v>21263.682076236815</v>
      </c>
      <c r="CI53" s="251">
        <f t="shared" si="128"/>
        <v>130639.35117599345</v>
      </c>
      <c r="CJ53" s="249">
        <f>'NR '!BE53</f>
        <v>0.74749500000000024</v>
      </c>
      <c r="CK53" s="250">
        <f t="shared" si="129"/>
        <v>6.8868032305081459E-3</v>
      </c>
      <c r="CL53" s="261">
        <f>'NR '!BG53</f>
        <v>151857.32346035753</v>
      </c>
      <c r="CM53" s="261">
        <v>29993.939758794353</v>
      </c>
      <c r="CN53" s="251">
        <f t="shared" si="130"/>
        <v>121863.38370156317</v>
      </c>
      <c r="CO53" s="249">
        <f>'NR '!BH53</f>
        <v>0.66000000000000014</v>
      </c>
      <c r="CP53" s="250">
        <f t="shared" si="131"/>
        <v>3.5847434297288038E-3</v>
      </c>
      <c r="CQ53" s="261">
        <f>'NR '!BJ53</f>
        <v>152517.51515151511</v>
      </c>
      <c r="CR53" s="261">
        <v>2197.1060606060619</v>
      </c>
      <c r="CS53" s="251">
        <f t="shared" si="132"/>
        <v>150320.40909090906</v>
      </c>
      <c r="CT53" s="249">
        <v>0.16299999999999998</v>
      </c>
      <c r="CU53" s="250">
        <f t="shared" si="133"/>
        <v>7.9241820561323166E-4</v>
      </c>
      <c r="CV53" s="261">
        <v>151624.23312883437</v>
      </c>
      <c r="CW53" s="261">
        <v>-541.34969325154088</v>
      </c>
      <c r="CX53" s="251">
        <f t="shared" si="134"/>
        <v>152165.58282208591</v>
      </c>
      <c r="CY53" s="249">
        <v>0.105</v>
      </c>
      <c r="CZ53" s="250">
        <f t="shared" si="135"/>
        <v>5.1116891917713479E-4</v>
      </c>
      <c r="DA53" s="261">
        <v>152179.04761904763</v>
      </c>
      <c r="DB53" s="261">
        <v>-300.85714285713527</v>
      </c>
      <c r="DC53" s="251">
        <f t="shared" si="136"/>
        <v>152479.90476190476</v>
      </c>
      <c r="DD53" s="249">
        <f>'NR '!BQ53</f>
        <v>2.7270000000000008</v>
      </c>
      <c r="DE53" s="250">
        <f t="shared" si="137"/>
        <v>1.3194427509902365E-2</v>
      </c>
      <c r="DF53" s="261">
        <f>'NR '!BS53</f>
        <v>152358.23615694902</v>
      </c>
      <c r="DG53" s="261">
        <v>40116.321965529874</v>
      </c>
      <c r="DH53" s="251">
        <f t="shared" si="142"/>
        <v>112241.91419141914</v>
      </c>
      <c r="DI53" s="249">
        <f>'NR '!BT53</f>
        <v>0.23750000000000004</v>
      </c>
      <c r="DJ53" s="250">
        <f t="shared" si="139"/>
        <v>1.7778919621092672E-3</v>
      </c>
      <c r="DK53" s="261">
        <f>'NR '!BV53</f>
        <v>151816.46315789473</v>
      </c>
      <c r="DL53" s="261">
        <v>36085.894736842107</v>
      </c>
      <c r="DM53" s="251">
        <f t="shared" si="140"/>
        <v>115730.56842105262</v>
      </c>
      <c r="DN53" s="249"/>
      <c r="DO53" s="250">
        <f t="shared" si="143"/>
        <v>0</v>
      </c>
      <c r="DP53" s="261"/>
      <c r="DQ53" s="261"/>
      <c r="DR53" s="251">
        <f t="shared" si="141"/>
        <v>0</v>
      </c>
    </row>
    <row r="54" spans="1:122" s="301" customFormat="1">
      <c r="A54" s="319" t="s">
        <v>192</v>
      </c>
      <c r="B54" s="299"/>
      <c r="C54" s="298">
        <f t="shared" si="95"/>
        <v>0</v>
      </c>
      <c r="D54" s="299">
        <v>0</v>
      </c>
      <c r="E54" s="299"/>
      <c r="F54" s="251">
        <f t="shared" si="96"/>
        <v>0</v>
      </c>
      <c r="G54" s="297"/>
      <c r="H54" s="298">
        <f t="shared" si="97"/>
        <v>0</v>
      </c>
      <c r="I54" s="320">
        <v>0</v>
      </c>
      <c r="J54" s="299"/>
      <c r="K54" s="251">
        <f t="shared" si="98"/>
        <v>0</v>
      </c>
      <c r="L54" s="323"/>
      <c r="M54" s="298">
        <f t="shared" si="99"/>
        <v>0</v>
      </c>
      <c r="N54" s="299">
        <v>0</v>
      </c>
      <c r="O54" s="299"/>
      <c r="P54" s="251">
        <f t="shared" si="100"/>
        <v>0</v>
      </c>
      <c r="Q54" s="297">
        <v>1.6548000000000023</v>
      </c>
      <c r="R54" s="298">
        <f t="shared" si="101"/>
        <v>1.8597813846537692E-2</v>
      </c>
      <c r="S54" s="299">
        <v>139147.1245536544</v>
      </c>
      <c r="T54" s="299">
        <v>885.14727543378478</v>
      </c>
      <c r="U54" s="251">
        <f t="shared" si="102"/>
        <v>138261.97727822061</v>
      </c>
      <c r="V54" s="297">
        <v>7.123450000000016</v>
      </c>
      <c r="W54" s="298">
        <f t="shared" si="103"/>
        <v>7.8662762304221756E-2</v>
      </c>
      <c r="X54" s="299">
        <v>138812.16582223441</v>
      </c>
      <c r="Y54" s="299">
        <v>2066.7222520545574</v>
      </c>
      <c r="Z54" s="251">
        <f t="shared" si="104"/>
        <v>136745.44357017986</v>
      </c>
      <c r="AA54" s="324">
        <v>4.914050000000012</v>
      </c>
      <c r="AB54" s="298">
        <f t="shared" si="105"/>
        <v>4.7520900831457345E-2</v>
      </c>
      <c r="AC54" s="299">
        <v>138817.50590631005</v>
      </c>
      <c r="AD54" s="299">
        <v>1920.0425105370516</v>
      </c>
      <c r="AE54" s="251">
        <f t="shared" si="106"/>
        <v>136897.463395773</v>
      </c>
      <c r="AF54" s="324">
        <v>2.8944000000000063</v>
      </c>
      <c r="AG54" s="298">
        <f t="shared" si="107"/>
        <v>1.7736331997368737E-2</v>
      </c>
      <c r="AH54" s="299">
        <v>138675.16010723897</v>
      </c>
      <c r="AI54" s="299">
        <v>2590.1614892186358</v>
      </c>
      <c r="AJ54" s="251">
        <f t="shared" si="108"/>
        <v>136084.99861802033</v>
      </c>
      <c r="AK54" s="297">
        <v>2.231400000000002</v>
      </c>
      <c r="AL54" s="298">
        <f t="shared" si="109"/>
        <v>9.6702656950787107E-3</v>
      </c>
      <c r="AM54" s="299">
        <v>138504.25707664862</v>
      </c>
      <c r="AN54" s="299">
        <v>2983.0954740674924</v>
      </c>
      <c r="AO54" s="251">
        <f t="shared" si="110"/>
        <v>135521.16160258112</v>
      </c>
      <c r="AP54" s="297">
        <v>2.4768000000000021</v>
      </c>
      <c r="AQ54" s="298">
        <f t="shared" si="111"/>
        <v>1.2190044206628335E-2</v>
      </c>
      <c r="AR54" s="299">
        <v>138536.19993540042</v>
      </c>
      <c r="AS54" s="299">
        <v>3515.3706395348804</v>
      </c>
      <c r="AT54" s="251">
        <f t="shared" si="112"/>
        <v>135020.82929586555</v>
      </c>
      <c r="AU54" s="324">
        <v>1.4184000000000008</v>
      </c>
      <c r="AV54" s="298">
        <f t="shared" si="113"/>
        <v>7.7521318157540682E-3</v>
      </c>
      <c r="AW54" s="299">
        <v>138304.54032712895</v>
      </c>
      <c r="AX54" s="299">
        <v>4784.9055273547629</v>
      </c>
      <c r="AY54" s="251">
        <f t="shared" si="114"/>
        <v>133519.63479977418</v>
      </c>
      <c r="AZ54" s="297">
        <v>1.6947000000000008</v>
      </c>
      <c r="BA54" s="298">
        <f t="shared" si="115"/>
        <v>2.1791578242562001E-2</v>
      </c>
      <c r="BB54" s="299">
        <v>138186.56399362703</v>
      </c>
      <c r="BC54" s="299">
        <v>3266.2418127102123</v>
      </c>
      <c r="BD54" s="251">
        <f t="shared" si="116"/>
        <v>134920.32218091682</v>
      </c>
      <c r="BE54" s="297">
        <v>2.563200000000001</v>
      </c>
      <c r="BF54" s="298">
        <f t="shared" si="117"/>
        <v>3.1175836974892918E-2</v>
      </c>
      <c r="BG54" s="299">
        <v>137998.26388888891</v>
      </c>
      <c r="BH54" s="299">
        <v>2939.0371410736584</v>
      </c>
      <c r="BI54" s="251">
        <f t="shared" si="118"/>
        <v>135059.22674781524</v>
      </c>
      <c r="BJ54" s="322"/>
      <c r="BK54" s="297">
        <v>1.8135000000000012</v>
      </c>
      <c r="BL54" s="298">
        <f t="shared" si="119"/>
        <v>2.3411207171433003E-2</v>
      </c>
      <c r="BM54" s="299">
        <v>138127.90736145561</v>
      </c>
      <c r="BN54" s="299">
        <v>5202.2939068100295</v>
      </c>
      <c r="BO54" s="251">
        <f t="shared" si="120"/>
        <v>132925.61345464559</v>
      </c>
      <c r="BP54" s="297">
        <v>5.4504000000000028</v>
      </c>
      <c r="BQ54" s="298">
        <f t="shared" si="121"/>
        <v>6.255462368121284E-2</v>
      </c>
      <c r="BR54" s="299">
        <v>138096.12138558642</v>
      </c>
      <c r="BS54" s="299">
        <v>25880.694994862752</v>
      </c>
      <c r="BT54" s="251">
        <f t="shared" si="122"/>
        <v>112215.42639072367</v>
      </c>
      <c r="BU54" s="297">
        <f>'NR '!AV54</f>
        <v>0.81199999999999994</v>
      </c>
      <c r="BV54" s="298">
        <f t="shared" si="123"/>
        <v>6.1767621990673014E-3</v>
      </c>
      <c r="BW54" s="299">
        <f>'NR '!AX54</f>
        <v>138250.13546798029</v>
      </c>
      <c r="BX54" s="299">
        <v>22981.921182266011</v>
      </c>
      <c r="BY54" s="251">
        <f t="shared" si="124"/>
        <v>115268.21428571428</v>
      </c>
      <c r="BZ54" s="297">
        <f>'NR '!AY54</f>
        <v>0.23759999999999998</v>
      </c>
      <c r="CA54" s="298">
        <f t="shared" si="125"/>
        <v>1.8991215563684801E-3</v>
      </c>
      <c r="CB54" s="299">
        <f>'NR '!BA54</f>
        <v>138301.01010101015</v>
      </c>
      <c r="CC54" s="261">
        <v>24934.553872053875</v>
      </c>
      <c r="CD54" s="251">
        <f t="shared" si="126"/>
        <v>113366.45622895627</v>
      </c>
      <c r="CE54" s="249">
        <f>'NR '!BB54</f>
        <v>7.8299999999999995E-2</v>
      </c>
      <c r="CF54" s="250">
        <f t="shared" si="127"/>
        <v>4.5822588892094759E-5</v>
      </c>
      <c r="CG54" s="261">
        <f>'NR '!BD54</f>
        <v>138031.54533844188</v>
      </c>
      <c r="CH54" s="261">
        <v>9777.905491698597</v>
      </c>
      <c r="CI54" s="251">
        <f t="shared" si="128"/>
        <v>128253.63984674329</v>
      </c>
      <c r="CJ54" s="249">
        <f>'NR '!BE54</f>
        <v>3.5999999999999997E-2</v>
      </c>
      <c r="CK54" s="250">
        <f t="shared" si="129"/>
        <v>3.3167434738465561E-4</v>
      </c>
      <c r="CL54" s="261">
        <f>'NR '!BG54</f>
        <v>137972.50000000003</v>
      </c>
      <c r="CM54" s="261">
        <v>-2.5000000000000004</v>
      </c>
      <c r="CN54" s="251">
        <f t="shared" si="130"/>
        <v>137975.00000000003</v>
      </c>
      <c r="CO54" s="249">
        <f>'NR '!BH54</f>
        <v>5.04E-2</v>
      </c>
      <c r="CP54" s="250">
        <f t="shared" si="131"/>
        <v>2.7374404372474493E-4</v>
      </c>
      <c r="CQ54" s="261">
        <f>'NR '!BJ54</f>
        <v>137972.42063492062</v>
      </c>
      <c r="CR54" s="261">
        <v>2697.0238095238096</v>
      </c>
      <c r="CS54" s="251">
        <f t="shared" si="132"/>
        <v>135275.39682539681</v>
      </c>
      <c r="CT54" s="249">
        <v>1.44E-2</v>
      </c>
      <c r="CU54" s="250">
        <f t="shared" si="133"/>
        <v>7.000504393147569E-5</v>
      </c>
      <c r="CV54" s="261">
        <v>137972.22222222222</v>
      </c>
      <c r="CW54" s="261">
        <v>-2.7777777777777781</v>
      </c>
      <c r="CX54" s="251">
        <f t="shared" si="134"/>
        <v>137975</v>
      </c>
      <c r="CY54" s="249">
        <v>4.3200000000000002E-2</v>
      </c>
      <c r="CZ54" s="250">
        <f t="shared" si="135"/>
        <v>2.103094981757355E-4</v>
      </c>
      <c r="DA54" s="261">
        <v>138079.62962962964</v>
      </c>
      <c r="DB54" s="261">
        <v>522.22222222222229</v>
      </c>
      <c r="DC54" s="251">
        <f t="shared" si="136"/>
        <v>137557.40740740742</v>
      </c>
      <c r="DD54" s="249">
        <f>'NR '!BQ54</f>
        <v>1.44E-2</v>
      </c>
      <c r="DE54" s="250">
        <f t="shared" si="137"/>
        <v>6.967354460674514E-5</v>
      </c>
      <c r="DF54" s="261">
        <f>'NR '!BS54</f>
        <v>137972.22222222222</v>
      </c>
      <c r="DG54" s="261">
        <v>3147.2222222222222</v>
      </c>
      <c r="DH54" s="251">
        <f t="shared" si="142"/>
        <v>134825</v>
      </c>
      <c r="DI54" s="249">
        <f>'NR '!BT54</f>
        <v>1.8936000000000006</v>
      </c>
      <c r="DJ54" s="250">
        <f t="shared" si="139"/>
        <v>1.4175226187158354E-2</v>
      </c>
      <c r="DK54" s="261">
        <f>'NR '!BV54</f>
        <v>137972.48626953934</v>
      </c>
      <c r="DL54" s="261">
        <v>1590.6316011829324</v>
      </c>
      <c r="DM54" s="251">
        <f t="shared" si="140"/>
        <v>136381.85466835642</v>
      </c>
      <c r="DN54" s="249">
        <v>0.22320000000000012</v>
      </c>
      <c r="DO54" s="250">
        <f t="shared" si="143"/>
        <v>1.9692010601924459E-3</v>
      </c>
      <c r="DP54" s="261">
        <v>138119.2204301075</v>
      </c>
      <c r="DQ54" s="261">
        <v>10887.455197132609</v>
      </c>
      <c r="DR54" s="251">
        <f t="shared" si="141"/>
        <v>127231.76523297488</v>
      </c>
    </row>
    <row r="55" spans="1:122" s="301" customFormat="1">
      <c r="A55" s="319" t="s">
        <v>193</v>
      </c>
      <c r="B55" s="299"/>
      <c r="C55" s="298"/>
      <c r="D55" s="299"/>
      <c r="E55" s="299"/>
      <c r="F55" s="251">
        <f t="shared" si="96"/>
        <v>0</v>
      </c>
      <c r="G55" s="297"/>
      <c r="H55" s="298"/>
      <c r="I55" s="320"/>
      <c r="J55" s="299"/>
      <c r="K55" s="300"/>
      <c r="L55" s="323"/>
      <c r="M55" s="298"/>
      <c r="N55" s="299"/>
      <c r="O55" s="299"/>
      <c r="P55" s="300"/>
      <c r="Q55" s="297"/>
      <c r="R55" s="298"/>
      <c r="S55" s="299"/>
      <c r="T55" s="299"/>
      <c r="U55" s="300"/>
      <c r="V55" s="297"/>
      <c r="W55" s="298"/>
      <c r="X55" s="299"/>
      <c r="Y55" s="299"/>
      <c r="Z55" s="300"/>
      <c r="AA55" s="324"/>
      <c r="AB55" s="298"/>
      <c r="AC55" s="299"/>
      <c r="AD55" s="299"/>
      <c r="AE55" s="300"/>
      <c r="AF55" s="324"/>
      <c r="AG55" s="298"/>
      <c r="AH55" s="299"/>
      <c r="AI55" s="299"/>
      <c r="AJ55" s="300"/>
      <c r="AK55" s="297"/>
      <c r="AL55" s="298"/>
      <c r="AM55" s="299"/>
      <c r="AN55" s="299"/>
      <c r="AO55" s="300"/>
      <c r="AP55" s="297"/>
      <c r="AQ55" s="298"/>
      <c r="AR55" s="299"/>
      <c r="AS55" s="299"/>
      <c r="AT55" s="300"/>
      <c r="AU55" s="324"/>
      <c r="AV55" s="298"/>
      <c r="AW55" s="299"/>
      <c r="AX55" s="299"/>
      <c r="AY55" s="300"/>
      <c r="AZ55" s="297"/>
      <c r="BA55" s="298"/>
      <c r="BB55" s="299"/>
      <c r="BC55" s="299"/>
      <c r="BD55" s="300"/>
      <c r="BE55" s="297"/>
      <c r="BF55" s="298"/>
      <c r="BG55" s="299"/>
      <c r="BH55" s="299"/>
      <c r="BI55" s="300"/>
      <c r="BJ55" s="322"/>
      <c r="BK55" s="297"/>
      <c r="BL55" s="298"/>
      <c r="BM55" s="299"/>
      <c r="BN55" s="299"/>
      <c r="BO55" s="300"/>
      <c r="BP55" s="297">
        <v>4.9559999999999995</v>
      </c>
      <c r="BQ55" s="298">
        <f t="shared" si="121"/>
        <v>5.6880360150464299E-2</v>
      </c>
      <c r="BR55" s="299">
        <v>81648.765133171924</v>
      </c>
      <c r="BS55" s="299">
        <v>1397.0117029862786</v>
      </c>
      <c r="BT55" s="251">
        <f t="shared" si="122"/>
        <v>80251.75343018565</v>
      </c>
      <c r="BU55" s="297">
        <f>'NR '!AV55</f>
        <v>4.3250199999999923</v>
      </c>
      <c r="BV55" s="298">
        <f t="shared" si="123"/>
        <v>3.2899778382032036E-2</v>
      </c>
      <c r="BW55" s="299">
        <f>'NR '!AX55</f>
        <v>81673.573763820881</v>
      </c>
      <c r="BX55" s="299">
        <v>1197.4511100526724</v>
      </c>
      <c r="BY55" s="251">
        <f t="shared" si="124"/>
        <v>80476.122653768209</v>
      </c>
      <c r="BZ55" s="297">
        <f>'NR '!AY55</f>
        <v>0.79590000000000027</v>
      </c>
      <c r="CA55" s="298">
        <f t="shared" si="125"/>
        <v>6.3615776376838131E-3</v>
      </c>
      <c r="CB55" s="299">
        <f>'NR '!BA55</f>
        <v>84635.04209071488</v>
      </c>
      <c r="CC55" s="261">
        <v>545.48310089207166</v>
      </c>
      <c r="CD55" s="251">
        <f t="shared" si="126"/>
        <v>84089.558989822806</v>
      </c>
      <c r="CE55" s="249">
        <f>'NR '!BB55</f>
        <v>11.647999999999973</v>
      </c>
      <c r="CF55" s="250">
        <f t="shared" si="127"/>
        <v>6.8166221636669034E-3</v>
      </c>
      <c r="CG55" s="261">
        <f>'NR '!BD55</f>
        <v>86345.045501374014</v>
      </c>
      <c r="CH55" s="261">
        <v>1553.3413461538491</v>
      </c>
      <c r="CI55" s="251">
        <f t="shared" si="128"/>
        <v>84791.70415522017</v>
      </c>
      <c r="CJ55" s="249">
        <f>'NR '!BE55</f>
        <v>11.18445999999998</v>
      </c>
      <c r="CK55" s="250">
        <f t="shared" si="129"/>
        <v>0.1030444019819383</v>
      </c>
      <c r="CL55" s="261">
        <f>'NR '!BG55</f>
        <v>84592.027688417977</v>
      </c>
      <c r="CM55" s="261">
        <v>-350.35039688997097</v>
      </c>
      <c r="CN55" s="251">
        <f t="shared" si="130"/>
        <v>84942.378085307952</v>
      </c>
      <c r="CO55" s="249">
        <f>'NR '!BH55</f>
        <v>10.288739999999978</v>
      </c>
      <c r="CP55" s="250">
        <f t="shared" si="131"/>
        <v>5.5882565326042188E-2</v>
      </c>
      <c r="CQ55" s="261">
        <f>'NR '!BJ55</f>
        <v>84656.257228776652</v>
      </c>
      <c r="CR55" s="261">
        <v>-1765.2035137441596</v>
      </c>
      <c r="CS55" s="251">
        <f t="shared" si="132"/>
        <v>86421.460742520809</v>
      </c>
      <c r="CT55" s="249">
        <v>7.0979999999999972</v>
      </c>
      <c r="CU55" s="250">
        <f t="shared" si="133"/>
        <v>3.4506652904556546E-2</v>
      </c>
      <c r="CV55" s="261">
        <v>84595.839673147522</v>
      </c>
      <c r="CW55" s="261">
        <v>-1720.1324316708965</v>
      </c>
      <c r="CX55" s="251">
        <f t="shared" si="134"/>
        <v>86315.972104818415</v>
      </c>
      <c r="CY55" s="249">
        <v>6.9859999999999971</v>
      </c>
      <c r="CZ55" s="250">
        <f t="shared" si="135"/>
        <v>3.4009772089252023E-2</v>
      </c>
      <c r="DA55" s="261">
        <v>87672.679645004537</v>
      </c>
      <c r="DB55" s="261">
        <v>1116.8365302032639</v>
      </c>
      <c r="DC55" s="251">
        <f t="shared" si="136"/>
        <v>86555.843114801275</v>
      </c>
      <c r="DD55" s="249">
        <f>'NR '!BQ55</f>
        <v>24.270819999999958</v>
      </c>
      <c r="DE55" s="250">
        <f t="shared" si="137"/>
        <v>0.11743292082724162</v>
      </c>
      <c r="DF55" s="261">
        <f>'NR '!BS55</f>
        <v>87605.907422987744</v>
      </c>
      <c r="DG55" s="261">
        <v>1009.8480397448469</v>
      </c>
      <c r="DH55" s="251">
        <f t="shared" si="142"/>
        <v>86596.0593832429</v>
      </c>
      <c r="DI55" s="249">
        <f>'NR '!BT55</f>
        <v>4.1569499999999948</v>
      </c>
      <c r="DJ55" s="250">
        <f t="shared" si="139"/>
        <v>3.1118349439537299E-2</v>
      </c>
      <c r="DK55" s="261">
        <f>'NR '!BV55</f>
        <v>87752.698492885625</v>
      </c>
      <c r="DL55" s="261">
        <v>892.16613141846892</v>
      </c>
      <c r="DM55" s="251">
        <f t="shared" si="140"/>
        <v>86860.532361467151</v>
      </c>
      <c r="DN55" s="249">
        <v>3.345999999999997</v>
      </c>
      <c r="DO55" s="250">
        <f t="shared" si="143"/>
        <v>2.9520370732096388E-2</v>
      </c>
      <c r="DP55" s="261">
        <v>87597.13687985664</v>
      </c>
      <c r="DQ55" s="261">
        <v>1428.3054393305456</v>
      </c>
      <c r="DR55" s="251">
        <f t="shared" si="141"/>
        <v>86168.83144052609</v>
      </c>
    </row>
    <row r="56" spans="1:122" s="301" customFormat="1">
      <c r="A56" s="319" t="s">
        <v>194</v>
      </c>
      <c r="B56" s="299"/>
      <c r="C56" s="298"/>
      <c r="D56" s="299"/>
      <c r="E56" s="299"/>
      <c r="F56" s="251">
        <f t="shared" si="96"/>
        <v>0</v>
      </c>
      <c r="G56" s="297"/>
      <c r="H56" s="298"/>
      <c r="I56" s="320"/>
      <c r="J56" s="299"/>
      <c r="K56" s="300"/>
      <c r="L56" s="323"/>
      <c r="M56" s="298"/>
      <c r="N56" s="299"/>
      <c r="O56" s="299"/>
      <c r="P56" s="300"/>
      <c r="Q56" s="297"/>
      <c r="R56" s="298"/>
      <c r="S56" s="299"/>
      <c r="T56" s="299"/>
      <c r="U56" s="300"/>
      <c r="V56" s="297"/>
      <c r="W56" s="298"/>
      <c r="X56" s="299"/>
      <c r="Y56" s="299"/>
      <c r="Z56" s="300"/>
      <c r="AA56" s="324"/>
      <c r="AB56" s="298"/>
      <c r="AC56" s="299"/>
      <c r="AD56" s="299"/>
      <c r="AE56" s="300"/>
      <c r="AF56" s="324"/>
      <c r="AG56" s="298"/>
      <c r="AH56" s="299"/>
      <c r="AI56" s="299"/>
      <c r="AJ56" s="300"/>
      <c r="AK56" s="297"/>
      <c r="AL56" s="298"/>
      <c r="AM56" s="299"/>
      <c r="AN56" s="299"/>
      <c r="AO56" s="300"/>
      <c r="AP56" s="297"/>
      <c r="AQ56" s="298"/>
      <c r="AR56" s="299"/>
      <c r="AS56" s="299"/>
      <c r="AT56" s="300"/>
      <c r="AU56" s="324"/>
      <c r="AV56" s="298"/>
      <c r="AW56" s="299"/>
      <c r="AX56" s="299"/>
      <c r="AY56" s="300"/>
      <c r="AZ56" s="297"/>
      <c r="BA56" s="298"/>
      <c r="BB56" s="299"/>
      <c r="BC56" s="299"/>
      <c r="BD56" s="300"/>
      <c r="BE56" s="297"/>
      <c r="BF56" s="298"/>
      <c r="BG56" s="299"/>
      <c r="BH56" s="299"/>
      <c r="BI56" s="300"/>
      <c r="BJ56" s="322"/>
      <c r="BK56" s="297"/>
      <c r="BL56" s="298"/>
      <c r="BM56" s="299"/>
      <c r="BN56" s="299"/>
      <c r="BO56" s="300"/>
      <c r="BP56" s="297">
        <v>4.7879999999999994</v>
      </c>
      <c r="BQ56" s="298">
        <f t="shared" si="121"/>
        <v>5.4952212348753644E-2</v>
      </c>
      <c r="BR56" s="299">
        <v>81649.060150375954</v>
      </c>
      <c r="BS56" s="299">
        <v>1318.3291562238926</v>
      </c>
      <c r="BT56" s="251">
        <f t="shared" si="122"/>
        <v>80330.730994152065</v>
      </c>
      <c r="BU56" s="297">
        <f>'NR '!AV56</f>
        <v>4.6050199999999979</v>
      </c>
      <c r="BV56" s="298">
        <f t="shared" si="123"/>
        <v>3.5029696381710461E-2</v>
      </c>
      <c r="BW56" s="299">
        <f>'NR '!AX56</f>
        <v>81671.551915083983</v>
      </c>
      <c r="BX56" s="299">
        <v>1096.9311751089035</v>
      </c>
      <c r="BY56" s="251">
        <f t="shared" si="124"/>
        <v>80574.620739975086</v>
      </c>
      <c r="BZ56" s="297">
        <f>'NR '!AY56</f>
        <v>11.505899999999995</v>
      </c>
      <c r="CA56" s="298">
        <f t="shared" si="125"/>
        <v>9.1965920519444813E-2</v>
      </c>
      <c r="CB56" s="299">
        <f>'NR '!BA56</f>
        <v>84716.301201992115</v>
      </c>
      <c r="CC56" s="261">
        <v>1400.8526060542854</v>
      </c>
      <c r="CD56" s="251">
        <f t="shared" si="126"/>
        <v>83315.448595937836</v>
      </c>
      <c r="CE56" s="249">
        <f>'NR '!BB56</f>
        <v>12.248949999999976</v>
      </c>
      <c r="CF56" s="250">
        <f t="shared" si="127"/>
        <v>7.1683090703681101E-3</v>
      </c>
      <c r="CG56" s="261">
        <f>'NR '!BD56</f>
        <v>86248.918478727079</v>
      </c>
      <c r="CH56" s="261">
        <v>1466.5330497716152</v>
      </c>
      <c r="CI56" s="251">
        <f t="shared" si="128"/>
        <v>84782.385428955458</v>
      </c>
      <c r="CJ56" s="249">
        <f>'NR '!BE56</f>
        <v>8.8884599999999931</v>
      </c>
      <c r="CK56" s="250">
        <f t="shared" si="129"/>
        <v>8.1890949159850387E-2</v>
      </c>
      <c r="CL56" s="261">
        <f>'NR '!BG56</f>
        <v>84614.713909946382</v>
      </c>
      <c r="CM56" s="261">
        <v>-555.80044237134371</v>
      </c>
      <c r="CN56" s="251">
        <f t="shared" si="130"/>
        <v>85170.514352317725</v>
      </c>
      <c r="CO56" s="249">
        <f>'NR '!BH56</f>
        <v>9.6587399999999857</v>
      </c>
      <c r="CP56" s="250">
        <f t="shared" si="131"/>
        <v>5.2460764779482923E-2</v>
      </c>
      <c r="CQ56" s="261">
        <f>'NR '!BJ56</f>
        <v>84687.696324779739</v>
      </c>
      <c r="CR56" s="261">
        <v>-1829.7966401414726</v>
      </c>
      <c r="CS56" s="251">
        <f t="shared" si="132"/>
        <v>86517.492964921214</v>
      </c>
      <c r="CT56" s="249">
        <v>7.1679999999999975</v>
      </c>
      <c r="CU56" s="250">
        <f t="shared" si="133"/>
        <v>3.4846955201445665E-2</v>
      </c>
      <c r="CV56" s="261">
        <v>84591.247209821609</v>
      </c>
      <c r="CW56" s="261">
        <v>-1762.9506138392883</v>
      </c>
      <c r="CX56" s="251">
        <f t="shared" si="134"/>
        <v>86354.197823660899</v>
      </c>
      <c r="CY56" s="249">
        <v>11.269999999999982</v>
      </c>
      <c r="CZ56" s="250">
        <f t="shared" si="135"/>
        <v>5.4865463991679055E-2</v>
      </c>
      <c r="DA56" s="261">
        <v>87667.980479148318</v>
      </c>
      <c r="DB56" s="261">
        <v>1061.9086069210307</v>
      </c>
      <c r="DC56" s="251">
        <f t="shared" si="136"/>
        <v>86606.071872227287</v>
      </c>
      <c r="DD56" s="249">
        <f>'NR '!BQ56</f>
        <v>28.389479999999953</v>
      </c>
      <c r="DE56" s="250">
        <f t="shared" si="137"/>
        <v>0.13736081257932611</v>
      </c>
      <c r="DF56" s="261">
        <f>'NR '!BS56</f>
        <v>87619.591834722014</v>
      </c>
      <c r="DG56" s="261">
        <v>995.04041637959006</v>
      </c>
      <c r="DH56" s="251">
        <f t="shared" si="142"/>
        <v>86624.551418342424</v>
      </c>
      <c r="DI56" s="249">
        <f>'NR '!BT56</f>
        <v>8.078280000000003</v>
      </c>
      <c r="DJ56" s="250">
        <f t="shared" si="139"/>
        <v>6.0472880335444443E-2</v>
      </c>
      <c r="DK56" s="261">
        <f>'NR '!BV56</f>
        <v>87626.462563812995</v>
      </c>
      <c r="DL56" s="261">
        <v>1072.3990750506287</v>
      </c>
      <c r="DM56" s="251">
        <f t="shared" si="140"/>
        <v>86554.06348876236</v>
      </c>
      <c r="DN56" s="249">
        <v>0.93800000000000039</v>
      </c>
      <c r="DO56" s="250">
        <f t="shared" si="143"/>
        <v>8.2755851006295431E-3</v>
      </c>
      <c r="DP56" s="261">
        <v>87326.11940298503</v>
      </c>
      <c r="DQ56" s="261">
        <v>718.12366737739831</v>
      </c>
      <c r="DR56" s="251">
        <f t="shared" si="141"/>
        <v>86607.995735607634</v>
      </c>
    </row>
    <row r="57" spans="1:122" s="301" customFormat="1">
      <c r="A57" s="319" t="s">
        <v>195</v>
      </c>
      <c r="B57" s="299"/>
      <c r="C57" s="298"/>
      <c r="D57" s="299"/>
      <c r="E57" s="299"/>
      <c r="F57" s="251">
        <f t="shared" si="96"/>
        <v>0</v>
      </c>
      <c r="G57" s="297"/>
      <c r="H57" s="298"/>
      <c r="I57" s="320"/>
      <c r="J57" s="299"/>
      <c r="K57" s="300"/>
      <c r="L57" s="323"/>
      <c r="M57" s="298"/>
      <c r="N57" s="299"/>
      <c r="O57" s="299"/>
      <c r="P57" s="300"/>
      <c r="Q57" s="297"/>
      <c r="R57" s="298"/>
      <c r="S57" s="299"/>
      <c r="T57" s="299"/>
      <c r="U57" s="300"/>
      <c r="V57" s="297"/>
      <c r="W57" s="298"/>
      <c r="X57" s="299"/>
      <c r="Y57" s="299"/>
      <c r="Z57" s="300"/>
      <c r="AA57" s="324"/>
      <c r="AB57" s="298"/>
      <c r="AC57" s="299"/>
      <c r="AD57" s="299"/>
      <c r="AE57" s="300"/>
      <c r="AF57" s="324"/>
      <c r="AG57" s="298"/>
      <c r="AH57" s="299"/>
      <c r="AI57" s="299"/>
      <c r="AJ57" s="300"/>
      <c r="AK57" s="297"/>
      <c r="AL57" s="298"/>
      <c r="AM57" s="299"/>
      <c r="AN57" s="299"/>
      <c r="AO57" s="300"/>
      <c r="AP57" s="297"/>
      <c r="AQ57" s="298"/>
      <c r="AR57" s="299"/>
      <c r="AS57" s="299"/>
      <c r="AT57" s="300"/>
      <c r="AU57" s="324"/>
      <c r="AV57" s="298"/>
      <c r="AW57" s="299"/>
      <c r="AX57" s="299"/>
      <c r="AY57" s="300"/>
      <c r="AZ57" s="297"/>
      <c r="BA57" s="298"/>
      <c r="BB57" s="299"/>
      <c r="BC57" s="299"/>
      <c r="BD57" s="300"/>
      <c r="BE57" s="297"/>
      <c r="BF57" s="298"/>
      <c r="BG57" s="299"/>
      <c r="BH57" s="299"/>
      <c r="BI57" s="300"/>
      <c r="BJ57" s="322"/>
      <c r="BK57" s="297"/>
      <c r="BL57" s="298"/>
      <c r="BM57" s="299"/>
      <c r="BN57" s="299"/>
      <c r="BO57" s="300"/>
      <c r="BP57" s="297">
        <v>4.7879999999999994</v>
      </c>
      <c r="BQ57" s="298">
        <f t="shared" si="121"/>
        <v>5.4952212348753644E-2</v>
      </c>
      <c r="BR57" s="299">
        <v>81649.064327485394</v>
      </c>
      <c r="BS57" s="299">
        <v>1331.7940685045953</v>
      </c>
      <c r="BT57" s="251">
        <f t="shared" si="122"/>
        <v>80317.270258980803</v>
      </c>
      <c r="BU57" s="297">
        <f>'NR '!AV57</f>
        <v>4.9270199999999953</v>
      </c>
      <c r="BV57" s="298">
        <f t="shared" si="123"/>
        <v>3.7479102081340573E-2</v>
      </c>
      <c r="BW57" s="299">
        <f>'NR '!AX57</f>
        <v>81661.933582571262</v>
      </c>
      <c r="BX57" s="299">
        <v>1234.0299004266278</v>
      </c>
      <c r="BY57" s="251">
        <f t="shared" si="124"/>
        <v>80427.903682144635</v>
      </c>
      <c r="BZ57" s="297">
        <f>'NR '!AY57</f>
        <v>4.078199999999998</v>
      </c>
      <c r="CA57" s="298">
        <f t="shared" si="125"/>
        <v>3.2596790956152914E-2</v>
      </c>
      <c r="CB57" s="299">
        <f>'NR '!BA57</f>
        <v>84583.926732382053</v>
      </c>
      <c r="CC57" s="261">
        <v>1540.3486832426081</v>
      </c>
      <c r="CD57" s="251">
        <f t="shared" si="126"/>
        <v>83043.57804913944</v>
      </c>
      <c r="CE57" s="249">
        <f>'NR '!BB57</f>
        <v>10.919999999999977</v>
      </c>
      <c r="CF57" s="250">
        <f t="shared" si="127"/>
        <v>6.3905832784377234E-3</v>
      </c>
      <c r="CG57" s="261">
        <f>'NR '!BD57</f>
        <v>86192.869047619417</v>
      </c>
      <c r="CH57" s="261">
        <v>1397.7051282051314</v>
      </c>
      <c r="CI57" s="251">
        <f t="shared" si="128"/>
        <v>84795.163919414292</v>
      </c>
      <c r="CJ57" s="249">
        <f>'NR '!BE57</f>
        <v>9.9524599999999914</v>
      </c>
      <c r="CK57" s="250">
        <f t="shared" si="129"/>
        <v>9.1693768760330197E-2</v>
      </c>
      <c r="CL57" s="261">
        <f>'NR '!BG57</f>
        <v>84616.216493208936</v>
      </c>
      <c r="CM57" s="261">
        <v>-348.36211348751954</v>
      </c>
      <c r="CN57" s="251">
        <f t="shared" si="130"/>
        <v>84964.57860669645</v>
      </c>
      <c r="CO57" s="249">
        <f>'NR '!BH57</f>
        <v>10.484739999999988</v>
      </c>
      <c r="CP57" s="250">
        <f t="shared" si="131"/>
        <v>5.6947125496082919E-2</v>
      </c>
      <c r="CQ57" s="261">
        <f>'NR '!BJ57</f>
        <v>84675.665777120172</v>
      </c>
      <c r="CR57" s="261">
        <v>-1765.5774010609769</v>
      </c>
      <c r="CS57" s="251">
        <f t="shared" si="132"/>
        <v>86441.243178181147</v>
      </c>
      <c r="CT57" s="249">
        <v>8.2739999999999796</v>
      </c>
      <c r="CU57" s="250">
        <f t="shared" si="133"/>
        <v>4.0223731492293642E-2</v>
      </c>
      <c r="CV57" s="261">
        <v>84663.785351704573</v>
      </c>
      <c r="CW57" s="261">
        <v>-1897.7604544355904</v>
      </c>
      <c r="CX57" s="251">
        <f t="shared" si="134"/>
        <v>86561.545806140159</v>
      </c>
      <c r="CY57" s="249">
        <v>10.023999999999988</v>
      </c>
      <c r="CZ57" s="250">
        <f t="shared" si="135"/>
        <v>4.8799592817443754E-2</v>
      </c>
      <c r="DA57" s="261">
        <v>87727.736432561942</v>
      </c>
      <c r="DB57" s="261">
        <v>1050.7661612130898</v>
      </c>
      <c r="DC57" s="251">
        <f t="shared" si="136"/>
        <v>86676.970271348851</v>
      </c>
      <c r="DD57" s="249">
        <f>'NR '!BQ57</f>
        <v>20.520359999999954</v>
      </c>
      <c r="DE57" s="250">
        <f t="shared" si="137"/>
        <v>9.9286542903226777E-2</v>
      </c>
      <c r="DF57" s="261">
        <f>'NR '!BS57</f>
        <v>87636.389420068765</v>
      </c>
      <c r="DG57" s="261">
        <v>1068.3530893220216</v>
      </c>
      <c r="DH57" s="251">
        <f t="shared" si="142"/>
        <v>86568.036330746749</v>
      </c>
      <c r="DI57" s="249">
        <f>'NR '!BT57</f>
        <v>4.9286999999999992</v>
      </c>
      <c r="DJ57" s="250">
        <f t="shared" si="139"/>
        <v>3.6895562583780815E-2</v>
      </c>
      <c r="DK57" s="261">
        <f>'NR '!BV57</f>
        <v>87625.990626331593</v>
      </c>
      <c r="DL57" s="261">
        <v>1034.2362083307974</v>
      </c>
      <c r="DM57" s="251">
        <f t="shared" si="140"/>
        <v>86591.754418000797</v>
      </c>
      <c r="DN57" s="249">
        <v>0.6020000000000002</v>
      </c>
      <c r="DO57" s="250">
        <f t="shared" si="143"/>
        <v>5.3111964078667211E-3</v>
      </c>
      <c r="DP57" s="261">
        <v>87530.282392026551</v>
      </c>
      <c r="DQ57" s="261">
        <v>930.44850498338837</v>
      </c>
      <c r="DR57" s="251">
        <f t="shared" si="141"/>
        <v>86599.833887043162</v>
      </c>
    </row>
    <row r="58" spans="1:122" s="301" customFormat="1">
      <c r="A58" s="319" t="s">
        <v>206</v>
      </c>
      <c r="B58" s="299"/>
      <c r="C58" s="298"/>
      <c r="D58" s="299"/>
      <c r="E58" s="299"/>
      <c r="F58" s="251">
        <f t="shared" si="96"/>
        <v>0</v>
      </c>
      <c r="G58" s="297"/>
      <c r="H58" s="298"/>
      <c r="I58" s="320"/>
      <c r="J58" s="299"/>
      <c r="K58" s="300"/>
      <c r="L58" s="323"/>
      <c r="M58" s="298"/>
      <c r="N58" s="299"/>
      <c r="O58" s="299"/>
      <c r="P58" s="300"/>
      <c r="Q58" s="297"/>
      <c r="R58" s="298"/>
      <c r="S58" s="299"/>
      <c r="T58" s="299"/>
      <c r="U58" s="300"/>
      <c r="V58" s="297"/>
      <c r="W58" s="298"/>
      <c r="X58" s="299"/>
      <c r="Y58" s="299"/>
      <c r="Z58" s="300"/>
      <c r="AA58" s="324"/>
      <c r="AB58" s="298"/>
      <c r="AC58" s="299"/>
      <c r="AD58" s="299"/>
      <c r="AE58" s="300"/>
      <c r="AF58" s="324"/>
      <c r="AG58" s="298"/>
      <c r="AH58" s="299"/>
      <c r="AI58" s="299"/>
      <c r="AJ58" s="300"/>
      <c r="AK58" s="297"/>
      <c r="AL58" s="298"/>
      <c r="AM58" s="299"/>
      <c r="AN58" s="299"/>
      <c r="AO58" s="300"/>
      <c r="AP58" s="297"/>
      <c r="AQ58" s="298"/>
      <c r="AR58" s="299"/>
      <c r="AS58" s="299"/>
      <c r="AT58" s="300"/>
      <c r="AU58" s="324"/>
      <c r="AV58" s="298"/>
      <c r="AW58" s="299"/>
      <c r="AX58" s="299"/>
      <c r="AY58" s="300"/>
      <c r="AZ58" s="297"/>
      <c r="BA58" s="298"/>
      <c r="BB58" s="299"/>
      <c r="BC58" s="299"/>
      <c r="BD58" s="300"/>
      <c r="BE58" s="297"/>
      <c r="BF58" s="298"/>
      <c r="BG58" s="299"/>
      <c r="BH58" s="299"/>
      <c r="BI58" s="300"/>
      <c r="BJ58" s="322"/>
      <c r="BK58" s="297"/>
      <c r="BL58" s="298"/>
      <c r="BM58" s="299"/>
      <c r="BN58" s="299"/>
      <c r="BO58" s="300"/>
      <c r="BP58" s="297"/>
      <c r="BQ58" s="298"/>
      <c r="BR58" s="299"/>
      <c r="BS58" s="299"/>
      <c r="BT58" s="300"/>
      <c r="BU58" s="297">
        <f>'NR '!AV58</f>
        <v>2.37</v>
      </c>
      <c r="BV58" s="298">
        <f t="shared" si="123"/>
        <v>1.8028234497277716E-2</v>
      </c>
      <c r="BW58" s="299">
        <f>'NR '!AX58</f>
        <v>130043.91983122365</v>
      </c>
      <c r="BX58" s="299">
        <v>29862.624472573836</v>
      </c>
      <c r="BY58" s="251">
        <f t="shared" si="124"/>
        <v>100181.29535864982</v>
      </c>
      <c r="BZ58" s="297">
        <f>'NR '!AY58</f>
        <v>7.3924999999999903</v>
      </c>
      <c r="CA58" s="298">
        <f t="shared" si="125"/>
        <v>5.9087778221607629E-2</v>
      </c>
      <c r="CB58" s="299">
        <f>'NR '!BA58</f>
        <v>102093.01589448776</v>
      </c>
      <c r="CC58" s="261">
        <v>743.89448765640952</v>
      </c>
      <c r="CD58" s="251">
        <f t="shared" si="126"/>
        <v>101349.12140683136</v>
      </c>
      <c r="CE58" s="249">
        <f>'NR '!BB58</f>
        <v>7.4374999999999893</v>
      </c>
      <c r="CF58" s="250">
        <f t="shared" si="127"/>
        <v>4.3525607265000547E-3</v>
      </c>
      <c r="CG58" s="261">
        <f>'NR '!BD58</f>
        <v>101718.48470588245</v>
      </c>
      <c r="CH58" s="261">
        <v>1010.5317647058837</v>
      </c>
      <c r="CI58" s="251">
        <f t="shared" si="128"/>
        <v>100707.95294117657</v>
      </c>
      <c r="CJ58" s="249">
        <f>'NR '!BE58</f>
        <v>5.8759999999999986</v>
      </c>
      <c r="CK58" s="250">
        <f t="shared" si="129"/>
        <v>5.4136624034228781E-2</v>
      </c>
      <c r="CL58" s="261">
        <f>'NR '!BG58</f>
        <v>101678.00204220552</v>
      </c>
      <c r="CM58" s="261">
        <v>-785.16507828454939</v>
      </c>
      <c r="CN58" s="251">
        <f t="shared" si="130"/>
        <v>102463.16712049008</v>
      </c>
      <c r="CO58" s="249">
        <f>'NR '!BH58</f>
        <v>7.4229999999999929</v>
      </c>
      <c r="CP58" s="250">
        <f t="shared" si="131"/>
        <v>4.0317500725571026E-2</v>
      </c>
      <c r="CQ58" s="261">
        <f>'NR '!BJ58</f>
        <v>101671.40239795236</v>
      </c>
      <c r="CR58" s="261">
        <v>-3925.6217162872199</v>
      </c>
      <c r="CS58" s="251">
        <f t="shared" si="132"/>
        <v>105597.02411423958</v>
      </c>
      <c r="CT58" s="249">
        <v>4.3499999999999988</v>
      </c>
      <c r="CU58" s="250">
        <f t="shared" si="133"/>
        <v>2.1147357020966609E-2</v>
      </c>
      <c r="CV58" s="261">
        <v>101637.56551724141</v>
      </c>
      <c r="CW58" s="261">
        <v>-4051.1701149425289</v>
      </c>
      <c r="CX58" s="251">
        <f t="shared" si="134"/>
        <v>105688.73563218395</v>
      </c>
      <c r="CY58" s="249">
        <v>3.3149999999999986</v>
      </c>
      <c r="CZ58" s="250">
        <f t="shared" si="135"/>
        <v>1.6138333019735253E-2</v>
      </c>
      <c r="DA58" s="261">
        <v>106757.97888386129</v>
      </c>
      <c r="DB58" s="261">
        <v>753.96078431372621</v>
      </c>
      <c r="DC58" s="251">
        <f t="shared" si="136"/>
        <v>106004.01809954757</v>
      </c>
      <c r="DD58" s="249">
        <f>'NR '!BQ58</f>
        <v>6.63</v>
      </c>
      <c r="DE58" s="250">
        <f t="shared" si="137"/>
        <v>3.2078861162688911E-2</v>
      </c>
      <c r="DF58" s="261">
        <f>'NR '!BS58</f>
        <v>106492.66817496237</v>
      </c>
      <c r="DG58" s="261">
        <v>-191.50226244343884</v>
      </c>
      <c r="DH58" s="251">
        <f t="shared" si="142"/>
        <v>106684.1704374058</v>
      </c>
      <c r="DI58" s="249">
        <f>'NR '!BT58</f>
        <v>3.2069999999999981</v>
      </c>
      <c r="DJ58" s="250">
        <f t="shared" si="139"/>
        <v>2.4007155884144909E-2</v>
      </c>
      <c r="DK58" s="261">
        <f>'NR '!BV58</f>
        <v>106443.2366697848</v>
      </c>
      <c r="DL58" s="261">
        <v>-3661.9457436856924</v>
      </c>
      <c r="DM58" s="251">
        <f t="shared" si="140"/>
        <v>110105.18241347049</v>
      </c>
      <c r="DN58" s="249">
        <v>3.1555000000000004</v>
      </c>
      <c r="DO58" s="250">
        <f t="shared" si="143"/>
        <v>2.7839668214324643E-2</v>
      </c>
      <c r="DP58" s="261">
        <v>106436.56789732215</v>
      </c>
      <c r="DQ58" s="261">
        <v>-3723.7173189668829</v>
      </c>
      <c r="DR58" s="251">
        <f t="shared" si="141"/>
        <v>110160.28521628903</v>
      </c>
    </row>
    <row r="59" spans="1:122" s="301" customFormat="1">
      <c r="A59" s="319" t="s">
        <v>207</v>
      </c>
      <c r="B59" s="299"/>
      <c r="C59" s="298"/>
      <c r="D59" s="299"/>
      <c r="E59" s="299"/>
      <c r="F59" s="251">
        <f t="shared" si="96"/>
        <v>0</v>
      </c>
      <c r="G59" s="297"/>
      <c r="H59" s="298"/>
      <c r="I59" s="320"/>
      <c r="J59" s="299"/>
      <c r="K59" s="300"/>
      <c r="L59" s="323"/>
      <c r="M59" s="298"/>
      <c r="N59" s="299"/>
      <c r="O59" s="299"/>
      <c r="P59" s="300"/>
      <c r="Q59" s="297"/>
      <c r="R59" s="298"/>
      <c r="S59" s="299"/>
      <c r="T59" s="299"/>
      <c r="U59" s="300"/>
      <c r="V59" s="297"/>
      <c r="W59" s="298"/>
      <c r="X59" s="299"/>
      <c r="Y59" s="299"/>
      <c r="Z59" s="300"/>
      <c r="AA59" s="324"/>
      <c r="AB59" s="298"/>
      <c r="AC59" s="299"/>
      <c r="AD59" s="299"/>
      <c r="AE59" s="300"/>
      <c r="AF59" s="324"/>
      <c r="AG59" s="298"/>
      <c r="AH59" s="299"/>
      <c r="AI59" s="299"/>
      <c r="AJ59" s="300"/>
      <c r="AK59" s="297"/>
      <c r="AL59" s="298"/>
      <c r="AM59" s="299"/>
      <c r="AN59" s="299"/>
      <c r="AO59" s="300"/>
      <c r="AP59" s="297"/>
      <c r="AQ59" s="298"/>
      <c r="AR59" s="299"/>
      <c r="AS59" s="299"/>
      <c r="AT59" s="300"/>
      <c r="AU59" s="324"/>
      <c r="AV59" s="298"/>
      <c r="AW59" s="299"/>
      <c r="AX59" s="299"/>
      <c r="AY59" s="300"/>
      <c r="AZ59" s="297"/>
      <c r="BA59" s="298"/>
      <c r="BB59" s="299"/>
      <c r="BC59" s="299"/>
      <c r="BD59" s="300"/>
      <c r="BE59" s="297"/>
      <c r="BF59" s="298"/>
      <c r="BG59" s="299"/>
      <c r="BH59" s="299"/>
      <c r="BI59" s="300"/>
      <c r="BJ59" s="322"/>
      <c r="BK59" s="297"/>
      <c r="BL59" s="298"/>
      <c r="BM59" s="299"/>
      <c r="BN59" s="299"/>
      <c r="BO59" s="300"/>
      <c r="BP59" s="297"/>
      <c r="BQ59" s="298"/>
      <c r="BR59" s="299"/>
      <c r="BS59" s="299"/>
      <c r="BT59" s="300"/>
      <c r="BU59" s="297">
        <f>'NR '!AV59</f>
        <v>1.9049999999999998</v>
      </c>
      <c r="BV59" s="298">
        <f t="shared" si="123"/>
        <v>1.4491049247811832E-2</v>
      </c>
      <c r="BW59" s="299">
        <f>'NR '!AX59</f>
        <v>130090.66141732292</v>
      </c>
      <c r="BX59" s="299">
        <v>29958.619422572188</v>
      </c>
      <c r="BY59" s="251">
        <f t="shared" si="124"/>
        <v>100132.04199475073</v>
      </c>
      <c r="BZ59" s="297">
        <f>'NR '!AY59</f>
        <v>15.627499999999998</v>
      </c>
      <c r="CA59" s="298">
        <f t="shared" si="125"/>
        <v>0.12490960489119707</v>
      </c>
      <c r="CB59" s="299">
        <f>'NR '!BA59</f>
        <v>101853.61638137874</v>
      </c>
      <c r="CC59" s="261">
        <v>898.56726923692247</v>
      </c>
      <c r="CD59" s="251">
        <f t="shared" si="126"/>
        <v>100955.04911214182</v>
      </c>
      <c r="CE59" s="249">
        <f>'NR '!BB59</f>
        <v>7.13499999999999</v>
      </c>
      <c r="CF59" s="250">
        <f t="shared" si="127"/>
        <v>4.1755322061953473E-3</v>
      </c>
      <c r="CG59" s="261">
        <f>'NR '!BD59</f>
        <v>101672.00000000001</v>
      </c>
      <c r="CH59" s="261">
        <v>1011.0693763139467</v>
      </c>
      <c r="CI59" s="251">
        <f t="shared" si="128"/>
        <v>100660.93062368607</v>
      </c>
      <c r="CJ59" s="249">
        <f>'NR '!BE59</f>
        <v>6.1319999999999908</v>
      </c>
      <c r="CK59" s="250">
        <f t="shared" si="129"/>
        <v>5.6495197171186257E-2</v>
      </c>
      <c r="CL59" s="261">
        <f>'NR '!BG59</f>
        <v>101612.61741682977</v>
      </c>
      <c r="CM59" s="261">
        <v>-941.01924331376847</v>
      </c>
      <c r="CN59" s="251">
        <f t="shared" si="130"/>
        <v>102553.63666014354</v>
      </c>
      <c r="CO59" s="249">
        <f>'NR '!BH59</f>
        <v>8.742999999999995</v>
      </c>
      <c r="CP59" s="250">
        <f t="shared" si="131"/>
        <v>4.7486987585028645E-2</v>
      </c>
      <c r="CQ59" s="261">
        <f>'NR '!BJ59</f>
        <v>101648.99576804302</v>
      </c>
      <c r="CR59" s="261">
        <v>-3889.0655381448059</v>
      </c>
      <c r="CS59" s="251">
        <f t="shared" si="132"/>
        <v>105538.06130618782</v>
      </c>
      <c r="CT59" s="249">
        <v>5.3099999999999969</v>
      </c>
      <c r="CU59" s="250">
        <f t="shared" si="133"/>
        <v>2.5814359949731646E-2</v>
      </c>
      <c r="CV59" s="261">
        <v>101614.84557438792</v>
      </c>
      <c r="CW59" s="261">
        <v>-4116.1186440678002</v>
      </c>
      <c r="CX59" s="251">
        <f t="shared" si="134"/>
        <v>105730.96421845572</v>
      </c>
      <c r="CY59" s="249">
        <v>4.9799999999999915</v>
      </c>
      <c r="CZ59" s="250">
        <f t="shared" si="135"/>
        <v>2.4244011595258356E-2</v>
      </c>
      <c r="DA59" s="261">
        <v>106666.53815261059</v>
      </c>
      <c r="DB59" s="261">
        <v>810.37751004016218</v>
      </c>
      <c r="DC59" s="251">
        <f t="shared" si="136"/>
        <v>105856.16064257042</v>
      </c>
      <c r="DD59" s="249">
        <f>'NR '!BQ59</f>
        <v>11.084999999999996</v>
      </c>
      <c r="DE59" s="250">
        <f t="shared" si="137"/>
        <v>5.3634114025400671E-2</v>
      </c>
      <c r="DF59" s="261">
        <f>'NR '!BS59</f>
        <v>106457.1583220569</v>
      </c>
      <c r="DG59" s="261">
        <v>353.19350473612991</v>
      </c>
      <c r="DH59" s="251">
        <f t="shared" si="142"/>
        <v>106103.96481732077</v>
      </c>
      <c r="DI59" s="249">
        <f>'NR '!BT59</f>
        <v>4.3619999999999992</v>
      </c>
      <c r="DJ59" s="250">
        <f t="shared" si="139"/>
        <v>3.2653325215665774E-2</v>
      </c>
      <c r="DK59" s="261">
        <f>'NR '!BV59</f>
        <v>106446.23567171014</v>
      </c>
      <c r="DL59" s="261">
        <v>-3936.1072902338401</v>
      </c>
      <c r="DM59" s="251">
        <f t="shared" si="140"/>
        <v>110382.34296194397</v>
      </c>
      <c r="DN59" s="249">
        <v>4.2109999999999976</v>
      </c>
      <c r="DO59" s="250">
        <f t="shared" si="143"/>
        <v>3.715190709888163E-2</v>
      </c>
      <c r="DP59" s="261">
        <v>106436.35478508673</v>
      </c>
      <c r="DQ59" s="261">
        <v>-3879.7387793873258</v>
      </c>
      <c r="DR59" s="251">
        <f t="shared" si="141"/>
        <v>110316.09356447405</v>
      </c>
    </row>
    <row r="60" spans="1:122" s="301" customFormat="1">
      <c r="A60" s="319" t="s">
        <v>208</v>
      </c>
      <c r="B60" s="299"/>
      <c r="C60" s="298"/>
      <c r="D60" s="299"/>
      <c r="E60" s="299"/>
      <c r="F60" s="251">
        <f t="shared" si="96"/>
        <v>0</v>
      </c>
      <c r="G60" s="297"/>
      <c r="H60" s="298"/>
      <c r="I60" s="320"/>
      <c r="J60" s="299"/>
      <c r="K60" s="300"/>
      <c r="L60" s="323"/>
      <c r="M60" s="298"/>
      <c r="N60" s="299"/>
      <c r="O60" s="299"/>
      <c r="P60" s="300"/>
      <c r="Q60" s="297"/>
      <c r="R60" s="298"/>
      <c r="S60" s="299"/>
      <c r="T60" s="299"/>
      <c r="U60" s="300"/>
      <c r="V60" s="297"/>
      <c r="W60" s="298"/>
      <c r="X60" s="299"/>
      <c r="Y60" s="299"/>
      <c r="Z60" s="300"/>
      <c r="AA60" s="324"/>
      <c r="AB60" s="298"/>
      <c r="AC60" s="299"/>
      <c r="AD60" s="299"/>
      <c r="AE60" s="300"/>
      <c r="AF60" s="324"/>
      <c r="AG60" s="298"/>
      <c r="AH60" s="299"/>
      <c r="AI60" s="299"/>
      <c r="AJ60" s="300"/>
      <c r="AK60" s="297"/>
      <c r="AL60" s="298"/>
      <c r="AM60" s="299"/>
      <c r="AN60" s="299"/>
      <c r="AO60" s="300"/>
      <c r="AP60" s="297"/>
      <c r="AQ60" s="298"/>
      <c r="AR60" s="299"/>
      <c r="AS60" s="299"/>
      <c r="AT60" s="300"/>
      <c r="AU60" s="324"/>
      <c r="AV60" s="298"/>
      <c r="AW60" s="299"/>
      <c r="AX60" s="299"/>
      <c r="AY60" s="300"/>
      <c r="AZ60" s="297"/>
      <c r="BA60" s="298"/>
      <c r="BB60" s="299"/>
      <c r="BC60" s="299"/>
      <c r="BD60" s="300"/>
      <c r="BE60" s="297"/>
      <c r="BF60" s="298"/>
      <c r="BG60" s="299"/>
      <c r="BH60" s="299"/>
      <c r="BI60" s="300"/>
      <c r="BJ60" s="322"/>
      <c r="BK60" s="297"/>
      <c r="BL60" s="298"/>
      <c r="BM60" s="299"/>
      <c r="BN60" s="299"/>
      <c r="BO60" s="300"/>
      <c r="BP60" s="297"/>
      <c r="BQ60" s="298"/>
      <c r="BR60" s="299"/>
      <c r="BS60" s="299"/>
      <c r="BT60" s="300"/>
      <c r="BU60" s="297">
        <f>'NR '!AV60</f>
        <v>2.3850000000000002</v>
      </c>
      <c r="BV60" s="298">
        <f t="shared" si="123"/>
        <v>1.8142337247260488E-2</v>
      </c>
      <c r="BW60" s="299">
        <f>'NR '!AX60</f>
        <v>130026.28092243188</v>
      </c>
      <c r="BX60" s="299">
        <v>29957.236897274641</v>
      </c>
      <c r="BY60" s="251">
        <f t="shared" si="124"/>
        <v>100069.04402515723</v>
      </c>
      <c r="BZ60" s="297">
        <f>'NR '!AY60</f>
        <v>16.437500000000004</v>
      </c>
      <c r="CA60" s="298">
        <f t="shared" si="125"/>
        <v>0.13138388292427147</v>
      </c>
      <c r="CB60" s="299">
        <f>'NR '!BA60</f>
        <v>101856.9892015206</v>
      </c>
      <c r="CC60" s="261">
        <v>857.07315589353607</v>
      </c>
      <c r="CD60" s="251">
        <f t="shared" si="126"/>
        <v>100999.91604562706</v>
      </c>
      <c r="CE60" s="249">
        <f>'NR '!BB60</f>
        <v>8.4274999999999896</v>
      </c>
      <c r="CF60" s="250">
        <f t="shared" si="127"/>
        <v>4.931926792951828E-3</v>
      </c>
      <c r="CG60" s="261">
        <f>'NR '!BD60</f>
        <v>101688.60160189863</v>
      </c>
      <c r="CH60" s="261">
        <v>1007.8825274399298</v>
      </c>
      <c r="CI60" s="251">
        <f t="shared" si="128"/>
        <v>100680.7190744587</v>
      </c>
      <c r="CJ60" s="249">
        <f>'NR '!BE60</f>
        <v>8.1704999999999917</v>
      </c>
      <c r="CK60" s="250">
        <f t="shared" si="129"/>
        <v>7.5276257091842394E-2</v>
      </c>
      <c r="CL60" s="261">
        <f>'NR '!BG60</f>
        <v>101633.98935193688</v>
      </c>
      <c r="CM60" s="261">
        <v>-541.42708524570389</v>
      </c>
      <c r="CN60" s="251">
        <f t="shared" si="130"/>
        <v>102175.41643718258</v>
      </c>
      <c r="CO60" s="249">
        <f>'NR '!BH60</f>
        <v>9.0879999999999992</v>
      </c>
      <c r="CP60" s="250">
        <f t="shared" si="131"/>
        <v>4.9360830741477818E-2</v>
      </c>
      <c r="CQ60" s="261">
        <f>'NR '!BJ60</f>
        <v>101618.30985915495</v>
      </c>
      <c r="CR60" s="261">
        <v>-3884.4388204225347</v>
      </c>
      <c r="CS60" s="251">
        <f t="shared" si="132"/>
        <v>105502.74867957749</v>
      </c>
      <c r="CT60" s="249">
        <v>6.2999999999999972</v>
      </c>
      <c r="CU60" s="250">
        <f t="shared" si="133"/>
        <v>3.0627206720020599E-2</v>
      </c>
      <c r="CV60" s="261">
        <v>101599.36349206349</v>
      </c>
      <c r="CW60" s="261">
        <v>-4087.3015873015925</v>
      </c>
      <c r="CX60" s="251">
        <f t="shared" si="134"/>
        <v>105686.66507936509</v>
      </c>
      <c r="CY60" s="249">
        <v>4.9199999999999928</v>
      </c>
      <c r="CZ60" s="250">
        <f t="shared" si="135"/>
        <v>2.3951915070014283E-2</v>
      </c>
      <c r="DA60" s="261">
        <v>106649.90853658548</v>
      </c>
      <c r="DB60" s="261">
        <v>746.04065040650528</v>
      </c>
      <c r="DC60" s="251">
        <f t="shared" si="136"/>
        <v>105903.86788617898</v>
      </c>
      <c r="DD60" s="249">
        <f>'NR '!BQ60</f>
        <v>9.7800000000000011</v>
      </c>
      <c r="DE60" s="250">
        <f t="shared" si="137"/>
        <v>4.7319949045414415E-2</v>
      </c>
      <c r="DF60" s="261">
        <f>'NR '!BS60</f>
        <v>106474.40899795515</v>
      </c>
      <c r="DG60" s="261">
        <v>179.27198364008157</v>
      </c>
      <c r="DH60" s="251">
        <f t="shared" si="142"/>
        <v>106295.13701431507</v>
      </c>
      <c r="DI60" s="249">
        <f>'NR '!BT60</f>
        <v>4.4970000000000008</v>
      </c>
      <c r="DJ60" s="250">
        <f t="shared" si="139"/>
        <v>3.3663916436233156E-2</v>
      </c>
      <c r="DK60" s="261">
        <f>'NR '!BV60</f>
        <v>106470.70491438724</v>
      </c>
      <c r="DL60" s="261">
        <v>-3677.3493440071138</v>
      </c>
      <c r="DM60" s="251">
        <f t="shared" si="140"/>
        <v>110148.05425839436</v>
      </c>
      <c r="DN60" s="249">
        <v>4.2599999999999971</v>
      </c>
      <c r="DO60" s="250">
        <f t="shared" si="143"/>
        <v>3.7584213783242872E-2</v>
      </c>
      <c r="DP60" s="261">
        <v>106499.24413145546</v>
      </c>
      <c r="DQ60" s="261">
        <v>-3730.3403755868621</v>
      </c>
      <c r="DR60" s="251">
        <f t="shared" si="141"/>
        <v>110229.58450704232</v>
      </c>
    </row>
    <row r="61" spans="1:122" s="301" customFormat="1">
      <c r="A61" t="s">
        <v>264</v>
      </c>
      <c r="B61" s="299"/>
      <c r="C61" s="298"/>
      <c r="D61" s="299"/>
      <c r="E61" s="299"/>
      <c r="F61" s="251"/>
      <c r="G61" s="297"/>
      <c r="H61" s="298"/>
      <c r="I61" s="320"/>
      <c r="J61" s="299"/>
      <c r="K61" s="300"/>
      <c r="L61" s="323"/>
      <c r="M61" s="298"/>
      <c r="N61" s="299"/>
      <c r="O61" s="299"/>
      <c r="P61" s="300"/>
      <c r="Q61" s="297"/>
      <c r="R61" s="298"/>
      <c r="S61" s="299"/>
      <c r="T61" s="299"/>
      <c r="U61" s="300"/>
      <c r="V61" s="297"/>
      <c r="W61" s="298"/>
      <c r="X61" s="299"/>
      <c r="Y61" s="299"/>
      <c r="Z61" s="300"/>
      <c r="AA61" s="324"/>
      <c r="AB61" s="298"/>
      <c r="AC61" s="299"/>
      <c r="AD61" s="299"/>
      <c r="AE61" s="300"/>
      <c r="AF61" s="324"/>
      <c r="AG61" s="298"/>
      <c r="AH61" s="299"/>
      <c r="AI61" s="299"/>
      <c r="AJ61" s="300"/>
      <c r="AK61" s="297"/>
      <c r="AL61" s="298"/>
      <c r="AM61" s="299"/>
      <c r="AN61" s="299"/>
      <c r="AO61" s="300"/>
      <c r="AP61" s="297"/>
      <c r="AQ61" s="298"/>
      <c r="AR61" s="299"/>
      <c r="AS61" s="299"/>
      <c r="AT61" s="300"/>
      <c r="AU61" s="324"/>
      <c r="AV61" s="298"/>
      <c r="AW61" s="299"/>
      <c r="AX61" s="299"/>
      <c r="AY61" s="300"/>
      <c r="AZ61" s="297"/>
      <c r="BA61" s="298"/>
      <c r="BB61" s="299"/>
      <c r="BC61" s="299"/>
      <c r="BD61" s="300"/>
      <c r="BE61" s="297"/>
      <c r="BF61" s="298"/>
      <c r="BG61" s="299"/>
      <c r="BH61" s="299"/>
      <c r="BI61" s="300"/>
      <c r="BJ61" s="322"/>
      <c r="BK61" s="297"/>
      <c r="BL61" s="298"/>
      <c r="BM61" s="299"/>
      <c r="BN61" s="299"/>
      <c r="BO61" s="300"/>
      <c r="BP61" s="297"/>
      <c r="BQ61" s="298"/>
      <c r="BR61" s="299"/>
      <c r="BS61" s="299"/>
      <c r="BT61" s="300"/>
      <c r="BU61" s="297"/>
      <c r="BV61" s="298"/>
      <c r="BW61" s="299"/>
      <c r="BX61" s="299"/>
      <c r="BY61" s="251"/>
      <c r="BZ61" s="297"/>
      <c r="CA61" s="298"/>
      <c r="CB61" s="299"/>
      <c r="CC61" s="261"/>
      <c r="CD61" s="251"/>
      <c r="CE61" s="249"/>
      <c r="CF61" s="250"/>
      <c r="CG61" s="261"/>
      <c r="CH61" s="261"/>
      <c r="CI61" s="251"/>
      <c r="CJ61" s="249"/>
      <c r="CK61" s="250"/>
      <c r="CL61" s="261"/>
      <c r="CM61" s="261"/>
      <c r="CN61" s="251"/>
      <c r="CO61" s="249"/>
      <c r="CP61" s="250"/>
      <c r="CQ61" s="261"/>
      <c r="CR61" s="261"/>
      <c r="CS61" s="251"/>
      <c r="CT61" s="249"/>
      <c r="CU61" s="250"/>
      <c r="CV61" s="261"/>
      <c r="CW61" s="261"/>
      <c r="CX61" s="251"/>
      <c r="CY61" s="249"/>
      <c r="CZ61" s="250"/>
      <c r="DA61" s="261"/>
      <c r="DB61" s="261"/>
      <c r="DC61" s="251"/>
      <c r="DD61" s="249"/>
      <c r="DE61" s="250"/>
      <c r="DF61" s="261"/>
      <c r="DG61" s="261"/>
      <c r="DH61" s="251"/>
      <c r="DI61" s="249">
        <f>'NR '!BT61</f>
        <v>22.576319999999981</v>
      </c>
      <c r="DJ61" s="250">
        <f t="shared" ref="DJ61:DJ64" si="144">DI61/DI$65</f>
        <v>0.16900319099792274</v>
      </c>
      <c r="DK61" s="261">
        <f>'NR '!BV61</f>
        <v>94337.070434862908</v>
      </c>
      <c r="DL61" s="261">
        <v>344.78914189735099</v>
      </c>
      <c r="DM61" s="251">
        <f t="shared" si="140"/>
        <v>93992.281292965563</v>
      </c>
      <c r="DN61" s="249">
        <v>20.106449999999924</v>
      </c>
      <c r="DO61" s="250">
        <f t="shared" si="143"/>
        <v>0.17739087211785945</v>
      </c>
      <c r="DP61" s="261">
        <v>94414.18947651182</v>
      </c>
      <c r="DQ61" s="261">
        <v>1087.6395385560395</v>
      </c>
      <c r="DR61" s="251">
        <f t="shared" si="141"/>
        <v>93326.549937955773</v>
      </c>
    </row>
    <row r="62" spans="1:122" s="301" customFormat="1">
      <c r="A62" t="s">
        <v>265</v>
      </c>
      <c r="B62" s="299"/>
      <c r="C62" s="298"/>
      <c r="D62" s="299"/>
      <c r="E62" s="299"/>
      <c r="F62" s="251"/>
      <c r="G62" s="297"/>
      <c r="H62" s="298"/>
      <c r="I62" s="320"/>
      <c r="J62" s="299"/>
      <c r="K62" s="300"/>
      <c r="L62" s="323"/>
      <c r="M62" s="298"/>
      <c r="N62" s="299"/>
      <c r="O62" s="299"/>
      <c r="P62" s="300"/>
      <c r="Q62" s="297"/>
      <c r="R62" s="298"/>
      <c r="S62" s="299"/>
      <c r="T62" s="299"/>
      <c r="U62" s="300"/>
      <c r="V62" s="297"/>
      <c r="W62" s="298"/>
      <c r="X62" s="299"/>
      <c r="Y62" s="299"/>
      <c r="Z62" s="300"/>
      <c r="AA62" s="324"/>
      <c r="AB62" s="298"/>
      <c r="AC62" s="299"/>
      <c r="AD62" s="299"/>
      <c r="AE62" s="300"/>
      <c r="AF62" s="324"/>
      <c r="AG62" s="298"/>
      <c r="AH62" s="299"/>
      <c r="AI62" s="299"/>
      <c r="AJ62" s="300"/>
      <c r="AK62" s="297"/>
      <c r="AL62" s="298"/>
      <c r="AM62" s="299"/>
      <c r="AN62" s="299"/>
      <c r="AO62" s="300"/>
      <c r="AP62" s="297"/>
      <c r="AQ62" s="298"/>
      <c r="AR62" s="299"/>
      <c r="AS62" s="299"/>
      <c r="AT62" s="300"/>
      <c r="AU62" s="324"/>
      <c r="AV62" s="298"/>
      <c r="AW62" s="299"/>
      <c r="AX62" s="299"/>
      <c r="AY62" s="300"/>
      <c r="AZ62" s="297"/>
      <c r="BA62" s="298"/>
      <c r="BB62" s="299"/>
      <c r="BC62" s="299"/>
      <c r="BD62" s="300"/>
      <c r="BE62" s="297"/>
      <c r="BF62" s="298"/>
      <c r="BG62" s="299"/>
      <c r="BH62" s="299"/>
      <c r="BI62" s="300"/>
      <c r="BJ62" s="322"/>
      <c r="BK62" s="297"/>
      <c r="BL62" s="298"/>
      <c r="BM62" s="299"/>
      <c r="BN62" s="299"/>
      <c r="BO62" s="300"/>
      <c r="BP62" s="297"/>
      <c r="BQ62" s="298"/>
      <c r="BR62" s="299"/>
      <c r="BS62" s="299"/>
      <c r="BT62" s="300"/>
      <c r="BU62" s="297"/>
      <c r="BV62" s="298"/>
      <c r="BW62" s="299"/>
      <c r="BX62" s="299"/>
      <c r="BY62" s="251"/>
      <c r="BZ62" s="297"/>
      <c r="CA62" s="298"/>
      <c r="CB62" s="299"/>
      <c r="CC62" s="261"/>
      <c r="CD62" s="251"/>
      <c r="CE62" s="249"/>
      <c r="CF62" s="250"/>
      <c r="CG62" s="261"/>
      <c r="CH62" s="261"/>
      <c r="CI62" s="251"/>
      <c r="CJ62" s="249"/>
      <c r="CK62" s="250"/>
      <c r="CL62" s="261"/>
      <c r="CM62" s="261"/>
      <c r="CN62" s="251"/>
      <c r="CO62" s="249"/>
      <c r="CP62" s="250"/>
      <c r="CQ62" s="261"/>
      <c r="CR62" s="261"/>
      <c r="CS62" s="251"/>
      <c r="CT62" s="249"/>
      <c r="CU62" s="250"/>
      <c r="CV62" s="261"/>
      <c r="CW62" s="261"/>
      <c r="CX62" s="251"/>
      <c r="CY62" s="249"/>
      <c r="CZ62" s="250"/>
      <c r="DA62" s="261"/>
      <c r="DB62" s="261"/>
      <c r="DC62" s="251"/>
      <c r="DD62" s="249"/>
      <c r="DE62" s="250"/>
      <c r="DF62" s="261"/>
      <c r="DG62" s="261"/>
      <c r="DH62" s="251"/>
      <c r="DI62" s="249">
        <f>'NR '!BT62</f>
        <v>7.0200000000000067</v>
      </c>
      <c r="DJ62" s="250">
        <f t="shared" si="144"/>
        <v>5.255074346950344E-2</v>
      </c>
      <c r="DK62" s="261">
        <f>'NR '!BV62</f>
        <v>94313.401709401645</v>
      </c>
      <c r="DL62" s="261">
        <v>1285.4316239316224</v>
      </c>
      <c r="DM62" s="251">
        <f t="shared" si="140"/>
        <v>93027.97008547002</v>
      </c>
      <c r="DN62" s="249">
        <v>4.7455200000000026</v>
      </c>
      <c r="DO62" s="250">
        <f t="shared" si="143"/>
        <v>4.1867755444285192E-2</v>
      </c>
      <c r="DP62" s="261">
        <v>94410.559854346749</v>
      </c>
      <c r="DQ62" s="261">
        <v>733.70463089397947</v>
      </c>
      <c r="DR62" s="251">
        <f t="shared" si="141"/>
        <v>93676.855223452774</v>
      </c>
    </row>
    <row r="63" spans="1:122" s="301" customFormat="1">
      <c r="A63" t="s">
        <v>266</v>
      </c>
      <c r="B63" s="299"/>
      <c r="C63" s="298"/>
      <c r="D63" s="299"/>
      <c r="E63" s="299"/>
      <c r="F63" s="251"/>
      <c r="G63" s="297"/>
      <c r="H63" s="298"/>
      <c r="I63" s="320"/>
      <c r="J63" s="299"/>
      <c r="K63" s="300"/>
      <c r="L63" s="323"/>
      <c r="M63" s="298"/>
      <c r="N63" s="299"/>
      <c r="O63" s="299"/>
      <c r="P63" s="300"/>
      <c r="Q63" s="297"/>
      <c r="R63" s="298"/>
      <c r="S63" s="299"/>
      <c r="T63" s="299"/>
      <c r="U63" s="300"/>
      <c r="V63" s="297"/>
      <c r="W63" s="298"/>
      <c r="X63" s="299"/>
      <c r="Y63" s="299"/>
      <c r="Z63" s="300"/>
      <c r="AA63" s="324"/>
      <c r="AB63" s="298"/>
      <c r="AC63" s="299"/>
      <c r="AD63" s="299"/>
      <c r="AE63" s="300"/>
      <c r="AF63" s="324"/>
      <c r="AG63" s="298"/>
      <c r="AH63" s="299"/>
      <c r="AI63" s="299"/>
      <c r="AJ63" s="300"/>
      <c r="AK63" s="297"/>
      <c r="AL63" s="298"/>
      <c r="AM63" s="299"/>
      <c r="AN63" s="299"/>
      <c r="AO63" s="300"/>
      <c r="AP63" s="297"/>
      <c r="AQ63" s="298"/>
      <c r="AR63" s="299"/>
      <c r="AS63" s="299"/>
      <c r="AT63" s="300"/>
      <c r="AU63" s="324"/>
      <c r="AV63" s="298"/>
      <c r="AW63" s="299"/>
      <c r="AX63" s="299"/>
      <c r="AY63" s="300"/>
      <c r="AZ63" s="297"/>
      <c r="BA63" s="298"/>
      <c r="BB63" s="299"/>
      <c r="BC63" s="299"/>
      <c r="BD63" s="300"/>
      <c r="BE63" s="297"/>
      <c r="BF63" s="298"/>
      <c r="BG63" s="299"/>
      <c r="BH63" s="299"/>
      <c r="BI63" s="300"/>
      <c r="BJ63" s="322"/>
      <c r="BK63" s="297"/>
      <c r="BL63" s="298"/>
      <c r="BM63" s="299"/>
      <c r="BN63" s="299"/>
      <c r="BO63" s="300"/>
      <c r="BP63" s="297"/>
      <c r="BQ63" s="298"/>
      <c r="BR63" s="299"/>
      <c r="BS63" s="299"/>
      <c r="BT63" s="300"/>
      <c r="BU63" s="297"/>
      <c r="BV63" s="298"/>
      <c r="BW63" s="299"/>
      <c r="BX63" s="299"/>
      <c r="BY63" s="251"/>
      <c r="BZ63" s="297"/>
      <c r="CA63" s="298"/>
      <c r="CB63" s="299"/>
      <c r="CC63" s="261"/>
      <c r="CD63" s="251"/>
      <c r="CE63" s="249"/>
      <c r="CF63" s="250"/>
      <c r="CG63" s="261"/>
      <c r="CH63" s="261"/>
      <c r="CI63" s="251"/>
      <c r="CJ63" s="249"/>
      <c r="CK63" s="250"/>
      <c r="CL63" s="261"/>
      <c r="CM63" s="261"/>
      <c r="CN63" s="251"/>
      <c r="CO63" s="249"/>
      <c r="CP63" s="250"/>
      <c r="CQ63" s="261"/>
      <c r="CR63" s="261"/>
      <c r="CS63" s="251"/>
      <c r="CT63" s="249"/>
      <c r="CU63" s="250"/>
      <c r="CV63" s="261"/>
      <c r="CW63" s="261"/>
      <c r="CX63" s="251"/>
      <c r="CY63" s="249"/>
      <c r="CZ63" s="250"/>
      <c r="DA63" s="261"/>
      <c r="DB63" s="261"/>
      <c r="DC63" s="251"/>
      <c r="DD63" s="249"/>
      <c r="DE63" s="250"/>
      <c r="DF63" s="261"/>
      <c r="DG63" s="261"/>
      <c r="DH63" s="251"/>
      <c r="DI63" s="249">
        <f>'NR '!BT63</f>
        <v>19.159919999999971</v>
      </c>
      <c r="DJ63" s="250">
        <f t="shared" si="144"/>
        <v>0.14342849584276435</v>
      </c>
      <c r="DK63" s="261">
        <f>'NR '!BV63</f>
        <v>94327.524853966359</v>
      </c>
      <c r="DL63" s="261">
        <v>1112.1137249007324</v>
      </c>
      <c r="DM63" s="251">
        <f t="shared" si="140"/>
        <v>93215.411129065629</v>
      </c>
      <c r="DN63" s="249">
        <v>18.05543999999993</v>
      </c>
      <c r="DO63" s="250">
        <f t="shared" si="143"/>
        <v>0.15929566124659916</v>
      </c>
      <c r="DP63" s="261">
        <v>94451.763014360826</v>
      </c>
      <c r="DQ63" s="261">
        <v>1051.642607435768</v>
      </c>
      <c r="DR63" s="251">
        <f t="shared" si="141"/>
        <v>93400.120406925053</v>
      </c>
    </row>
    <row r="64" spans="1:122" s="301" customFormat="1" ht="15.75" thickBot="1">
      <c r="A64" s="319"/>
      <c r="B64" s="299"/>
      <c r="C64" s="298"/>
      <c r="D64" s="299"/>
      <c r="E64" s="299"/>
      <c r="F64" s="251">
        <f t="shared" si="96"/>
        <v>0</v>
      </c>
      <c r="G64" s="297"/>
      <c r="H64" s="298"/>
      <c r="I64" s="320"/>
      <c r="J64" s="299"/>
      <c r="K64" s="300"/>
      <c r="L64" s="323"/>
      <c r="M64" s="298"/>
      <c r="N64" s="299"/>
      <c r="O64" s="299"/>
      <c r="P64" s="300"/>
      <c r="Q64" s="297"/>
      <c r="R64" s="298"/>
      <c r="S64" s="299"/>
      <c r="T64" s="299"/>
      <c r="U64" s="300"/>
      <c r="V64" s="297"/>
      <c r="W64" s="298"/>
      <c r="X64" s="299"/>
      <c r="Y64" s="299"/>
      <c r="Z64" s="300"/>
      <c r="AA64" s="324"/>
      <c r="AB64" s="298"/>
      <c r="AC64" s="299"/>
      <c r="AD64" s="299"/>
      <c r="AE64" s="300"/>
      <c r="AF64" s="324"/>
      <c r="AG64" s="298"/>
      <c r="AH64" s="299"/>
      <c r="AI64" s="299"/>
      <c r="AJ64" s="300"/>
      <c r="AK64" s="297"/>
      <c r="AL64" s="298"/>
      <c r="AM64" s="299"/>
      <c r="AN64" s="299"/>
      <c r="AO64" s="300"/>
      <c r="AP64" s="297"/>
      <c r="AQ64" s="298"/>
      <c r="AR64" s="299"/>
      <c r="AS64" s="299"/>
      <c r="AT64" s="300"/>
      <c r="AU64" s="324"/>
      <c r="AV64" s="298"/>
      <c r="AW64" s="299"/>
      <c r="AX64" s="299"/>
      <c r="AY64" s="300"/>
      <c r="AZ64" s="297"/>
      <c r="BA64" s="298"/>
      <c r="BB64" s="299"/>
      <c r="BC64" s="299"/>
      <c r="BD64" s="300"/>
      <c r="BE64" s="297"/>
      <c r="BF64" s="298"/>
      <c r="BG64" s="299"/>
      <c r="BH64" s="299"/>
      <c r="BI64" s="300"/>
      <c r="BJ64" s="322"/>
      <c r="BK64" s="297"/>
      <c r="BL64" s="298"/>
      <c r="BM64" s="299"/>
      <c r="BN64" s="299"/>
      <c r="BO64" s="300"/>
      <c r="BP64" s="297"/>
      <c r="BQ64" s="298"/>
      <c r="BR64" s="299"/>
      <c r="BS64" s="299"/>
      <c r="BT64" s="300"/>
      <c r="BU64" s="297">
        <f>'NR '!AV64</f>
        <v>0</v>
      </c>
      <c r="BV64" s="298"/>
      <c r="BW64" s="299">
        <f>'NR '!AX64</f>
        <v>0</v>
      </c>
      <c r="BX64" s="299"/>
      <c r="BY64" s="300"/>
      <c r="BZ64" s="297">
        <f>'NR '!AY64</f>
        <v>0</v>
      </c>
      <c r="CA64" s="298">
        <f>BZ64/BZ$65</f>
        <v>0</v>
      </c>
      <c r="CB64" s="299">
        <f>'NR '!BA64</f>
        <v>0</v>
      </c>
      <c r="CC64" s="261">
        <v>0</v>
      </c>
      <c r="CD64" s="300"/>
      <c r="CE64" s="297">
        <f>'NR '!BE64</f>
        <v>0</v>
      </c>
      <c r="CF64" s="298">
        <f t="shared" ref="CF64" si="145">CE64/CE$65</f>
        <v>0</v>
      </c>
      <c r="CG64" s="299">
        <f>'NR '!BG64</f>
        <v>0</v>
      </c>
      <c r="CH64" s="299">
        <v>0</v>
      </c>
      <c r="CI64" s="300"/>
      <c r="CJ64" s="249">
        <f>'NR '!BE64</f>
        <v>0</v>
      </c>
      <c r="CK64" s="250">
        <f>CJ64/CJ$65</f>
        <v>0</v>
      </c>
      <c r="CL64" s="261">
        <f>'NR '!BG64</f>
        <v>0</v>
      </c>
      <c r="CM64" s="299"/>
      <c r="CN64" s="300"/>
      <c r="CO64" s="249">
        <f>'NR '!BH64</f>
        <v>0</v>
      </c>
      <c r="CP64" s="250">
        <f>CO64/CO$65</f>
        <v>0</v>
      </c>
      <c r="CQ64" s="261">
        <f>'NR '!BJ64</f>
        <v>0</v>
      </c>
      <c r="CR64" s="299"/>
      <c r="CS64" s="300"/>
      <c r="CT64" s="249">
        <v>0</v>
      </c>
      <c r="CU64" s="250">
        <f>CT64/CT$65</f>
        <v>0</v>
      </c>
      <c r="CV64" s="261">
        <v>0</v>
      </c>
      <c r="CW64" s="299">
        <v>0</v>
      </c>
      <c r="CX64" s="300">
        <f t="shared" si="134"/>
        <v>0</v>
      </c>
      <c r="CY64" s="249">
        <v>0</v>
      </c>
      <c r="CZ64" s="250">
        <f>CY64/CY$65</f>
        <v>0</v>
      </c>
      <c r="DA64" s="261">
        <v>0</v>
      </c>
      <c r="DB64" s="261">
        <v>0</v>
      </c>
      <c r="DC64" s="300">
        <f t="shared" si="136"/>
        <v>0</v>
      </c>
      <c r="DD64" s="249">
        <f>'NR '!BQ64</f>
        <v>0</v>
      </c>
      <c r="DE64" s="250">
        <f>DD64/DD$65</f>
        <v>0</v>
      </c>
      <c r="DF64" s="261">
        <f>'NR '!BS64</f>
        <v>0</v>
      </c>
      <c r="DG64" s="261"/>
      <c r="DH64" s="251">
        <f t="shared" si="142"/>
        <v>0</v>
      </c>
      <c r="DI64" s="249">
        <f>'NR '!BT64</f>
        <v>0</v>
      </c>
      <c r="DJ64" s="250">
        <f t="shared" si="144"/>
        <v>0</v>
      </c>
      <c r="DK64" s="261">
        <f>'NR '!BV64</f>
        <v>0</v>
      </c>
      <c r="DL64" s="261"/>
      <c r="DM64" s="251">
        <f t="shared" si="140"/>
        <v>0</v>
      </c>
      <c r="DN64" s="249"/>
      <c r="DO64" s="250"/>
      <c r="DP64" s="261"/>
      <c r="DQ64" s="261"/>
      <c r="DR64" s="251">
        <f t="shared" si="141"/>
        <v>0</v>
      </c>
    </row>
    <row r="65" spans="1:122" s="110" customFormat="1" ht="15.75" thickBot="1">
      <c r="A65" s="252" t="s">
        <v>140</v>
      </c>
      <c r="B65" s="253">
        <f>SUM(B36:B54)</f>
        <v>92.17564999999999</v>
      </c>
      <c r="C65" s="306">
        <f>B65/B$65</f>
        <v>1</v>
      </c>
      <c r="D65" s="294">
        <f>SUMPRODUCT(B36:B54,D36:D54)/B65</f>
        <v>158858.60100473335</v>
      </c>
      <c r="E65" s="255">
        <f>SUMPRODUCT(B36:B54,E36:E54)/B65</f>
        <v>5473.7315014248661</v>
      </c>
      <c r="F65" s="255">
        <f>SUMPRODUCT(B36:B54,F36:F54)/B65</f>
        <v>153384.86950330847</v>
      </c>
      <c r="G65" s="253">
        <f t="shared" ref="G65" si="146">SUM(G36:G54)</f>
        <v>70.919225000000111</v>
      </c>
      <c r="H65" s="306">
        <f>SUM(H36:H54)</f>
        <v>0.99999999999999989</v>
      </c>
      <c r="I65" s="294">
        <f t="shared" ref="I65" si="147">SUMPRODUCT(G36:G54,I36:I54)/G65</f>
        <v>160589.29893206726</v>
      </c>
      <c r="J65" s="255">
        <f>SUMPRODUCT(G36:G54,J36:J54)/G65</f>
        <v>5522.1368825123782</v>
      </c>
      <c r="K65" s="255">
        <f>SUMPRODUCT(G36:G54,K36:K54)/G65</f>
        <v>155067.1620495549</v>
      </c>
      <c r="L65" s="253">
        <f t="shared" ref="L65" si="148">SUM(L36:L54)</f>
        <v>88.056725000000128</v>
      </c>
      <c r="M65" s="306">
        <f>SUM(M36:M54)</f>
        <v>0.99999999999999967</v>
      </c>
      <c r="N65" s="294">
        <f t="shared" ref="N65" si="149">SUMPRODUCT(L36:L54,N36:N54)/L65</f>
        <v>161011.73844061061</v>
      </c>
      <c r="O65" s="255">
        <f>SUMPRODUCT(L36:L54,O36:O54)/L65</f>
        <v>5264.4085023998887</v>
      </c>
      <c r="P65" s="255">
        <f>SUMPRODUCT(L36:L54,P36:P54)/L65</f>
        <v>155747.32993821069</v>
      </c>
      <c r="Q65" s="253">
        <f t="shared" ref="Q65" si="150">SUM(Q36:Q54)</f>
        <v>88.978200000000115</v>
      </c>
      <c r="R65" s="306">
        <f>SUM(R36:R54)</f>
        <v>0.99999999999999978</v>
      </c>
      <c r="S65" s="294">
        <f t="shared" ref="S65" si="151">SUMPRODUCT(Q36:Q54,S36:S54)/Q65</f>
        <v>153979.14973505645</v>
      </c>
      <c r="T65" s="255">
        <f>SUMPRODUCT(Q36:Q54,T36:T54)/Q65</f>
        <v>8835.7621584405006</v>
      </c>
      <c r="U65" s="255">
        <f>SUMPRODUCT(Q36:Q54,U36:U54)/Q65</f>
        <v>145143.3875766159</v>
      </c>
      <c r="V65" s="253">
        <f t="shared" ref="V65" si="152">SUM(V36:V54)</f>
        <v>90.556825000000117</v>
      </c>
      <c r="W65" s="306">
        <f>SUM(W36:W54)</f>
        <v>0.99999999999999989</v>
      </c>
      <c r="X65" s="294">
        <f t="shared" ref="X65" si="153">SUMPRODUCT(V36:V54,X36:X54)/V65</f>
        <v>153860.17313866969</v>
      </c>
      <c r="Y65" s="255">
        <f>SUMPRODUCT(V36:V54,Y36:Y54)/V65</f>
        <v>6202.1959833999535</v>
      </c>
      <c r="Z65" s="255">
        <f>SUMPRODUCT(V36:V54,Z36:Z54)/V65</f>
        <v>147657.97715526973</v>
      </c>
      <c r="AA65" s="253">
        <f t="shared" ref="AA65" si="154">SUM(AA36:AA54)</f>
        <v>103.40818279999998</v>
      </c>
      <c r="AB65" s="306">
        <f>SUM(AB36:AB54)</f>
        <v>0.99999999999999978</v>
      </c>
      <c r="AC65" s="294">
        <f t="shared" ref="AC65" si="155">SUMPRODUCT(AA36:AA54,AC36:AC54)/AA65</f>
        <v>154270.74703201637</v>
      </c>
      <c r="AD65" s="255">
        <f>SUMPRODUCT(AA36:AA54,AD36:AD54)/AA65</f>
        <v>11040.644081595163</v>
      </c>
      <c r="AE65" s="255">
        <f>SUMPRODUCT(AA36:AA54,AE36:AE54)/AA65</f>
        <v>143230.10295042125</v>
      </c>
      <c r="AF65" s="253">
        <f t="shared" ref="AF65" si="156">SUM(AF36:AF54)</f>
        <v>163.19045000000017</v>
      </c>
      <c r="AG65" s="306">
        <f>SUM(AG36:AG54)</f>
        <v>0.99999999999999978</v>
      </c>
      <c r="AH65" s="294">
        <f t="shared" ref="AH65" si="157">SUMPRODUCT(AF36:AF54,AH36:AH54)/AF65</f>
        <v>146851.87370726254</v>
      </c>
      <c r="AI65" s="255">
        <f>SUMPRODUCT(AF36:AF54,AI36:AI54)/AF65</f>
        <v>8046.807593525361</v>
      </c>
      <c r="AJ65" s="255">
        <f>SUMPRODUCT(AF36:AF54,AJ36:AJ54)/AF65</f>
        <v>138805.06611373712</v>
      </c>
      <c r="AK65" s="253">
        <f t="shared" ref="AK65" si="158">SUM(AK36:AK54)</f>
        <v>230.74857200000022</v>
      </c>
      <c r="AL65" s="306">
        <f>SUM(AL36:AL54)</f>
        <v>0.99999999999999967</v>
      </c>
      <c r="AM65" s="294">
        <f t="shared" ref="AM65" si="159">SUMPRODUCT(AK36:AK54,AM36:AM54)/AK65</f>
        <v>139865.35519643041</v>
      </c>
      <c r="AN65" s="255">
        <f>SUMPRODUCT(AK36:AK54,AN36:AN54)/AK65</f>
        <v>2675.3931975247115</v>
      </c>
      <c r="AO65" s="255">
        <f>SUMPRODUCT(AK36:AK54,AO36:AO54)/AK65</f>
        <v>137189.96199890567</v>
      </c>
      <c r="AP65" s="253">
        <f t="shared" ref="AP65" si="160">SUM(AP36:AP54)</f>
        <v>203.18220000000019</v>
      </c>
      <c r="AQ65" s="306">
        <f>SUM(AQ36:AQ54)</f>
        <v>1.0000000000000002</v>
      </c>
      <c r="AR65" s="294">
        <f t="shared" ref="AR65" si="161">SUMPRODUCT(AP36:AP54,AR36:AR54)/AP65</f>
        <v>140399.05621653853</v>
      </c>
      <c r="AS65" s="255">
        <f>SUMPRODUCT(AP36:AP54,AS36:AS54)/AP65</f>
        <v>3178.8587779835011</v>
      </c>
      <c r="AT65" s="255">
        <f>SUMPRODUCT(AP36:AP54,AT36:AT54)/AP65</f>
        <v>137220.19743855501</v>
      </c>
      <c r="AU65" s="253">
        <f t="shared" ref="AU65" si="162">SUM(AU36:AU54)</f>
        <v>182.9690249999999</v>
      </c>
      <c r="AV65" s="306">
        <f>SUM(AV36:AV54)</f>
        <v>1</v>
      </c>
      <c r="AW65" s="294">
        <f t="shared" ref="AW65" si="163">SUMPRODUCT(AU36:AU54,AW36:AW54)/AU65</f>
        <v>139169.84402141313</v>
      </c>
      <c r="AX65" s="255">
        <f>SUMPRODUCT(AU36:AU54,AX36:AX54)/AU65</f>
        <v>21416.387828486237</v>
      </c>
      <c r="AY65" s="255">
        <f>SUMPRODUCT(AU36:AU54,AY36:AY54)/AU65</f>
        <v>117753.45619292691</v>
      </c>
      <c r="AZ65" s="253">
        <f t="shared" ref="AZ65" si="164">SUM(AZ36:AZ54)</f>
        <v>77.768575600000119</v>
      </c>
      <c r="BA65" s="306">
        <f>SUM(BA36:BA54)</f>
        <v>1.0000000000000002</v>
      </c>
      <c r="BB65" s="294">
        <f t="shared" ref="BB65" si="165">SUMPRODUCT(AZ36:AZ54,BB36:BB54)/AZ65</f>
        <v>142263.78179928992</v>
      </c>
      <c r="BC65" s="255">
        <f>SUMPRODUCT(AZ36:AZ54,BC36:BC54)/AZ65</f>
        <v>3190.415512766569</v>
      </c>
      <c r="BD65" s="255">
        <f>SUMPRODUCT(AZ36:AZ54,BD36:BD54)/AZ65</f>
        <v>139073.36628652335</v>
      </c>
      <c r="BE65" s="253">
        <f t="shared" ref="BE65" si="166">SUM(BE36:BE54)</f>
        <v>82.217520000000093</v>
      </c>
      <c r="BF65" s="306">
        <f>SUM(BF36:BF54)</f>
        <v>1.0000000000000002</v>
      </c>
      <c r="BG65" s="294">
        <f t="shared" ref="BG65" si="167">SUMPRODUCT(BE36:BE54,BG36:BG54)/BE65</f>
        <v>143697.67331829012</v>
      </c>
      <c r="BH65" s="255">
        <f>SUMPRODUCT(BE36:BE54,BH36:BH54)/BE65</f>
        <v>7064.4816335982814</v>
      </c>
      <c r="BI65" s="255">
        <f>SUMPRODUCT(BE36:BE54,BI36:BI54)/BE65</f>
        <v>136633.19168469188</v>
      </c>
      <c r="BK65" s="294">
        <f>SUM(BK36:BK64)</f>
        <v>77.462900000000161</v>
      </c>
      <c r="BL65" s="306">
        <f>SUM(BL36:BL54)</f>
        <v>0.99999999999999967</v>
      </c>
      <c r="BM65" s="255">
        <f>SUMPRODUCT(BK36:BK64,BM36:BM64)/BK65</f>
        <v>144392.9903218183</v>
      </c>
      <c r="BN65" s="255">
        <f>SUMPRODUCT(BK36:BK64,BN36:BN64)/BK65</f>
        <v>9844.8253292866448</v>
      </c>
      <c r="BO65" s="255">
        <f>SUMPRODUCT(BK36:BK64,BO36:BO64)/BK65</f>
        <v>134548.16499253165</v>
      </c>
      <c r="BP65" s="294">
        <f>SUM(BP36:BP64)</f>
        <v>87.130250000000132</v>
      </c>
      <c r="BQ65" s="306">
        <f>SUM(BQ36:BQ64)</f>
        <v>1</v>
      </c>
      <c r="BR65" s="255">
        <f>SUMPRODUCT(BP36:BP64,BR36:BR64)/BP65</f>
        <v>134472.16712909678</v>
      </c>
      <c r="BS65" s="255">
        <f>SUMPRODUCT(BP36:BP64,BS36:BS64)/BP65</f>
        <v>9670.714132003508</v>
      </c>
      <c r="BT65" s="255">
        <f>SUMPRODUCT(BP36:BP64,BT36:BT64)/BP65</f>
        <v>124801.45299709329</v>
      </c>
      <c r="BU65" s="294">
        <f>SUM(BU36:BU64)</f>
        <v>131.46046000000015</v>
      </c>
      <c r="BV65" s="306">
        <f>SUM(BV36:BV64)</f>
        <v>1</v>
      </c>
      <c r="BW65" s="255">
        <f>SUMPRODUCT(BU36:BU64,BW36:BW64)/BU65</f>
        <v>139421.68375190525</v>
      </c>
      <c r="BX65" s="255">
        <f>SUMPRODUCT(BU36:BU64,BX36:BX64)/BU65</f>
        <v>25091.741653726112</v>
      </c>
      <c r="BY65" s="255">
        <f>SUMPRODUCT(BU36:BU64,BY36:BY64)/BU65</f>
        <v>114329.9420981791</v>
      </c>
      <c r="BZ65" s="294">
        <f>SUM(BZ36:BZ64)</f>
        <v>125.11047500000008</v>
      </c>
      <c r="CA65" s="306">
        <f>SUM(CA36:CA64)</f>
        <v>1</v>
      </c>
      <c r="CB65" s="255">
        <f>SUMPRODUCT(BZ36:BZ64,CB36:CB64)/BZ65</f>
        <v>126688.37577349128</v>
      </c>
      <c r="CC65" s="255">
        <f>SUMPRODUCT(BZ36:BZ64,CC36:CC64)/BZ65</f>
        <v>9622.3500869931067</v>
      </c>
      <c r="CD65" s="255">
        <f>SUMPRODUCT(BZ36:BZ64,CD36:CD64)/BZ65</f>
        <v>117066.02568649816</v>
      </c>
      <c r="CE65" s="294">
        <f>SUM(CE36:CE64)</f>
        <v>114.54914999999994</v>
      </c>
      <c r="CF65" s="306">
        <f>SUM(CF36:CF64)</f>
        <v>6.7036252980701067E-2</v>
      </c>
      <c r="CG65" s="255">
        <f>SUMPRODUCT(CE36:CE64,CG36:CG64)/CE65</f>
        <v>121875.8291091642</v>
      </c>
      <c r="CH65" s="255">
        <f>SUMPRODUCT(CE36:CE64,CH36:CH64)/CE65</f>
        <v>7518.2350109101653</v>
      </c>
      <c r="CI65" s="255">
        <f>SUMPRODUCT(CE36:CE64,CI36:CI64)/CE65</f>
        <v>114357.59409825405</v>
      </c>
      <c r="CJ65" s="294">
        <f>SUM(CJ36:CJ64)</f>
        <v>108.5402</v>
      </c>
      <c r="CK65" s="306">
        <f>SUM(CK36:CK64)</f>
        <v>1.0000000000000002</v>
      </c>
      <c r="CL65" s="255">
        <f>SUMPRODUCT(CJ36:CJ64,CL36:CL64)/CJ65</f>
        <v>122153.29896204357</v>
      </c>
      <c r="CM65" s="255">
        <f>SUMPRODUCT(CJ36:CJ64,CM36:CM64)/CJ65</f>
        <v>3829.4840068472313</v>
      </c>
      <c r="CN65" s="255">
        <f>SUMPRODUCT(CJ36:CJ64,CN36:CN64)/CJ65</f>
        <v>118323.81495519633</v>
      </c>
      <c r="CO65" s="294">
        <f>SUM(CO36:CO64)</f>
        <v>184.11359500000006</v>
      </c>
      <c r="CP65" s="306">
        <f>SUM(CP36:CP64)</f>
        <v>0.99999999999999956</v>
      </c>
      <c r="CQ65" s="255">
        <f>SUMPRODUCT(CO36:CO64,CQ36:CQ64)/CO65</f>
        <v>134128.43407897162</v>
      </c>
      <c r="CR65" s="255">
        <f>SUMPRODUCT(CO36:CO64,CR36:CR64)/CO65</f>
        <v>2938.972703237911</v>
      </c>
      <c r="CS65" s="255">
        <f>SUMPRODUCT(CO36:CO64,CS36:CS64)/CO65</f>
        <v>131189.46137573369</v>
      </c>
      <c r="CT65" s="294">
        <f>SUM(CT36:CT64)</f>
        <v>205.6994638000001</v>
      </c>
      <c r="CU65" s="306">
        <f>SUM(CU36:CU64)</f>
        <v>0.99999999999999989</v>
      </c>
      <c r="CV65" s="255">
        <f>SUMPRODUCT(CT36:CT64,CV36:CV64)/CT65</f>
        <v>143676.72002653001</v>
      </c>
      <c r="CW65" s="255">
        <f>SUMPRODUCT(CT36:CT64,CW36:CW64)/CT65</f>
        <v>1532.9570829926483</v>
      </c>
      <c r="CX65" s="255">
        <f>SUMPRODUCT(CT36:CT64,CX36:CX64)/CT65</f>
        <v>142143.76294353735</v>
      </c>
      <c r="CY65" s="294">
        <f>SUM(CY36:CY64)</f>
        <v>205.41155000000001</v>
      </c>
      <c r="CZ65" s="306">
        <f>SUM(CZ36:CZ64)</f>
        <v>0.99999999999999967</v>
      </c>
      <c r="DA65" s="255">
        <f>SUMPRODUCT(CY36:CY64,DA36:DA64)/CY65</f>
        <v>141311.08182572958</v>
      </c>
      <c r="DB65" s="255">
        <f>SUMPRODUCT(CY36:CY64,DB36:DB64)/CY65</f>
        <v>1612.0730309468961</v>
      </c>
      <c r="DC65" s="255">
        <f>SUMPRODUCT(CY36:CY64,DC36:DC64)/CY65</f>
        <v>139699.00879478271</v>
      </c>
      <c r="DD65" s="294">
        <f>SUM(DD36:DD64)</f>
        <v>206.67815999999985</v>
      </c>
      <c r="DE65" s="306">
        <f>SUM(DE36:DE64)</f>
        <v>0.99999999999999978</v>
      </c>
      <c r="DF65" s="255">
        <f>SUMPRODUCT(DD36:DD64,DF36:DF64)/DD65</f>
        <v>125033.99072258041</v>
      </c>
      <c r="DG65" s="255">
        <f>SUMPRODUCT(DD36:DD64,DG36:DG64)/DD65</f>
        <v>3417.2989540839749</v>
      </c>
      <c r="DH65" s="255">
        <f>SUMPRODUCT(DD36:DD64,DH36:DH64)/DD65</f>
        <v>121616.69176849644</v>
      </c>
      <c r="DI65" s="294">
        <f>SUM(DI36:DI64)</f>
        <v>133.58517000000001</v>
      </c>
      <c r="DJ65" s="306">
        <f>SUM(DJ36:DJ64)</f>
        <v>0.99999999999999978</v>
      </c>
      <c r="DK65" s="255">
        <f>SUMPRODUCT(DI36:DI64,DK36:DK64)/DI65</f>
        <v>119555.76371239414</v>
      </c>
      <c r="DL65" s="255">
        <f>SUMPRODUCT(DI36:DI64,DL36:DL64)/DI65</f>
        <v>3026.8034992207586</v>
      </c>
      <c r="DM65" s="255">
        <f>SUMPRODUCT(DI36:DI64,DM36:DM64)/DI65</f>
        <v>116528.96021317337</v>
      </c>
      <c r="DN65" s="294">
        <f>SUM(DN36:DN64)</f>
        <v>113.34545999999983</v>
      </c>
      <c r="DO65" s="306">
        <f>SUM(DO36:DO64)</f>
        <v>1</v>
      </c>
      <c r="DP65" s="255">
        <f>SUMPRODUCT(DN36:DN64,DP36:DP64)/DN65</f>
        <v>123110.91780826535</v>
      </c>
      <c r="DQ65" s="255">
        <f>SUMPRODUCT(DN36:DN64,DQ36:DQ64)/DN65</f>
        <v>2542.568092272953</v>
      </c>
      <c r="DR65" s="255">
        <f>SUMPRODUCT(DN36:DN64,DR36:DR64)/DN65</f>
        <v>120568.34971599239</v>
      </c>
    </row>
    <row r="66" spans="1:122">
      <c r="B66"/>
      <c r="G66"/>
      <c r="L66"/>
      <c r="Q66"/>
      <c r="V66"/>
      <c r="AA66"/>
      <c r="AI66" s="283">
        <f>AI65/AH65</f>
        <v>5.4795402948456945E-2</v>
      </c>
      <c r="AN66" s="283">
        <f>AN65/AM65</f>
        <v>1.912834807281133E-2</v>
      </c>
      <c r="AS66" s="283">
        <f>AS65/AR65</f>
        <v>2.264159648680774E-2</v>
      </c>
      <c r="BK66"/>
      <c r="CR66" s="283">
        <f>CR65/CQ65</f>
        <v>2.19116306204508E-2</v>
      </c>
      <c r="CW66" s="283">
        <f>CW65/CV65</f>
        <v>1.0669488297822965E-2</v>
      </c>
      <c r="CX66" s="283">
        <f>(CX65-CS65)/CS65</f>
        <v>8.3499859309811103E-2</v>
      </c>
      <c r="DB66" s="283">
        <f>DB65/DA65</f>
        <v>1.1407973176052593E-2</v>
      </c>
      <c r="DC66" s="283">
        <f>(DC65-CX65)/CX65</f>
        <v>-1.7199165817256088E-2</v>
      </c>
      <c r="DG66" s="283">
        <f>DG65/DF65</f>
        <v>2.7330959640135925E-2</v>
      </c>
      <c r="DH66" s="283">
        <f>(DH65-DC65)/DC65</f>
        <v>-0.12943769023335822</v>
      </c>
      <c r="DL66" s="283">
        <f>DL65/DK65</f>
        <v>2.5317085561028248E-2</v>
      </c>
      <c r="DM66" s="283">
        <f>(DM65-DH65)/DH65</f>
        <v>-4.1834155175079324E-2</v>
      </c>
    </row>
    <row r="67" spans="1:122">
      <c r="B67"/>
      <c r="G67"/>
      <c r="L67"/>
      <c r="Q67"/>
      <c r="V67"/>
      <c r="AA67"/>
      <c r="BK67"/>
      <c r="DP67" s="303">
        <f>SUMPRODUCT(DN36:DN64,DP36:DP64)/DN65</f>
        <v>123110.91780826535</v>
      </c>
      <c r="DQ67" s="303"/>
      <c r="DR67" s="303"/>
    </row>
    <row r="68" spans="1:122">
      <c r="B68"/>
      <c r="G68"/>
      <c r="L68"/>
      <c r="Q68"/>
      <c r="V68"/>
      <c r="AA68"/>
      <c r="BK68"/>
    </row>
    <row r="69" spans="1:122">
      <c r="B69"/>
      <c r="G69"/>
      <c r="L69"/>
      <c r="Q69"/>
      <c r="V69"/>
      <c r="AA69"/>
      <c r="BK69"/>
    </row>
    <row r="70" spans="1:122">
      <c r="A70" s="428" t="s">
        <v>203</v>
      </c>
      <c r="B70" s="428"/>
      <c r="C70" s="428"/>
      <c r="D70" s="428"/>
      <c r="E70" s="340"/>
      <c r="F70" s="340"/>
      <c r="G70"/>
      <c r="L70"/>
      <c r="Q70"/>
      <c r="T70" s="340"/>
      <c r="U70" s="340"/>
      <c r="V70"/>
      <c r="Y70" s="340"/>
      <c r="Z70" s="340"/>
      <c r="AA70"/>
      <c r="AD70" s="340"/>
      <c r="AE70" s="340"/>
    </row>
    <row r="71" spans="1:122">
      <c r="A71" s="358"/>
      <c r="B71" s="358"/>
      <c r="C71" s="358"/>
      <c r="D71" s="358"/>
      <c r="E71" s="357"/>
      <c r="F71" s="357"/>
      <c r="G71"/>
      <c r="L71"/>
      <c r="Q71"/>
      <c r="T71" s="357"/>
      <c r="U71" s="357"/>
      <c r="V71"/>
      <c r="Y71" s="357"/>
      <c r="Z71" s="357"/>
      <c r="AA71"/>
      <c r="AD71" s="357"/>
      <c r="AE71" s="357"/>
    </row>
    <row r="72" spans="1:122">
      <c r="A72" s="358"/>
      <c r="B72" s="358"/>
      <c r="C72" s="358"/>
      <c r="D72" s="358"/>
      <c r="E72" s="357"/>
      <c r="F72" s="357"/>
      <c r="G72"/>
      <c r="L72"/>
      <c r="Q72"/>
      <c r="T72" s="357"/>
      <c r="U72" s="357"/>
      <c r="V72"/>
      <c r="Y72" s="357"/>
      <c r="Z72" s="357"/>
      <c r="AA72"/>
      <c r="AD72" s="357"/>
      <c r="AE72" s="357"/>
    </row>
    <row r="73" spans="1:122" ht="15.75" thickBot="1">
      <c r="B73"/>
      <c r="G73"/>
      <c r="L73"/>
      <c r="Q73"/>
      <c r="V73"/>
      <c r="AA73"/>
      <c r="BK73" s="110" t="s">
        <v>169</v>
      </c>
    </row>
    <row r="74" spans="1:122" s="110" customFormat="1" ht="15.75" thickBot="1">
      <c r="A74" s="129" t="s">
        <v>142</v>
      </c>
      <c r="B74" s="423" t="s">
        <v>80</v>
      </c>
      <c r="C74" s="423"/>
      <c r="D74" s="423"/>
      <c r="E74" s="423"/>
      <c r="F74" s="424"/>
      <c r="G74" s="422" t="s">
        <v>81</v>
      </c>
      <c r="H74" s="423"/>
      <c r="I74" s="423"/>
      <c r="J74" s="423"/>
      <c r="K74" s="424"/>
      <c r="L74" s="422" t="s">
        <v>82</v>
      </c>
      <c r="M74" s="423"/>
      <c r="N74" s="423"/>
      <c r="O74" s="423"/>
      <c r="P74" s="424"/>
      <c r="Q74" s="422" t="s">
        <v>83</v>
      </c>
      <c r="R74" s="423"/>
      <c r="S74" s="423"/>
      <c r="T74" s="423"/>
      <c r="U74" s="424"/>
      <c r="V74" s="422" t="s">
        <v>119</v>
      </c>
      <c r="W74" s="423"/>
      <c r="X74" s="423"/>
      <c r="Y74" s="423"/>
      <c r="Z74" s="424"/>
      <c r="AA74" s="422" t="s">
        <v>143</v>
      </c>
      <c r="AB74" s="423"/>
      <c r="AC74" s="423"/>
      <c r="AD74" s="423"/>
      <c r="AE74" s="424"/>
      <c r="AF74" s="422" t="s">
        <v>146</v>
      </c>
      <c r="AG74" s="423"/>
      <c r="AH74" s="423"/>
      <c r="AI74" s="423"/>
      <c r="AJ74" s="424"/>
      <c r="AK74" s="422" t="s">
        <v>156</v>
      </c>
      <c r="AL74" s="423"/>
      <c r="AM74" s="423"/>
      <c r="AN74" s="423"/>
      <c r="AO74" s="424"/>
      <c r="AP74" s="422" t="s">
        <v>157</v>
      </c>
      <c r="AQ74" s="423"/>
      <c r="AR74" s="423"/>
      <c r="AS74" s="423"/>
      <c r="AT74" s="424"/>
      <c r="AU74" s="422" t="s">
        <v>158</v>
      </c>
      <c r="AV74" s="423"/>
      <c r="AW74" s="423"/>
      <c r="AX74" s="423"/>
      <c r="AY74" s="424"/>
      <c r="AZ74" s="422" t="s">
        <v>160</v>
      </c>
      <c r="BA74" s="423"/>
      <c r="BB74" s="423"/>
      <c r="BC74" s="423"/>
      <c r="BD74" s="424"/>
      <c r="BE74" s="422" t="s">
        <v>161</v>
      </c>
      <c r="BF74" s="423"/>
      <c r="BG74" s="423"/>
      <c r="BH74" s="423"/>
      <c r="BI74" s="424"/>
      <c r="BK74" s="422" t="s">
        <v>80</v>
      </c>
      <c r="BL74" s="423"/>
      <c r="BM74" s="423"/>
      <c r="BN74" s="423"/>
      <c r="BO74" s="424"/>
      <c r="BP74" s="422" t="str">
        <f>BP4</f>
        <v>MAY</v>
      </c>
      <c r="BQ74" s="423"/>
      <c r="BR74" s="423"/>
      <c r="BS74" s="423"/>
      <c r="BT74" s="424"/>
      <c r="BU74" s="422" t="str">
        <f>BU4</f>
        <v>JUNE</v>
      </c>
      <c r="BV74" s="423"/>
      <c r="BW74" s="423"/>
      <c r="BX74" s="423"/>
      <c r="BY74" s="424"/>
      <c r="BZ74" s="422" t="str">
        <f>BZ4</f>
        <v>JULY</v>
      </c>
      <c r="CA74" s="423"/>
      <c r="CB74" s="423"/>
      <c r="CC74" s="423"/>
      <c r="CD74" s="424"/>
      <c r="CE74" s="422" t="str">
        <f>CE4</f>
        <v>AUG</v>
      </c>
      <c r="CF74" s="423"/>
      <c r="CG74" s="423"/>
      <c r="CH74" s="423"/>
      <c r="CI74" s="424"/>
      <c r="CJ74" s="422" t="str">
        <f>CJ4</f>
        <v>SEPT</v>
      </c>
      <c r="CK74" s="423"/>
      <c r="CL74" s="423"/>
      <c r="CM74" s="423"/>
      <c r="CN74" s="424"/>
      <c r="CO74" s="422" t="str">
        <f>CO4</f>
        <v>OCT</v>
      </c>
      <c r="CP74" s="423"/>
      <c r="CQ74" s="423"/>
      <c r="CR74" s="423"/>
      <c r="CS74" s="424"/>
      <c r="CT74" s="422" t="str">
        <f>CT4</f>
        <v>NOV</v>
      </c>
      <c r="CU74" s="423"/>
      <c r="CV74" s="423"/>
      <c r="CW74" s="423"/>
      <c r="CX74" s="424"/>
      <c r="CY74" s="422" t="str">
        <f>CY4</f>
        <v>DEC</v>
      </c>
      <c r="CZ74" s="423"/>
      <c r="DA74" s="423"/>
      <c r="DB74" s="423"/>
      <c r="DC74" s="424"/>
      <c r="DD74" s="422" t="str">
        <f>DD4</f>
        <v>JAN 17</v>
      </c>
      <c r="DE74" s="423"/>
      <c r="DF74" s="423"/>
      <c r="DG74" s="423"/>
      <c r="DH74" s="424"/>
      <c r="DI74" s="422" t="str">
        <f>DI4</f>
        <v>FEB 17</v>
      </c>
      <c r="DJ74" s="423"/>
      <c r="DK74" s="423"/>
      <c r="DL74" s="423"/>
      <c r="DM74" s="424"/>
      <c r="DN74" s="422" t="str">
        <f>DN4</f>
        <v>MARCH 17</v>
      </c>
      <c r="DO74" s="423"/>
      <c r="DP74" s="423"/>
      <c r="DQ74" s="423"/>
      <c r="DR74" s="424"/>
    </row>
    <row r="75" spans="1:122" s="318" customFormat="1">
      <c r="A75" s="314" t="s">
        <v>144</v>
      </c>
      <c r="B75" s="317" t="s">
        <v>122</v>
      </c>
      <c r="C75" s="315" t="s">
        <v>123</v>
      </c>
      <c r="D75" s="315" t="s">
        <v>108</v>
      </c>
      <c r="E75" s="315" t="s">
        <v>150</v>
      </c>
      <c r="F75" s="316" t="str">
        <f>F35</f>
        <v>Net NR</v>
      </c>
      <c r="G75" s="317" t="s">
        <v>122</v>
      </c>
      <c r="H75" s="315" t="s">
        <v>123</v>
      </c>
      <c r="I75" s="315" t="s">
        <v>108</v>
      </c>
      <c r="J75" s="315" t="s">
        <v>150</v>
      </c>
      <c r="K75" s="316" t="str">
        <f>K35</f>
        <v>Net NR</v>
      </c>
      <c r="L75" s="317" t="s">
        <v>122</v>
      </c>
      <c r="M75" s="315" t="s">
        <v>123</v>
      </c>
      <c r="N75" s="315" t="s">
        <v>108</v>
      </c>
      <c r="O75" s="315" t="s">
        <v>150</v>
      </c>
      <c r="P75" s="316" t="str">
        <f>P35</f>
        <v>Net NR</v>
      </c>
      <c r="Q75" s="317" t="s">
        <v>122</v>
      </c>
      <c r="R75" s="315" t="s">
        <v>123</v>
      </c>
      <c r="S75" s="315" t="s">
        <v>108</v>
      </c>
      <c r="T75" s="315" t="s">
        <v>150</v>
      </c>
      <c r="U75" s="316" t="str">
        <f>U35</f>
        <v>Net NR</v>
      </c>
      <c r="V75" s="317" t="s">
        <v>122</v>
      </c>
      <c r="W75" s="315" t="s">
        <v>123</v>
      </c>
      <c r="X75" s="315" t="s">
        <v>108</v>
      </c>
      <c r="Y75" s="315" t="s">
        <v>150</v>
      </c>
      <c r="Z75" s="316" t="str">
        <f>Z35</f>
        <v>Net NR</v>
      </c>
      <c r="AA75" s="317" t="s">
        <v>122</v>
      </c>
      <c r="AB75" s="315" t="s">
        <v>123</v>
      </c>
      <c r="AC75" s="315" t="s">
        <v>108</v>
      </c>
      <c r="AD75" s="315" t="s">
        <v>150</v>
      </c>
      <c r="AE75" s="316" t="str">
        <f>AE35</f>
        <v>Net NR</v>
      </c>
      <c r="AF75" s="317" t="s">
        <v>122</v>
      </c>
      <c r="AG75" s="315" t="s">
        <v>123</v>
      </c>
      <c r="AH75" s="315" t="s">
        <v>108</v>
      </c>
      <c r="AI75" s="315" t="s">
        <v>150</v>
      </c>
      <c r="AJ75" s="316" t="str">
        <f>AJ35</f>
        <v>Net NR</v>
      </c>
      <c r="AK75" s="317" t="s">
        <v>122</v>
      </c>
      <c r="AL75" s="315" t="s">
        <v>123</v>
      </c>
      <c r="AM75" s="315" t="s">
        <v>108</v>
      </c>
      <c r="AN75" s="315" t="s">
        <v>150</v>
      </c>
      <c r="AO75" s="316" t="str">
        <f>AO35</f>
        <v>Net NR</v>
      </c>
      <c r="AP75" s="317" t="s">
        <v>122</v>
      </c>
      <c r="AQ75" s="315" t="s">
        <v>123</v>
      </c>
      <c r="AR75" s="315" t="s">
        <v>108</v>
      </c>
      <c r="AS75" s="315" t="s">
        <v>150</v>
      </c>
      <c r="AT75" s="316" t="str">
        <f>AT35</f>
        <v>Net NR</v>
      </c>
      <c r="AU75" s="317" t="s">
        <v>122</v>
      </c>
      <c r="AV75" s="315" t="s">
        <v>123</v>
      </c>
      <c r="AW75" s="315" t="s">
        <v>108</v>
      </c>
      <c r="AX75" s="315" t="s">
        <v>150</v>
      </c>
      <c r="AY75" s="316" t="str">
        <f>AY35</f>
        <v>Net NR</v>
      </c>
      <c r="AZ75" s="317" t="s">
        <v>122</v>
      </c>
      <c r="BA75" s="315" t="s">
        <v>123</v>
      </c>
      <c r="BB75" s="315" t="s">
        <v>108</v>
      </c>
      <c r="BC75" s="315" t="s">
        <v>150</v>
      </c>
      <c r="BD75" s="316" t="str">
        <f>BD35</f>
        <v>Net NR</v>
      </c>
      <c r="BE75" s="317" t="s">
        <v>122</v>
      </c>
      <c r="BF75" s="315" t="s">
        <v>123</v>
      </c>
      <c r="BG75" s="315" t="s">
        <v>108</v>
      </c>
      <c r="BH75" s="315" t="s">
        <v>150</v>
      </c>
      <c r="BI75" s="316" t="str">
        <f>BI35</f>
        <v>Net NR</v>
      </c>
      <c r="BK75" s="317" t="s">
        <v>122</v>
      </c>
      <c r="BL75" s="315" t="s">
        <v>123</v>
      </c>
      <c r="BM75" s="315" t="s">
        <v>108</v>
      </c>
      <c r="BN75" s="315" t="s">
        <v>150</v>
      </c>
      <c r="BO75" s="316" t="str">
        <f>BO35</f>
        <v>Net NR</v>
      </c>
      <c r="BP75" s="317" t="s">
        <v>122</v>
      </c>
      <c r="BQ75" s="315" t="s">
        <v>123</v>
      </c>
      <c r="BR75" s="315" t="s">
        <v>108</v>
      </c>
      <c r="BS75" s="315" t="s">
        <v>150</v>
      </c>
      <c r="BT75" s="316" t="str">
        <f>BT35</f>
        <v>Net NR</v>
      </c>
      <c r="BU75" s="317" t="s">
        <v>122</v>
      </c>
      <c r="BV75" s="315" t="s">
        <v>123</v>
      </c>
      <c r="BW75" s="315" t="s">
        <v>108</v>
      </c>
      <c r="BX75" s="315" t="s">
        <v>150</v>
      </c>
      <c r="BY75" s="316" t="str">
        <f>BY35</f>
        <v>Net NR</v>
      </c>
      <c r="BZ75" s="317" t="s">
        <v>122</v>
      </c>
      <c r="CA75" s="315" t="s">
        <v>123</v>
      </c>
      <c r="CB75" s="315" t="s">
        <v>108</v>
      </c>
      <c r="CC75" s="315" t="s">
        <v>150</v>
      </c>
      <c r="CD75" s="316" t="str">
        <f>CD35</f>
        <v>Net NR</v>
      </c>
      <c r="CE75" s="317" t="s">
        <v>122</v>
      </c>
      <c r="CF75" s="315" t="s">
        <v>123</v>
      </c>
      <c r="CG75" s="315" t="s">
        <v>108</v>
      </c>
      <c r="CH75" s="315" t="s">
        <v>150</v>
      </c>
      <c r="CI75" s="316" t="str">
        <f>CI35</f>
        <v>Net NR</v>
      </c>
      <c r="CJ75" s="317" t="s">
        <v>122</v>
      </c>
      <c r="CK75" s="315" t="s">
        <v>123</v>
      </c>
      <c r="CL75" s="315" t="s">
        <v>108</v>
      </c>
      <c r="CM75" s="315" t="s">
        <v>150</v>
      </c>
      <c r="CN75" s="316" t="str">
        <f>CN35</f>
        <v>Net NR</v>
      </c>
      <c r="CO75" s="317" t="s">
        <v>122</v>
      </c>
      <c r="CP75" s="315" t="s">
        <v>123</v>
      </c>
      <c r="CQ75" s="315" t="s">
        <v>108</v>
      </c>
      <c r="CR75" s="315" t="s">
        <v>150</v>
      </c>
      <c r="CS75" s="316" t="str">
        <f>CS35</f>
        <v>Net NR</v>
      </c>
      <c r="CT75" s="317" t="s">
        <v>122</v>
      </c>
      <c r="CU75" s="315" t="s">
        <v>123</v>
      </c>
      <c r="CV75" s="315" t="s">
        <v>108</v>
      </c>
      <c r="CW75" s="315" t="s">
        <v>150</v>
      </c>
      <c r="CX75" s="316" t="str">
        <f>CX35</f>
        <v>Net NR</v>
      </c>
      <c r="CY75" s="317" t="s">
        <v>122</v>
      </c>
      <c r="CZ75" s="315" t="s">
        <v>123</v>
      </c>
      <c r="DA75" s="315" t="s">
        <v>108</v>
      </c>
      <c r="DB75" s="315" t="s">
        <v>150</v>
      </c>
      <c r="DC75" s="316" t="str">
        <f>DC35</f>
        <v>Net NR</v>
      </c>
      <c r="DD75" s="317" t="s">
        <v>122</v>
      </c>
      <c r="DE75" s="315" t="s">
        <v>123</v>
      </c>
      <c r="DF75" s="315" t="s">
        <v>108</v>
      </c>
      <c r="DG75" s="315" t="s">
        <v>150</v>
      </c>
      <c r="DH75" s="316" t="str">
        <f>DH35</f>
        <v>Net NR</v>
      </c>
      <c r="DI75" s="317" t="s">
        <v>122</v>
      </c>
      <c r="DJ75" s="315" t="s">
        <v>123</v>
      </c>
      <c r="DK75" s="315" t="s">
        <v>108</v>
      </c>
      <c r="DL75" s="315" t="s">
        <v>150</v>
      </c>
      <c r="DM75" s="316" t="str">
        <f>DM35</f>
        <v>Net NR</v>
      </c>
      <c r="DN75" s="317" t="s">
        <v>122</v>
      </c>
      <c r="DO75" s="315" t="s">
        <v>123</v>
      </c>
      <c r="DP75" s="315" t="s">
        <v>108</v>
      </c>
      <c r="DQ75" s="309" t="s">
        <v>150</v>
      </c>
      <c r="DR75" s="316" t="str">
        <f>DR35</f>
        <v>Net NR</v>
      </c>
    </row>
    <row r="76" spans="1:122" s="301" customFormat="1">
      <c r="A76" s="103" t="s">
        <v>197</v>
      </c>
      <c r="B76" s="249">
        <v>30.560599999999774</v>
      </c>
      <c r="C76" s="250">
        <v>0.43933588761174969</v>
      </c>
      <c r="D76" s="299">
        <v>99097.547352003283</v>
      </c>
      <c r="E76" s="299">
        <v>9847.2316101203996</v>
      </c>
      <c r="F76" s="251">
        <f t="shared" ref="F76:F79" si="168">D76-E76</f>
        <v>89250.315741882878</v>
      </c>
      <c r="G76" s="249">
        <v>33.524189999999784</v>
      </c>
      <c r="H76" s="250">
        <v>0.53523131672597868</v>
      </c>
      <c r="I76" s="299">
        <v>98910.883524904988</v>
      </c>
      <c r="J76" s="299">
        <v>10849.046385811822</v>
      </c>
      <c r="K76" s="251">
        <f t="shared" ref="K76:K79" si="169">I76-J76</f>
        <v>88061.837139093172</v>
      </c>
      <c r="L76" s="249">
        <v>13.661759999999981</v>
      </c>
      <c r="M76" s="250">
        <v>0.41786447638603696</v>
      </c>
      <c r="N76" s="299">
        <v>98957.389200654579</v>
      </c>
      <c r="O76" s="299">
        <v>10266.968639906676</v>
      </c>
      <c r="P76" s="251">
        <f t="shared" ref="P76:P79" si="170">N76-O76</f>
        <v>88690.420560747909</v>
      </c>
      <c r="Q76" s="304">
        <v>16.591679999999954</v>
      </c>
      <c r="R76" s="250">
        <v>0.44109055501460565</v>
      </c>
      <c r="S76" s="299">
        <v>97124.674102588484</v>
      </c>
      <c r="T76" s="299">
        <v>7572.8185942851369</v>
      </c>
      <c r="U76" s="251">
        <f t="shared" ref="U76:U79" si="171">S76-T76</f>
        <v>89551.855508303343</v>
      </c>
      <c r="V76" s="249">
        <v>11.73227999999999</v>
      </c>
      <c r="W76" s="250">
        <v>0.45563139931740615</v>
      </c>
      <c r="X76" s="299">
        <v>96989.890281419299</v>
      </c>
      <c r="Y76" s="299">
        <v>8721.8665042847861</v>
      </c>
      <c r="Z76" s="251">
        <f t="shared" ref="Z76:Z79" si="172">X76-Y76</f>
        <v>88268.023777134513</v>
      </c>
      <c r="AA76" s="249">
        <v>10.881079999999981</v>
      </c>
      <c r="AB76" s="250">
        <v>0.45077720207253885</v>
      </c>
      <c r="AC76" s="299">
        <v>97078.008161945123</v>
      </c>
      <c r="AD76" s="299">
        <v>8614.4346931350501</v>
      </c>
      <c r="AE76" s="251">
        <f t="shared" ref="AE76:AE79" si="173">AC76-AD76</f>
        <v>88463.573468810078</v>
      </c>
      <c r="AF76" s="249">
        <v>12.418979999999989</v>
      </c>
      <c r="AG76" s="250">
        <v>0.41400304414003042</v>
      </c>
      <c r="AH76" s="299">
        <v>96975.332698371218</v>
      </c>
      <c r="AI76" s="299">
        <v>11313.071385445322</v>
      </c>
      <c r="AJ76" s="251">
        <f t="shared" ref="AJ76:AJ79" si="174">AH76-AI76</f>
        <v>85662.261312925897</v>
      </c>
      <c r="AK76" s="249">
        <v>10.403259999999989</v>
      </c>
      <c r="AL76" s="250">
        <v>0.3936348408710218</v>
      </c>
      <c r="AM76" s="299">
        <v>97041.915399666133</v>
      </c>
      <c r="AN76" s="299">
        <v>11762.983603286979</v>
      </c>
      <c r="AO76" s="251">
        <f t="shared" ref="AO76:AO79" si="175">AM76-AN76</f>
        <v>85278.931796379155</v>
      </c>
      <c r="AP76" s="249">
        <v>9.174900000000008</v>
      </c>
      <c r="AQ76" s="250">
        <v>0.25101626016260165</v>
      </c>
      <c r="AR76" s="299">
        <v>96954.803867072056</v>
      </c>
      <c r="AS76" s="299">
        <v>8843.8195511667709</v>
      </c>
      <c r="AT76" s="251">
        <f t="shared" ref="AT76:AT79" si="176">AR76-AS76</f>
        <v>88110.984315905283</v>
      </c>
      <c r="AU76" s="249">
        <v>7.3577000000000092</v>
      </c>
      <c r="AV76" s="250">
        <v>0.34887737478411052</v>
      </c>
      <c r="AW76" s="299">
        <v>97040.213653723185</v>
      </c>
      <c r="AX76" s="299">
        <v>9191.5571442162636</v>
      </c>
      <c r="AY76" s="251">
        <f t="shared" ref="AY76:AY79" si="177">AW76-AX76</f>
        <v>87848.656509506924</v>
      </c>
      <c r="AZ76" s="249">
        <v>12.55883999999997</v>
      </c>
      <c r="BA76" s="250">
        <v>0.45153061224489793</v>
      </c>
      <c r="BB76" s="299">
        <v>96943.630940437448</v>
      </c>
      <c r="BC76" s="299">
        <v>9175.2422994480548</v>
      </c>
      <c r="BD76" s="251">
        <f t="shared" ref="BD76:BD79" si="178">BB76-BC76</f>
        <v>87768.388640989389</v>
      </c>
      <c r="BE76" s="261">
        <v>8.6953300000000038</v>
      </c>
      <c r="BF76" s="250">
        <v>0.20240963855421687</v>
      </c>
      <c r="BG76" s="261">
        <v>96995.035266056497</v>
      </c>
      <c r="BH76" s="299">
        <v>12807.824429895114</v>
      </c>
      <c r="BI76" s="251">
        <f t="shared" ref="BI76:BI79" si="179">BG76-BH76</f>
        <v>84187.210836161379</v>
      </c>
      <c r="BJ76" s="322"/>
      <c r="BK76" s="297">
        <v>12.50213999999999</v>
      </c>
      <c r="BL76" s="298">
        <f>BK76/BK$95</f>
        <v>0.27984897725767899</v>
      </c>
      <c r="BM76" s="299">
        <v>97012.596243523149</v>
      </c>
      <c r="BN76" s="299">
        <v>15273.802724973481</v>
      </c>
      <c r="BO76" s="251">
        <f t="shared" ref="BO76:BO79" si="180">BM76-BN76</f>
        <v>81738.793518549675</v>
      </c>
      <c r="BP76" s="297">
        <v>6.5856000000000057</v>
      </c>
      <c r="BQ76" s="298">
        <f>BP76/BP$95</f>
        <v>0.13689004102086691</v>
      </c>
      <c r="BR76" s="299">
        <v>96920.878887269078</v>
      </c>
      <c r="BS76" s="299">
        <v>11140.78292031097</v>
      </c>
      <c r="BT76" s="251">
        <f t="shared" ref="BT76:BT79" si="181">BR76-BS76</f>
        <v>85780.095966958106</v>
      </c>
      <c r="BU76" s="297">
        <f>'NR '!AV76</f>
        <v>11.693359999999993</v>
      </c>
      <c r="BV76" s="298">
        <f>BU76/BU$95</f>
        <v>0.2715492535423743</v>
      </c>
      <c r="BW76" s="299">
        <f>'NR '!AX76</f>
        <v>96954.33134702094</v>
      </c>
      <c r="BX76" s="299">
        <v>15011.669015578082</v>
      </c>
      <c r="BY76" s="251">
        <f t="shared" ref="BY76:BY79" si="182">BW76-BX76</f>
        <v>81942.662331442858</v>
      </c>
      <c r="BZ76" s="297">
        <f>'NR '!AY76</f>
        <v>7.344960000000003</v>
      </c>
      <c r="CA76" s="298">
        <f>BZ76/BZ$95</f>
        <v>0.25410753488124932</v>
      </c>
      <c r="CB76" s="299">
        <f>'NR '!BA76</f>
        <v>96898.018505206186</v>
      </c>
      <c r="CC76" s="261">
        <v>8518.3649740774654</v>
      </c>
      <c r="CD76" s="251">
        <f t="shared" ref="CD76:CD79" si="183">CB76-CC76</f>
        <v>88379.653531128715</v>
      </c>
      <c r="CE76" s="297">
        <f>'NR '!BB76</f>
        <v>5.1609599999999967</v>
      </c>
      <c r="CF76" s="298">
        <f>CE76/CE$95</f>
        <v>0.22704935961993736</v>
      </c>
      <c r="CG76" s="299">
        <f>'NR '!BD76</f>
        <v>97010.013640872989</v>
      </c>
      <c r="CH76" s="261">
        <v>8521.2344215029843</v>
      </c>
      <c r="CI76" s="251">
        <f t="shared" ref="CI76:CI79" si="184">CG76-CH76</f>
        <v>88488.779219370001</v>
      </c>
      <c r="CJ76" s="249">
        <v>8.5612800000000071</v>
      </c>
      <c r="CK76" s="298">
        <f>CJ76/CJ$95</f>
        <v>0.1908005793765073</v>
      </c>
      <c r="CL76" s="299">
        <v>96846.503092995306</v>
      </c>
      <c r="CM76" s="261">
        <v>9304.1110675039163</v>
      </c>
      <c r="CN76" s="251">
        <f t="shared" ref="CN76:CN79" si="185">CL76-CM76</f>
        <v>87542.392025491397</v>
      </c>
      <c r="CO76" s="249">
        <f>'NR '!BH76</f>
        <v>4.7308799999999991</v>
      </c>
      <c r="CP76" s="298">
        <f>CO76/CO$95</f>
        <v>0.21458653962603597</v>
      </c>
      <c r="CQ76" s="261">
        <f>'NR '!BJ76</f>
        <v>96723.983698593001</v>
      </c>
      <c r="CR76" s="261">
        <v>7956.5852441829011</v>
      </c>
      <c r="CS76" s="251">
        <f t="shared" ref="CS76:CS79" si="186">CQ76-CR76</f>
        <v>88767.398454410097</v>
      </c>
      <c r="CT76" s="249">
        <v>2.1818999999999984</v>
      </c>
      <c r="CU76" s="298">
        <f>CT76/CT$95</f>
        <v>0.16077442888566573</v>
      </c>
      <c r="CV76" s="261">
        <v>96976.877950410286</v>
      </c>
      <c r="CW76" s="261">
        <v>9885.2468032448833</v>
      </c>
      <c r="CX76" s="251">
        <f t="shared" ref="CX76:CX79" si="187">CV76-CW76</f>
        <v>87091.631147165404</v>
      </c>
      <c r="CY76" s="249">
        <v>7.6473600000000017</v>
      </c>
      <c r="CZ76" s="298">
        <f>CY76/CY$95</f>
        <v>0.34308331377307666</v>
      </c>
      <c r="DA76" s="261">
        <v>97004.904960666172</v>
      </c>
      <c r="DB76" s="261">
        <v>8821.0964306636506</v>
      </c>
      <c r="DC76" s="251">
        <f t="shared" ref="DC76:DC79" si="188">DA76-DB76</f>
        <v>88183.808530002527</v>
      </c>
      <c r="DD76" s="249">
        <f>'NR '!BQ76</f>
        <v>13.168399999999981</v>
      </c>
      <c r="DE76" s="298">
        <f>DD76/DD$95</f>
        <v>0.29901668552343136</v>
      </c>
      <c r="DF76" s="261">
        <f>'NR '!BS76</f>
        <v>96916.256340937529</v>
      </c>
      <c r="DG76" s="261">
        <v>31167.929285258688</v>
      </c>
      <c r="DH76" s="251">
        <f t="shared" ref="DH76:DH80" si="189">DF76-DG76</f>
        <v>65748.327055678848</v>
      </c>
      <c r="DI76" s="249">
        <f>'NR '!BT76</f>
        <v>0.29400000000000004</v>
      </c>
      <c r="DJ76" s="298">
        <f>DI76/DI$95</f>
        <v>1.0256566260697365E-2</v>
      </c>
      <c r="DK76" s="261">
        <f>'NR '!BV76</f>
        <v>96319.59183673466</v>
      </c>
      <c r="DL76" s="261">
        <v>70291.122448979586</v>
      </c>
      <c r="DM76" s="251">
        <f t="shared" ref="DM76:DM80" si="190">DK76-DL76</f>
        <v>26028.469387755074</v>
      </c>
      <c r="DN76" s="249">
        <v>1.02739</v>
      </c>
      <c r="DO76" s="298">
        <f>DN76/DN$95</f>
        <v>4.4143058415016749E-2</v>
      </c>
      <c r="DP76" s="261">
        <v>96379.330147266359</v>
      </c>
      <c r="DQ76" s="261">
        <v>8434.8397395341581</v>
      </c>
      <c r="DR76" s="251">
        <f t="shared" ref="DR76:DR80" si="191">DP76-DQ76</f>
        <v>87944.490407732199</v>
      </c>
    </row>
    <row r="77" spans="1:122" s="301" customFormat="1">
      <c r="A77" s="103" t="s">
        <v>198</v>
      </c>
      <c r="B77" s="249">
        <v>31.197311999999936</v>
      </c>
      <c r="C77" s="250">
        <v>0.31417624521072796</v>
      </c>
      <c r="D77" s="299">
        <v>102090.64631026894</v>
      </c>
      <c r="E77" s="299">
        <v>18000.328849585021</v>
      </c>
      <c r="F77" s="251">
        <f t="shared" si="168"/>
        <v>84090.317460683931</v>
      </c>
      <c r="G77" s="249">
        <v>30.476817999999959</v>
      </c>
      <c r="H77" s="250">
        <v>0.28398576512455515</v>
      </c>
      <c r="I77" s="299">
        <v>102052.81350633004</v>
      </c>
      <c r="J77" s="299">
        <v>2960.2320563898575</v>
      </c>
      <c r="K77" s="251">
        <f t="shared" si="169"/>
        <v>99092.581449940189</v>
      </c>
      <c r="L77" s="249">
        <v>28.09311199999993</v>
      </c>
      <c r="M77" s="250">
        <v>0.36242299794661192</v>
      </c>
      <c r="N77" s="299">
        <v>102062.49247357233</v>
      </c>
      <c r="O77" s="299">
        <v>10342.606474470078</v>
      </c>
      <c r="P77" s="251">
        <f t="shared" si="170"/>
        <v>91719.885999102262</v>
      </c>
      <c r="Q77" s="304">
        <v>32.597567999999931</v>
      </c>
      <c r="R77" s="250">
        <v>0.34761441090555012</v>
      </c>
      <c r="S77" s="299">
        <v>99899.589748864179</v>
      </c>
      <c r="T77" s="299">
        <v>14833.949269181541</v>
      </c>
      <c r="U77" s="251">
        <f t="shared" si="171"/>
        <v>85065.640479682639</v>
      </c>
      <c r="V77" s="249">
        <v>16.342847999999972</v>
      </c>
      <c r="W77" s="250">
        <v>0.35494880546075086</v>
      </c>
      <c r="X77" s="299">
        <v>100259.05325943406</v>
      </c>
      <c r="Y77" s="299">
        <v>11992.729666385892</v>
      </c>
      <c r="Z77" s="251">
        <f t="shared" si="172"/>
        <v>88266.323593048175</v>
      </c>
      <c r="AA77" s="249">
        <v>12.051367999999966</v>
      </c>
      <c r="AB77" s="250">
        <v>0.36096718480138168</v>
      </c>
      <c r="AC77" s="299">
        <v>99814.307815382126</v>
      </c>
      <c r="AD77" s="299">
        <v>17534.988156402113</v>
      </c>
      <c r="AE77" s="251">
        <f t="shared" si="173"/>
        <v>82279.319658980006</v>
      </c>
      <c r="AF77" s="249">
        <v>15.539086911999961</v>
      </c>
      <c r="AG77" s="250">
        <v>0.43378995433789952</v>
      </c>
      <c r="AH77" s="299">
        <v>99966.768198769569</v>
      </c>
      <c r="AI77" s="299">
        <v>18152.416609151544</v>
      </c>
      <c r="AJ77" s="251">
        <f t="shared" si="174"/>
        <v>81814.351589618018</v>
      </c>
      <c r="AK77" s="249">
        <v>14.452991999999972</v>
      </c>
      <c r="AL77" s="250">
        <v>0.37688442211055279</v>
      </c>
      <c r="AM77" s="299">
        <v>99933.055371121489</v>
      </c>
      <c r="AN77" s="299">
        <v>18106.506238595801</v>
      </c>
      <c r="AO77" s="251">
        <f t="shared" si="175"/>
        <v>81826.549132525688</v>
      </c>
      <c r="AP77" s="249">
        <v>12.952163999999962</v>
      </c>
      <c r="AQ77" s="250">
        <v>0.20934959349593496</v>
      </c>
      <c r="AR77" s="299">
        <v>99999.577676750007</v>
      </c>
      <c r="AS77" s="299">
        <v>17150.502417974378</v>
      </c>
      <c r="AT77" s="251">
        <f t="shared" si="176"/>
        <v>82849.075258775629</v>
      </c>
      <c r="AU77" s="249">
        <v>31.01075399999992</v>
      </c>
      <c r="AV77" s="250">
        <v>0.55267702936096719</v>
      </c>
      <c r="AW77" s="299">
        <v>99759.079060122604</v>
      </c>
      <c r="AX77" s="299">
        <v>16342.495251808487</v>
      </c>
      <c r="AY77" s="251">
        <f t="shared" si="177"/>
        <v>83416.583808314113</v>
      </c>
      <c r="AZ77" s="249">
        <v>8.5386239999999987</v>
      </c>
      <c r="BA77" s="250">
        <v>0.44387755102040816</v>
      </c>
      <c r="BB77" s="299">
        <v>99865.670393731009</v>
      </c>
      <c r="BC77" s="299">
        <v>16746.873969388995</v>
      </c>
      <c r="BD77" s="251">
        <f t="shared" si="178"/>
        <v>83118.796424342014</v>
      </c>
      <c r="BE77" s="261">
        <v>12.56157199999997</v>
      </c>
      <c r="BF77" s="250">
        <v>0.22289156626506024</v>
      </c>
      <c r="BG77" s="261">
        <v>99804.319873340923</v>
      </c>
      <c r="BH77" s="299">
        <v>17667.186877565997</v>
      </c>
      <c r="BI77" s="251">
        <f t="shared" si="179"/>
        <v>82137.132995774926</v>
      </c>
      <c r="BJ77" s="322"/>
      <c r="BK77" s="297">
        <v>15.549695999999972</v>
      </c>
      <c r="BL77" s="298">
        <f t="shared" ref="BL77:BL79" si="192">BK77/BK$95</f>
        <v>0.34806573292794818</v>
      </c>
      <c r="BM77" s="299">
        <v>99792.019085132328</v>
      </c>
      <c r="BN77" s="299">
        <v>16794.934769142779</v>
      </c>
      <c r="BO77" s="251">
        <f t="shared" si="180"/>
        <v>82997.084315989545</v>
      </c>
      <c r="BP77" s="297">
        <v>18.621085999999949</v>
      </c>
      <c r="BQ77" s="298">
        <f t="shared" ref="BQ77:BQ79" si="193">BP77/BP$95</f>
        <v>0.38706286843918264</v>
      </c>
      <c r="BR77" s="299">
        <v>99577.93170602445</v>
      </c>
      <c r="BS77" s="299">
        <v>16027.292393150483</v>
      </c>
      <c r="BT77" s="251">
        <f t="shared" si="181"/>
        <v>83550.639312873973</v>
      </c>
      <c r="BU77" s="297">
        <f>'NR '!AV77</f>
        <v>13.135933999999969</v>
      </c>
      <c r="BV77" s="298">
        <f t="shared" ref="BV77:BV79" si="194">BU77/BU$95</f>
        <v>0.30504945304701891</v>
      </c>
      <c r="BW77" s="299">
        <f>'NR '!AX77</f>
        <v>99596.439811589007</v>
      </c>
      <c r="BX77" s="299">
        <v>16659.789855826053</v>
      </c>
      <c r="BY77" s="251">
        <f t="shared" si="182"/>
        <v>82936.649955762958</v>
      </c>
      <c r="BZ77" s="297">
        <f>'NR '!AY77</f>
        <v>5.5716480000000042</v>
      </c>
      <c r="CA77" s="298">
        <f t="shared" ref="CA77:CA79" si="195">BZ77/BZ$95</f>
        <v>0.19275771937574113</v>
      </c>
      <c r="CB77" s="299">
        <f>'NR '!BA77</f>
        <v>100031.62439551087</v>
      </c>
      <c r="CC77" s="261">
        <v>17157.460413866764</v>
      </c>
      <c r="CD77" s="251">
        <f t="shared" si="183"/>
        <v>82874.163981644102</v>
      </c>
      <c r="CE77" s="297">
        <f>'NR '!BB77</f>
        <v>12.194303999999981</v>
      </c>
      <c r="CF77" s="298">
        <f t="shared" ref="CF77:CF79" si="196">CE77/CE$95</f>
        <v>0.53647168631627418</v>
      </c>
      <c r="CG77" s="299">
        <f>'NR '!BD77</f>
        <v>99639.0544306589</v>
      </c>
      <c r="CH77" s="261">
        <v>17038.104019712831</v>
      </c>
      <c r="CI77" s="251">
        <f t="shared" si="184"/>
        <v>82600.950410946069</v>
      </c>
      <c r="CJ77" s="249">
        <v>28.269503999999959</v>
      </c>
      <c r="CK77" s="298">
        <f t="shared" ref="CK77:CK79" si="197">CJ77/CJ$95</f>
        <v>0.63002702188066251</v>
      </c>
      <c r="CL77" s="299">
        <v>99509.852383685458</v>
      </c>
      <c r="CM77" s="261">
        <v>14683.223306641694</v>
      </c>
      <c r="CN77" s="251">
        <f t="shared" si="185"/>
        <v>84826.629077043763</v>
      </c>
      <c r="CO77" s="249">
        <f>'NR '!BH77</f>
        <v>15.178109999999972</v>
      </c>
      <c r="CP77" s="298">
        <f t="shared" ref="CP77:CP79" si="198">CO77/CO$95</f>
        <v>0.68845925133660701</v>
      </c>
      <c r="CQ77" s="261">
        <f>'NR '!BJ77</f>
        <v>99655.732498974074</v>
      </c>
      <c r="CR77" s="261">
        <v>16844.359409702553</v>
      </c>
      <c r="CS77" s="251">
        <f t="shared" si="186"/>
        <v>82811.373089271525</v>
      </c>
      <c r="CT77" s="249">
        <v>8.7050879999999893</v>
      </c>
      <c r="CU77" s="298">
        <f t="shared" ref="CU77:CU79" si="199">CT77/CT$95</f>
        <v>0.64143890719073349</v>
      </c>
      <c r="CV77" s="261">
        <v>99179.898009072596</v>
      </c>
      <c r="CW77" s="261">
        <v>16834.065319041027</v>
      </c>
      <c r="CX77" s="251">
        <f t="shared" si="187"/>
        <v>82345.832690031573</v>
      </c>
      <c r="CY77" s="249">
        <v>5.1783360000000052</v>
      </c>
      <c r="CZ77" s="298">
        <f t="shared" ref="CZ77:CZ79" si="200">CY77/CY$95</f>
        <v>0.23231555395723755</v>
      </c>
      <c r="DA77" s="261">
        <v>99322.542994506162</v>
      </c>
      <c r="DB77" s="261">
        <v>16345.559654684415</v>
      </c>
      <c r="DC77" s="251">
        <f t="shared" si="188"/>
        <v>82976.983339821745</v>
      </c>
      <c r="DD77" s="249">
        <f>'NR '!BQ77</f>
        <v>19.229413999999974</v>
      </c>
      <c r="DE77" s="298">
        <f t="shared" ref="DE77:DE81" si="201">DD77/DD$95</f>
        <v>0.43664497120666662</v>
      </c>
      <c r="DF77" s="261">
        <f>'NR '!BS77</f>
        <v>99543.431224685512</v>
      </c>
      <c r="DG77" s="261">
        <v>17056.56084995624</v>
      </c>
      <c r="DH77" s="251">
        <f t="shared" si="189"/>
        <v>82486.870374729275</v>
      </c>
      <c r="DI77" s="249">
        <f>'NR '!BT77</f>
        <v>15.34406399999996</v>
      </c>
      <c r="DJ77" s="298">
        <f t="shared" ref="DJ77:DJ81" si="202">DI77/DI$95</f>
        <v>0.53529730994687286</v>
      </c>
      <c r="DK77" s="261">
        <f>'NR '!BV77</f>
        <v>99532.4022371131</v>
      </c>
      <c r="DL77" s="261">
        <v>21025.951794778775</v>
      </c>
      <c r="DM77" s="251">
        <f t="shared" si="190"/>
        <v>78506.450442334317</v>
      </c>
      <c r="DN77" s="249">
        <v>8.3036160000000052</v>
      </c>
      <c r="DO77" s="298">
        <f t="shared" ref="DO77:DO81" si="203">DN77/DN$95</f>
        <v>0.35677494052294451</v>
      </c>
      <c r="DP77" s="261">
        <v>99820.708231209152</v>
      </c>
      <c r="DQ77" s="261">
        <v>18206.283864764449</v>
      </c>
      <c r="DR77" s="251">
        <f t="shared" si="191"/>
        <v>81614.424366444699</v>
      </c>
    </row>
    <row r="78" spans="1:122" s="301" customFormat="1">
      <c r="A78" s="103" t="s">
        <v>199</v>
      </c>
      <c r="B78" s="249">
        <v>17.175000000000033</v>
      </c>
      <c r="C78" s="250">
        <v>0.22222222222222221</v>
      </c>
      <c r="D78" s="299">
        <v>117913.65287989828</v>
      </c>
      <c r="E78" s="299">
        <v>15376.217654280232</v>
      </c>
      <c r="F78" s="251">
        <f t="shared" si="168"/>
        <v>102537.43522561804</v>
      </c>
      <c r="G78" s="249">
        <v>11.789999999999983</v>
      </c>
      <c r="H78" s="250">
        <v>0.16725978647686832</v>
      </c>
      <c r="I78" s="299">
        <v>117824.77679395599</v>
      </c>
      <c r="J78" s="299">
        <v>15844.541082407559</v>
      </c>
      <c r="K78" s="251">
        <f t="shared" si="169"/>
        <v>101980.23571154842</v>
      </c>
      <c r="L78" s="249">
        <v>14.084499999999997</v>
      </c>
      <c r="M78" s="250">
        <v>0.21149897330595482</v>
      </c>
      <c r="N78" s="299">
        <v>118385.98952369555</v>
      </c>
      <c r="O78" s="299">
        <v>15298.603439612527</v>
      </c>
      <c r="P78" s="251">
        <f t="shared" si="170"/>
        <v>103087.38608408302</v>
      </c>
      <c r="Q78" s="304">
        <v>15.687999999999992</v>
      </c>
      <c r="R78" s="250">
        <v>0.20934761441090555</v>
      </c>
      <c r="S78" s="299">
        <v>115995.17003270343</v>
      </c>
      <c r="T78" s="299">
        <v>13303.571358557467</v>
      </c>
      <c r="U78" s="251">
        <f t="shared" si="171"/>
        <v>102691.59867414596</v>
      </c>
      <c r="V78" s="249">
        <v>7.8299999999999983</v>
      </c>
      <c r="W78" s="250">
        <v>0.18600682593856654</v>
      </c>
      <c r="X78" s="299">
        <v>115704.65918245756</v>
      </c>
      <c r="Y78" s="299">
        <v>14139.4731707419</v>
      </c>
      <c r="Z78" s="251">
        <f t="shared" si="172"/>
        <v>101565.18601171566</v>
      </c>
      <c r="AA78" s="249">
        <v>22.155000000000026</v>
      </c>
      <c r="AB78" s="250">
        <v>0.18652849740932642</v>
      </c>
      <c r="AC78" s="299">
        <v>116566.19948944109</v>
      </c>
      <c r="AD78" s="299">
        <v>16572.244201879505</v>
      </c>
      <c r="AE78" s="251">
        <f t="shared" si="173"/>
        <v>99993.955287561577</v>
      </c>
      <c r="AF78" s="249">
        <v>5.0849999999999964</v>
      </c>
      <c r="AG78" s="250">
        <v>0.13850837138508371</v>
      </c>
      <c r="AH78" s="299">
        <v>115389.35946877497</v>
      </c>
      <c r="AI78" s="299">
        <v>12863.933583855622</v>
      </c>
      <c r="AJ78" s="251">
        <f t="shared" si="174"/>
        <v>102525.42588491936</v>
      </c>
      <c r="AK78" s="249">
        <v>4.7699999999999987</v>
      </c>
      <c r="AL78" s="250">
        <v>0.22948073701842547</v>
      </c>
      <c r="AM78" s="299">
        <v>119754.68196704735</v>
      </c>
      <c r="AN78" s="299">
        <v>8601.4744810225711</v>
      </c>
      <c r="AO78" s="251">
        <f t="shared" si="175"/>
        <v>111153.20748602478</v>
      </c>
      <c r="AP78" s="249">
        <v>18.735000000000031</v>
      </c>
      <c r="AQ78" s="250">
        <v>0.53353658536585369</v>
      </c>
      <c r="AR78" s="299">
        <v>127267.85374966632</v>
      </c>
      <c r="AS78" s="299">
        <v>7122.7227115025371</v>
      </c>
      <c r="AT78" s="251">
        <f t="shared" si="176"/>
        <v>120145.13103816379</v>
      </c>
      <c r="AU78" s="249">
        <v>2.4000000000000004</v>
      </c>
      <c r="AV78" s="250">
        <v>9.499136442141623E-2</v>
      </c>
      <c r="AW78" s="299">
        <v>119889.82083333332</v>
      </c>
      <c r="AX78" s="299">
        <v>11986.012499999999</v>
      </c>
      <c r="AY78" s="251">
        <f t="shared" si="177"/>
        <v>107903.80833333332</v>
      </c>
      <c r="AZ78" s="249">
        <v>1.8300000000000005</v>
      </c>
      <c r="BA78" s="250">
        <v>0.10459183673469388</v>
      </c>
      <c r="BB78" s="299">
        <v>120252.51912568303</v>
      </c>
      <c r="BC78" s="299">
        <v>9171.863387978141</v>
      </c>
      <c r="BD78" s="251">
        <f t="shared" si="178"/>
        <v>111080.65573770489</v>
      </c>
      <c r="BE78" s="261">
        <v>11.500499999999995</v>
      </c>
      <c r="BF78" s="250">
        <v>0.31566265060240961</v>
      </c>
      <c r="BG78" s="261">
        <v>123539.63045085012</v>
      </c>
      <c r="BH78" s="299">
        <v>21637.211425590205</v>
      </c>
      <c r="BI78" s="251">
        <f t="shared" si="179"/>
        <v>101902.41902525991</v>
      </c>
      <c r="BJ78" s="322"/>
      <c r="BK78" s="297">
        <v>10.094999999999992</v>
      </c>
      <c r="BL78" s="298">
        <f t="shared" si="192"/>
        <v>0.2259673484232515</v>
      </c>
      <c r="BM78" s="299">
        <v>125185.04011887076</v>
      </c>
      <c r="BN78" s="299">
        <v>14672.386329866287</v>
      </c>
      <c r="BO78" s="251">
        <f t="shared" si="180"/>
        <v>110512.65378900447</v>
      </c>
      <c r="BP78" s="297">
        <v>16.440000000000015</v>
      </c>
      <c r="BQ78" s="298">
        <f t="shared" si="193"/>
        <v>0.34172623214028369</v>
      </c>
      <c r="BR78" s="299">
        <v>126924.47506082717</v>
      </c>
      <c r="BS78" s="299">
        <v>30907.624695863731</v>
      </c>
      <c r="BT78" s="251">
        <f t="shared" si="181"/>
        <v>96016.850364963437</v>
      </c>
      <c r="BU78" s="297">
        <f>'NR '!AV78</f>
        <v>11.409999999999995</v>
      </c>
      <c r="BV78" s="298">
        <f t="shared" si="194"/>
        <v>0.26496892107302705</v>
      </c>
      <c r="BW78" s="299">
        <f>'NR '!AX78</f>
        <v>126661.32515337419</v>
      </c>
      <c r="BX78" s="299">
        <v>30117.573181419833</v>
      </c>
      <c r="BY78" s="251">
        <f t="shared" si="182"/>
        <v>96543.751971954349</v>
      </c>
      <c r="BZ78" s="297">
        <f>'NR '!AY78</f>
        <v>8.5349999999999859</v>
      </c>
      <c r="CA78" s="298">
        <f t="shared" si="195"/>
        <v>0.29527836914175959</v>
      </c>
      <c r="CB78" s="299">
        <f>'NR '!BA78</f>
        <v>125222.99589923867</v>
      </c>
      <c r="CC78" s="261">
        <v>25018.681898066821</v>
      </c>
      <c r="CD78" s="251">
        <f t="shared" si="183"/>
        <v>100204.31400117185</v>
      </c>
      <c r="CE78" s="297">
        <f>'NR '!BB78</f>
        <v>4.2299999999999978</v>
      </c>
      <c r="CF78" s="298">
        <f t="shared" si="196"/>
        <v>0.18609305074876287</v>
      </c>
      <c r="CG78" s="299">
        <f>'NR '!BD78</f>
        <v>125279.12056737594</v>
      </c>
      <c r="CH78" s="261">
        <v>20225.75886524823</v>
      </c>
      <c r="CI78" s="251">
        <f t="shared" si="184"/>
        <v>105053.3617021277</v>
      </c>
      <c r="CJ78" s="249">
        <v>5.9400000000000022</v>
      </c>
      <c r="CK78" s="298">
        <f t="shared" si="197"/>
        <v>0.13238154125276277</v>
      </c>
      <c r="CL78" s="299">
        <v>125470.51346801344</v>
      </c>
      <c r="CM78" s="261">
        <v>21585.112794612782</v>
      </c>
      <c r="CN78" s="251">
        <f t="shared" si="185"/>
        <v>103885.40067340065</v>
      </c>
      <c r="CO78" s="249">
        <f>'NR '!BH78</f>
        <v>1.6950000000000001</v>
      </c>
      <c r="CP78" s="298">
        <f t="shared" si="198"/>
        <v>7.6882986815588444E-2</v>
      </c>
      <c r="CQ78" s="261">
        <f>'NR '!BJ78</f>
        <v>124626.04129793514</v>
      </c>
      <c r="CR78" s="261">
        <v>17894.430678466069</v>
      </c>
      <c r="CS78" s="251">
        <f t="shared" si="186"/>
        <v>106731.61061946907</v>
      </c>
      <c r="CT78" s="249">
        <v>1.7049999999999996</v>
      </c>
      <c r="CU78" s="298">
        <f t="shared" si="199"/>
        <v>0.125633805971887</v>
      </c>
      <c r="CV78" s="261">
        <v>124213.33724340178</v>
      </c>
      <c r="CW78" s="261">
        <v>22433.425219941357</v>
      </c>
      <c r="CX78" s="251">
        <f t="shared" si="187"/>
        <v>101779.91202346042</v>
      </c>
      <c r="CY78" s="249">
        <v>6.5699999999999941</v>
      </c>
      <c r="CZ78" s="298">
        <f t="shared" si="200"/>
        <v>0.29474973997420173</v>
      </c>
      <c r="DA78" s="261">
        <v>123901.89193302902</v>
      </c>
      <c r="DB78" s="261">
        <v>25703.258751902624</v>
      </c>
      <c r="DC78" s="251">
        <f t="shared" si="188"/>
        <v>98198.633181126395</v>
      </c>
      <c r="DD78" s="249">
        <f>'NR '!BQ78</f>
        <v>2.3550000000000009</v>
      </c>
      <c r="DE78" s="298">
        <f t="shared" si="201"/>
        <v>5.3475311686133634E-2</v>
      </c>
      <c r="DF78" s="261">
        <f>'NR '!BS78</f>
        <v>123881.09129511681</v>
      </c>
      <c r="DG78" s="261">
        <v>8724.6284501061527</v>
      </c>
      <c r="DH78" s="251">
        <f t="shared" si="189"/>
        <v>115156.46284501065</v>
      </c>
      <c r="DI78" s="249">
        <f>'NR '!BT78</f>
        <v>4.0985000000000005</v>
      </c>
      <c r="DJ78" s="298">
        <f t="shared" si="202"/>
        <v>0.14298141775329304</v>
      </c>
      <c r="DK78" s="261">
        <f>'NR '!BV78</f>
        <v>125067.07575942417</v>
      </c>
      <c r="DL78" s="261">
        <v>27596.176649993889</v>
      </c>
      <c r="DM78" s="251">
        <f t="shared" si="190"/>
        <v>97470.899109430291</v>
      </c>
      <c r="DN78" s="249">
        <v>7.9094949999999944</v>
      </c>
      <c r="DO78" s="298">
        <f t="shared" si="203"/>
        <v>0.33984105336657228</v>
      </c>
      <c r="DP78" s="261">
        <v>123777.018633933</v>
      </c>
      <c r="DQ78" s="261">
        <v>33757.597672164957</v>
      </c>
      <c r="DR78" s="251">
        <f t="shared" si="191"/>
        <v>90019.420961768046</v>
      </c>
    </row>
    <row r="79" spans="1:122" s="301" customFormat="1">
      <c r="A79" s="103" t="s">
        <v>200</v>
      </c>
      <c r="B79" s="249">
        <v>1.7009999999999992</v>
      </c>
      <c r="C79" s="250">
        <v>2.4265644955300127E-2</v>
      </c>
      <c r="D79" s="299">
        <v>116122.17208841689</v>
      </c>
      <c r="E79" s="299">
        <v>16653.477203055314</v>
      </c>
      <c r="F79" s="251">
        <f t="shared" si="168"/>
        <v>99468.694885361576</v>
      </c>
      <c r="G79" s="249">
        <v>0.10691999999999999</v>
      </c>
      <c r="H79" s="250">
        <v>7.8291814946619218E-3</v>
      </c>
      <c r="I79" s="299">
        <v>115769.88793444348</v>
      </c>
      <c r="J79" s="299">
        <v>17633.33724233722</v>
      </c>
      <c r="K79" s="251">
        <f t="shared" si="169"/>
        <v>98136.550692106262</v>
      </c>
      <c r="L79" s="249">
        <v>0.11831999999999998</v>
      </c>
      <c r="M79" s="250">
        <v>7.1868583162217657E-3</v>
      </c>
      <c r="N79" s="299">
        <v>115532.3127304443</v>
      </c>
      <c r="O79" s="299">
        <v>13830.064589808724</v>
      </c>
      <c r="P79" s="251">
        <f t="shared" si="170"/>
        <v>101702.24814063558</v>
      </c>
      <c r="Q79" s="304">
        <v>0.17279999999999998</v>
      </c>
      <c r="R79" s="250">
        <v>1.9474196689386564E-3</v>
      </c>
      <c r="S79" s="299">
        <v>113090.11575922342</v>
      </c>
      <c r="T79" s="299">
        <v>808.28705551970654</v>
      </c>
      <c r="U79" s="251">
        <f t="shared" si="171"/>
        <v>112281.82870370372</v>
      </c>
      <c r="V79" s="249">
        <v>4.3200000000000002E-2</v>
      </c>
      <c r="W79" s="250">
        <v>3.4129692832764505E-3</v>
      </c>
      <c r="X79" s="299">
        <v>113090.11575922341</v>
      </c>
      <c r="Y79" s="299">
        <v>8552.3842777419268</v>
      </c>
      <c r="Z79" s="251">
        <f t="shared" si="172"/>
        <v>104537.73148148149</v>
      </c>
      <c r="AA79" s="249">
        <v>7.1999999999999998E-3</v>
      </c>
      <c r="AB79" s="250">
        <v>1.7271157167530224E-3</v>
      </c>
      <c r="AC79" s="299">
        <v>114694.60053662737</v>
      </c>
      <c r="AD79" s="299">
        <v>0.15609218293219682</v>
      </c>
      <c r="AE79" s="251">
        <f t="shared" si="173"/>
        <v>114694.44444444444</v>
      </c>
      <c r="AF79" s="249">
        <v>0.27540000000000003</v>
      </c>
      <c r="AG79" s="250">
        <v>1.3698630136986301E-2</v>
      </c>
      <c r="AH79" s="299">
        <v>113396.38347983574</v>
      </c>
      <c r="AI79" s="299">
        <v>32077.719718034732</v>
      </c>
      <c r="AJ79" s="251">
        <f t="shared" si="174"/>
        <v>81318.663761801014</v>
      </c>
      <c r="AK79" s="249"/>
      <c r="AL79" s="250">
        <v>0</v>
      </c>
      <c r="AM79" s="299">
        <v>0</v>
      </c>
      <c r="AN79" s="299"/>
      <c r="AO79" s="251">
        <f t="shared" si="175"/>
        <v>0</v>
      </c>
      <c r="AP79" s="249">
        <v>0.21239999999999998</v>
      </c>
      <c r="AQ79" s="250">
        <v>6.0975609756097563E-3</v>
      </c>
      <c r="AR79" s="299">
        <v>112769.49152542373</v>
      </c>
      <c r="AS79" s="299">
        <v>2606.7325800376593</v>
      </c>
      <c r="AT79" s="251">
        <f t="shared" si="176"/>
        <v>110162.75894538607</v>
      </c>
      <c r="AU79" s="249">
        <v>2.8799999999999999E-2</v>
      </c>
      <c r="AV79" s="250">
        <v>3.4542314335060447E-3</v>
      </c>
      <c r="AW79" s="299">
        <v>113292.70833333333</v>
      </c>
      <c r="AX79" s="299">
        <v>1586.4583333333353</v>
      </c>
      <c r="AY79" s="251">
        <f t="shared" si="177"/>
        <v>111706.25</v>
      </c>
      <c r="AZ79" s="249"/>
      <c r="BA79" s="250">
        <v>0</v>
      </c>
      <c r="BB79" s="299">
        <v>0</v>
      </c>
      <c r="BC79" s="299"/>
      <c r="BD79" s="251">
        <f t="shared" si="178"/>
        <v>0</v>
      </c>
      <c r="BE79" s="261">
        <v>4.1720400000000097</v>
      </c>
      <c r="BF79" s="250">
        <v>0.24939759036144579</v>
      </c>
      <c r="BG79" s="261">
        <v>112999.99041236383</v>
      </c>
      <c r="BH79" s="299">
        <v>11152.2852129893</v>
      </c>
      <c r="BI79" s="251">
        <f t="shared" si="179"/>
        <v>101847.70519937453</v>
      </c>
      <c r="BJ79" s="322"/>
      <c r="BK79" s="297">
        <v>6.5277600000000193</v>
      </c>
      <c r="BL79" s="298">
        <f t="shared" si="192"/>
        <v>0.14611794139112133</v>
      </c>
      <c r="BM79" s="299">
        <v>112697.42147382849</v>
      </c>
      <c r="BN79" s="299">
        <v>11147.874615488276</v>
      </c>
      <c r="BO79" s="251">
        <f t="shared" si="180"/>
        <v>101549.54685834021</v>
      </c>
      <c r="BP79" s="297">
        <v>6.4620000000000264</v>
      </c>
      <c r="BQ79" s="298">
        <f t="shared" si="193"/>
        <v>0.13432085839966668</v>
      </c>
      <c r="BR79" s="299">
        <v>112637.83967811783</v>
      </c>
      <c r="BS79" s="299">
        <v>10353.443206437581</v>
      </c>
      <c r="BT79" s="251">
        <f t="shared" si="181"/>
        <v>102284.39647168024</v>
      </c>
      <c r="BU79" s="297">
        <f>'NR '!AV79</f>
        <v>6.8223600000000237</v>
      </c>
      <c r="BV79" s="298">
        <f t="shared" si="194"/>
        <v>0.15843237233757965</v>
      </c>
      <c r="BW79" s="299">
        <f>'NR '!AX79</f>
        <v>112702.66447387679</v>
      </c>
      <c r="BX79" s="299">
        <v>11292.129116610633</v>
      </c>
      <c r="BY79" s="251">
        <f t="shared" si="182"/>
        <v>101410.53535726616</v>
      </c>
      <c r="BZ79" s="297">
        <f>'NR '!AY79</f>
        <v>7.4533200000000148</v>
      </c>
      <c r="CA79" s="298">
        <f t="shared" si="195"/>
        <v>0.25785637660124988</v>
      </c>
      <c r="CB79" s="299">
        <f>'NR '!BA79</f>
        <v>113355.1195977094</v>
      </c>
      <c r="CC79" s="261">
        <v>10663.364782405662</v>
      </c>
      <c r="CD79" s="251">
        <f t="shared" si="183"/>
        <v>102691.75481530374</v>
      </c>
      <c r="CE79" s="297">
        <f>'NR '!BB79</f>
        <v>1.1732999999999998</v>
      </c>
      <c r="CF79" s="298">
        <f t="shared" si="196"/>
        <v>5.1617724927546939E-2</v>
      </c>
      <c r="CG79" s="299">
        <f>'NR '!BD79</f>
        <v>112585.72402625075</v>
      </c>
      <c r="CH79" s="261">
        <v>11566.896786840536</v>
      </c>
      <c r="CI79" s="251">
        <f t="shared" si="184"/>
        <v>101018.82723941022</v>
      </c>
      <c r="CJ79" s="249">
        <v>2.0995200000000001</v>
      </c>
      <c r="CK79" s="298">
        <f t="shared" si="197"/>
        <v>4.6790857490067408E-2</v>
      </c>
      <c r="CL79" s="299">
        <v>113196.85928212159</v>
      </c>
      <c r="CM79" s="261">
        <v>10938.214449016921</v>
      </c>
      <c r="CN79" s="251">
        <f t="shared" si="185"/>
        <v>102258.64483310467</v>
      </c>
      <c r="CO79" s="249">
        <f>'NR '!BH79</f>
        <v>0.44250000000000012</v>
      </c>
      <c r="CP79" s="298">
        <f t="shared" si="198"/>
        <v>2.0071222221768669E-2</v>
      </c>
      <c r="CQ79" s="261">
        <f>'NR '!BJ79</f>
        <v>112626.39548022598</v>
      </c>
      <c r="CR79" s="261">
        <v>10688.542372881353</v>
      </c>
      <c r="CS79" s="251">
        <f t="shared" si="186"/>
        <v>101937.85310734464</v>
      </c>
      <c r="CT79" s="249">
        <v>0.97920000000000018</v>
      </c>
      <c r="CU79" s="298">
        <f t="shared" si="199"/>
        <v>7.2152857951713653E-2</v>
      </c>
      <c r="CV79" s="261">
        <v>112459.79370915034</v>
      </c>
      <c r="CW79" s="261">
        <v>10876.72589869281</v>
      </c>
      <c r="CX79" s="251">
        <f t="shared" si="187"/>
        <v>101583.06781045753</v>
      </c>
      <c r="CY79" s="249">
        <v>2.8944000000000014</v>
      </c>
      <c r="CZ79" s="298">
        <f t="shared" si="200"/>
        <v>0.12985139229548412</v>
      </c>
      <c r="DA79" s="261">
        <v>112336.79519071295</v>
      </c>
      <c r="DB79" s="261">
        <v>15948.296710889985</v>
      </c>
      <c r="DC79" s="251">
        <f t="shared" si="188"/>
        <v>96388.498479822956</v>
      </c>
      <c r="DD79" s="249">
        <f>'NR '!BQ79</f>
        <v>2.1006</v>
      </c>
      <c r="DE79" s="298">
        <f t="shared" si="201"/>
        <v>4.7698615595707969E-2</v>
      </c>
      <c r="DF79" s="261">
        <f>'NR '!BS79</f>
        <v>112375.3118156717</v>
      </c>
      <c r="DG79" s="261">
        <v>14419.741978482334</v>
      </c>
      <c r="DH79" s="251">
        <f t="shared" si="189"/>
        <v>97955.569837189367</v>
      </c>
      <c r="DI79" s="249">
        <f>'NR '!BT79</f>
        <v>2.2608000000000001</v>
      </c>
      <c r="DJ79" s="298">
        <f t="shared" si="202"/>
        <v>7.8870901367974838E-2</v>
      </c>
      <c r="DK79" s="261">
        <f>'NR '!BV79</f>
        <v>112279.13570417547</v>
      </c>
      <c r="DL79" s="261">
        <v>20818.657112526544</v>
      </c>
      <c r="DM79" s="251">
        <f t="shared" si="190"/>
        <v>91460.47859164892</v>
      </c>
      <c r="DN79" s="249">
        <v>1.6703999999999997</v>
      </c>
      <c r="DO79" s="298">
        <f t="shared" si="203"/>
        <v>7.1770763562467962E-2</v>
      </c>
      <c r="DP79" s="261">
        <v>112725.13769157087</v>
      </c>
      <c r="DQ79" s="261">
        <v>21210.302921455954</v>
      </c>
      <c r="DR79" s="251">
        <f t="shared" si="191"/>
        <v>91514.834770114918</v>
      </c>
    </row>
    <row r="80" spans="1:122" s="301" customFormat="1">
      <c r="A80" s="103" t="s">
        <v>259</v>
      </c>
      <c r="B80" s="249"/>
      <c r="C80" s="250">
        <v>0</v>
      </c>
      <c r="D80" s="299">
        <v>0</v>
      </c>
      <c r="E80" s="299"/>
      <c r="F80" s="251"/>
      <c r="G80" s="249">
        <v>-2.2949999999999998E-2</v>
      </c>
      <c r="H80" s="250">
        <v>2.1352313167259788E-3</v>
      </c>
      <c r="I80" s="299">
        <v>105185.51223139936</v>
      </c>
      <c r="J80" s="299">
        <v>9573.7475255170066</v>
      </c>
      <c r="K80" s="251"/>
      <c r="L80" s="249">
        <v>-1.5525000000000001E-2</v>
      </c>
      <c r="M80" s="250">
        <v>1.026694045174538E-3</v>
      </c>
      <c r="N80" s="299">
        <v>107311.95391419801</v>
      </c>
      <c r="O80" s="299">
        <v>-21.379419135319068</v>
      </c>
      <c r="P80" s="251"/>
      <c r="Q80" s="304"/>
      <c r="R80" s="250">
        <v>0</v>
      </c>
      <c r="S80" s="299">
        <v>0</v>
      </c>
      <c r="T80" s="299"/>
      <c r="U80" s="251"/>
      <c r="V80" s="249"/>
      <c r="W80" s="250">
        <v>0</v>
      </c>
      <c r="X80" s="299">
        <v>0</v>
      </c>
      <c r="Y80" s="299"/>
      <c r="Z80" s="251"/>
      <c r="AA80" s="249"/>
      <c r="AB80" s="250">
        <v>0</v>
      </c>
      <c r="AC80" s="299">
        <v>0</v>
      </c>
      <c r="AD80" s="299"/>
      <c r="AE80" s="251"/>
      <c r="AF80" s="249"/>
      <c r="AG80" s="250">
        <v>0</v>
      </c>
      <c r="AH80" s="299">
        <v>0</v>
      </c>
      <c r="AI80" s="299"/>
      <c r="AJ80" s="251"/>
      <c r="AK80" s="249"/>
      <c r="AL80" s="250">
        <v>0</v>
      </c>
      <c r="AM80" s="299">
        <v>0</v>
      </c>
      <c r="AN80" s="299"/>
      <c r="AO80" s="251"/>
      <c r="AP80" s="249"/>
      <c r="AQ80" s="250">
        <v>0</v>
      </c>
      <c r="AR80" s="299">
        <v>0</v>
      </c>
      <c r="AS80" s="299"/>
      <c r="AT80" s="251"/>
      <c r="AU80" s="249"/>
      <c r="AV80" s="250">
        <v>0</v>
      </c>
      <c r="AW80" s="299">
        <v>0</v>
      </c>
      <c r="AX80" s="299"/>
      <c r="AY80" s="251"/>
      <c r="AZ80" s="249"/>
      <c r="BA80" s="250">
        <v>0</v>
      </c>
      <c r="BB80" s="299">
        <v>0</v>
      </c>
      <c r="BC80" s="299"/>
      <c r="BD80" s="251"/>
      <c r="BE80" s="261">
        <v>-3.5549999999999998E-2</v>
      </c>
      <c r="BF80" s="250">
        <v>7.2289156626506026E-3</v>
      </c>
      <c r="BG80" s="261">
        <v>99350.210970464148</v>
      </c>
      <c r="BH80" s="299">
        <v>7086.638537271454</v>
      </c>
      <c r="BI80" s="251"/>
      <c r="BJ80" s="322"/>
      <c r="BK80" s="297"/>
      <c r="BL80" s="298"/>
      <c r="BM80" s="299"/>
      <c r="BN80" s="299"/>
      <c r="BO80" s="251"/>
      <c r="BP80" s="297"/>
      <c r="BQ80" s="298"/>
      <c r="BR80" s="299"/>
      <c r="BS80" s="299"/>
      <c r="BT80" s="251"/>
      <c r="BU80" s="297">
        <f>'NR '!AV80</f>
        <v>0</v>
      </c>
      <c r="BV80" s="298"/>
      <c r="BW80" s="299"/>
      <c r="BX80" s="299"/>
      <c r="BY80" s="251"/>
      <c r="BZ80" s="297">
        <f>'NR '!BC80</f>
        <v>0</v>
      </c>
      <c r="CA80" s="298"/>
      <c r="CB80" s="299"/>
      <c r="CC80" s="299"/>
      <c r="CD80" s="251"/>
      <c r="CE80" s="297">
        <f>'NR '!BB80</f>
        <v>0</v>
      </c>
      <c r="CF80" s="298"/>
      <c r="CG80" s="299">
        <f>'NR '!BD80</f>
        <v>0</v>
      </c>
      <c r="CH80" s="299"/>
      <c r="CI80" s="251"/>
      <c r="CJ80" s="249">
        <v>0</v>
      </c>
      <c r="CK80" s="298"/>
      <c r="CL80" s="299">
        <v>0</v>
      </c>
      <c r="CM80" s="299"/>
      <c r="CN80" s="251"/>
      <c r="CO80" s="249">
        <f>'NR '!BH80</f>
        <v>0</v>
      </c>
      <c r="CP80" s="298"/>
      <c r="CQ80" s="261">
        <f>'NR '!BJ80</f>
        <v>0</v>
      </c>
      <c r="CR80" s="299"/>
      <c r="CS80" s="251"/>
      <c r="CT80" s="249">
        <v>0</v>
      </c>
      <c r="CU80" s="298"/>
      <c r="CV80" s="261">
        <v>0</v>
      </c>
      <c r="CW80" s="299"/>
      <c r="CX80" s="251"/>
      <c r="CY80" s="249">
        <v>0</v>
      </c>
      <c r="CZ80" s="298"/>
      <c r="DA80" s="261">
        <v>0</v>
      </c>
      <c r="DB80" s="261">
        <v>0</v>
      </c>
      <c r="DC80" s="251"/>
      <c r="DD80" s="249">
        <f>'NR '!BQ80</f>
        <v>7.1856000000000089</v>
      </c>
      <c r="DE80" s="298">
        <f t="shared" si="201"/>
        <v>0.16316441598806036</v>
      </c>
      <c r="DF80" s="261">
        <f>'NR '!BS80</f>
        <v>84921.881262524912</v>
      </c>
      <c r="DG80" s="261">
        <v>977.38950122467077</v>
      </c>
      <c r="DH80" s="251">
        <f t="shared" si="189"/>
        <v>83944.491761300247</v>
      </c>
      <c r="DI80" s="249">
        <f>'NR '!BT80</f>
        <v>6.6672000000000109</v>
      </c>
      <c r="DJ80" s="298">
        <f t="shared" si="202"/>
        <v>0.23259380467116184</v>
      </c>
      <c r="DK80" s="261">
        <f>'NR '!BV80</f>
        <v>84896.292296616142</v>
      </c>
      <c r="DL80" s="261">
        <v>539.93130549555951</v>
      </c>
      <c r="DM80" s="251">
        <f t="shared" si="190"/>
        <v>84356.360991120586</v>
      </c>
      <c r="DN80" s="249">
        <v>4.3632000000000026</v>
      </c>
      <c r="DO80" s="298">
        <f t="shared" si="203"/>
        <v>0.18747018413299837</v>
      </c>
      <c r="DP80" s="261">
        <v>84828.834341767462</v>
      </c>
      <c r="DQ80" s="261">
        <v>593.53456178951194</v>
      </c>
      <c r="DR80" s="251">
        <f t="shared" si="191"/>
        <v>84235.299779977955</v>
      </c>
    </row>
    <row r="81" spans="1:122" s="301" customFormat="1" ht="15.75" thickBot="1">
      <c r="A81" s="103" t="s">
        <v>201</v>
      </c>
      <c r="B81" s="249"/>
      <c r="C81" s="250">
        <v>0</v>
      </c>
      <c r="D81" s="299">
        <v>0</v>
      </c>
      <c r="E81" s="299"/>
      <c r="F81" s="251"/>
      <c r="G81" s="249">
        <v>-3.8300000000000001E-2</v>
      </c>
      <c r="H81" s="250">
        <v>3.5587188612099642E-3</v>
      </c>
      <c r="I81" s="299">
        <v>103962.42487987147</v>
      </c>
      <c r="J81" s="299">
        <v>5734.2264464510808</v>
      </c>
      <c r="K81" s="251"/>
      <c r="L81" s="249"/>
      <c r="M81" s="250">
        <v>0</v>
      </c>
      <c r="N81" s="299">
        <v>0</v>
      </c>
      <c r="O81" s="299"/>
      <c r="P81" s="251"/>
      <c r="Q81" s="304"/>
      <c r="R81" s="250">
        <v>0</v>
      </c>
      <c r="S81" s="299">
        <v>0</v>
      </c>
      <c r="T81" s="299"/>
      <c r="U81" s="251"/>
      <c r="V81" s="249"/>
      <c r="W81" s="250">
        <v>0</v>
      </c>
      <c r="X81" s="299">
        <v>0</v>
      </c>
      <c r="Y81" s="299"/>
      <c r="Z81" s="251"/>
      <c r="AA81" s="249"/>
      <c r="AB81" s="250">
        <v>0</v>
      </c>
      <c r="AC81" s="299">
        <v>0</v>
      </c>
      <c r="AD81" s="299"/>
      <c r="AE81" s="251"/>
      <c r="AF81" s="249"/>
      <c r="AG81" s="250">
        <v>0</v>
      </c>
      <c r="AH81" s="299">
        <v>0</v>
      </c>
      <c r="AI81" s="299"/>
      <c r="AJ81" s="251"/>
      <c r="AK81" s="249"/>
      <c r="AL81" s="250">
        <v>0</v>
      </c>
      <c r="AM81" s="299">
        <v>0</v>
      </c>
      <c r="AN81" s="299"/>
      <c r="AO81" s="251"/>
      <c r="AP81" s="249"/>
      <c r="AQ81" s="250">
        <v>0</v>
      </c>
      <c r="AR81" s="299">
        <v>0</v>
      </c>
      <c r="AS81" s="299"/>
      <c r="AT81" s="251"/>
      <c r="AU81" s="249"/>
      <c r="AV81" s="250">
        <v>0</v>
      </c>
      <c r="AW81" s="299">
        <v>0</v>
      </c>
      <c r="AX81" s="299"/>
      <c r="AY81" s="251"/>
      <c r="AZ81" s="249"/>
      <c r="BA81" s="250">
        <v>0</v>
      </c>
      <c r="BB81" s="299">
        <v>0</v>
      </c>
      <c r="BC81" s="299"/>
      <c r="BD81" s="251"/>
      <c r="BE81" s="261">
        <v>-2.5999999999999999E-3</v>
      </c>
      <c r="BF81" s="250">
        <v>2.4096385542168677E-3</v>
      </c>
      <c r="BG81" s="261">
        <v>101780.76923076923</v>
      </c>
      <c r="BH81" s="299">
        <v>7280.7692307692287</v>
      </c>
      <c r="BI81" s="251"/>
      <c r="BJ81" s="322"/>
      <c r="BK81" s="297">
        <v>0</v>
      </c>
      <c r="BL81" s="298"/>
      <c r="BM81" s="299">
        <v>0</v>
      </c>
      <c r="BN81" s="299"/>
      <c r="BO81" s="251"/>
      <c r="BP81" s="297">
        <v>0</v>
      </c>
      <c r="BQ81" s="298"/>
      <c r="BR81" s="299">
        <v>0</v>
      </c>
      <c r="BS81" s="299"/>
      <c r="BT81" s="251"/>
      <c r="BU81" s="297">
        <v>0</v>
      </c>
      <c r="BV81" s="298"/>
      <c r="BW81" s="299">
        <v>0</v>
      </c>
      <c r="BX81" s="299"/>
      <c r="BY81" s="251"/>
      <c r="BZ81" s="297">
        <v>0</v>
      </c>
      <c r="CA81" s="298"/>
      <c r="CB81" s="299">
        <v>0</v>
      </c>
      <c r="CC81" s="299"/>
      <c r="CD81" s="251"/>
      <c r="CE81" s="297">
        <f>'NR '!BB81</f>
        <v>-2.8000000000000001E-2</v>
      </c>
      <c r="CF81" s="298"/>
      <c r="CG81" s="299">
        <v>0</v>
      </c>
      <c r="CH81" s="299"/>
      <c r="CI81" s="251"/>
      <c r="CJ81" s="249">
        <v>0</v>
      </c>
      <c r="CK81" s="298"/>
      <c r="CL81" s="299">
        <v>0</v>
      </c>
      <c r="CM81" s="299"/>
      <c r="CN81" s="251"/>
      <c r="CO81" s="249">
        <f>'NR '!BH81</f>
        <v>0</v>
      </c>
      <c r="CP81" s="298"/>
      <c r="CQ81" s="261">
        <f>'NR '!BJ81</f>
        <v>0</v>
      </c>
      <c r="CR81" s="299"/>
      <c r="CS81" s="251"/>
      <c r="CT81" s="249">
        <v>0</v>
      </c>
      <c r="CU81" s="298"/>
      <c r="CV81" s="261">
        <v>0</v>
      </c>
      <c r="CW81" s="299"/>
      <c r="CX81" s="251"/>
      <c r="CY81" s="249">
        <v>0</v>
      </c>
      <c r="CZ81" s="298"/>
      <c r="DA81" s="261">
        <v>0</v>
      </c>
      <c r="DB81" s="299"/>
      <c r="DC81" s="251"/>
      <c r="DD81" s="249">
        <f>'NR '!BQ81</f>
        <v>0</v>
      </c>
      <c r="DE81" s="298">
        <f t="shared" si="201"/>
        <v>0</v>
      </c>
      <c r="DF81" s="261">
        <v>0</v>
      </c>
      <c r="DG81" s="299"/>
      <c r="DH81" s="251"/>
      <c r="DI81" s="249">
        <f>'NR '!BT81</f>
        <v>0</v>
      </c>
      <c r="DJ81" s="298">
        <f t="shared" si="202"/>
        <v>0</v>
      </c>
      <c r="DK81" s="261">
        <f>'NR '!BV81</f>
        <v>0</v>
      </c>
      <c r="DL81" s="261"/>
      <c r="DM81" s="251"/>
      <c r="DN81" s="249"/>
      <c r="DO81" s="298">
        <f t="shared" si="203"/>
        <v>0</v>
      </c>
      <c r="DP81" s="261"/>
      <c r="DQ81" s="261"/>
      <c r="DR81" s="251"/>
    </row>
    <row r="82" spans="1:122" s="301" customFormat="1" ht="15.75" hidden="1" customHeight="1" thickBot="1">
      <c r="A82" s="319"/>
      <c r="B82" s="249"/>
      <c r="C82" s="250"/>
      <c r="D82" s="299"/>
      <c r="E82" s="299"/>
      <c r="F82" s="300" t="e">
        <f>D82-#REF!-E82</f>
        <v>#REF!</v>
      </c>
      <c r="G82" s="297"/>
      <c r="H82" s="298"/>
      <c r="I82" s="320"/>
      <c r="J82" s="299"/>
      <c r="K82" s="300" t="e">
        <f>I82-#REF!-J82</f>
        <v>#REF!</v>
      </c>
      <c r="L82" s="297"/>
      <c r="M82" s="298"/>
      <c r="N82" s="299"/>
      <c r="O82" s="299"/>
      <c r="P82" s="300" t="e">
        <f>N82-#REF!-O82</f>
        <v>#REF!</v>
      </c>
      <c r="Q82" s="297"/>
      <c r="R82" s="298"/>
      <c r="S82" s="299"/>
      <c r="T82" s="299"/>
      <c r="U82" s="300" t="e">
        <f>S82-#REF!-T82</f>
        <v>#REF!</v>
      </c>
      <c r="V82" s="297"/>
      <c r="W82" s="298"/>
      <c r="X82" s="299"/>
      <c r="Y82" s="299"/>
      <c r="Z82" s="300" t="e">
        <f>X82-#REF!-Y82</f>
        <v>#REF!</v>
      </c>
      <c r="AA82" s="297"/>
      <c r="AB82" s="298"/>
      <c r="AC82" s="299"/>
      <c r="AD82" s="299"/>
      <c r="AE82" s="300" t="e">
        <f>AC82-#REF!-AD82</f>
        <v>#REF!</v>
      </c>
      <c r="AF82" s="321"/>
      <c r="AG82" s="298"/>
      <c r="AH82" s="299"/>
      <c r="AI82" s="299"/>
      <c r="AJ82" s="300" t="e">
        <f>AH82-#REF!-AI82</f>
        <v>#REF!</v>
      </c>
      <c r="AK82" s="297"/>
      <c r="AL82" s="298"/>
      <c r="AM82" s="299"/>
      <c r="AN82" s="299"/>
      <c r="AO82" s="300" t="e">
        <f>AM82-#REF!-AN82</f>
        <v>#REF!</v>
      </c>
      <c r="AP82" s="297"/>
      <c r="AQ82" s="298"/>
      <c r="AR82" s="299"/>
      <c r="AS82" s="299"/>
      <c r="AT82" s="300" t="e">
        <f>AR82-#REF!-AS82</f>
        <v>#REF!</v>
      </c>
      <c r="AU82" s="321"/>
      <c r="AV82" s="298"/>
      <c r="AW82" s="299"/>
      <c r="AX82" s="299"/>
      <c r="AY82" s="300" t="e">
        <f>AW82-#REF!-AX82</f>
        <v>#REF!</v>
      </c>
      <c r="AZ82" s="297"/>
      <c r="BA82" s="298"/>
      <c r="BB82" s="299"/>
      <c r="BC82" s="299"/>
      <c r="BD82" s="300" t="e">
        <f>BB82-#REF!-BC82</f>
        <v>#REF!</v>
      </c>
      <c r="BE82" s="297"/>
      <c r="BF82" s="298"/>
      <c r="BG82" s="299"/>
      <c r="BH82" s="299"/>
      <c r="BI82" s="300" t="e">
        <f>BG82-#REF!-BH82</f>
        <v>#REF!</v>
      </c>
      <c r="BJ82" s="322"/>
      <c r="BK82" s="297">
        <v>0</v>
      </c>
      <c r="BL82" s="298">
        <f t="shared" ref="BL82:BL94" si="204">BK82/BK$27</f>
        <v>0</v>
      </c>
      <c r="BM82" s="299">
        <v>0</v>
      </c>
      <c r="BN82" s="299"/>
      <c r="BO82" s="300" t="e">
        <f>BM82-#REF!-BN82</f>
        <v>#REF!</v>
      </c>
      <c r="BP82" s="297">
        <v>0</v>
      </c>
      <c r="BQ82" s="298">
        <f t="shared" ref="BQ82:BQ94" si="205">BP82/BP$27</f>
        <v>0</v>
      </c>
      <c r="BR82" s="299">
        <v>0</v>
      </c>
      <c r="BS82" s="299"/>
      <c r="BT82" s="300" t="e">
        <f>BR82-#REF!-BS82</f>
        <v>#REF!</v>
      </c>
      <c r="BU82" s="297">
        <v>0</v>
      </c>
      <c r="BV82" s="298">
        <f t="shared" ref="BV82:BV94" si="206">BU82/BU$27</f>
        <v>0</v>
      </c>
      <c r="BW82" s="299">
        <v>0</v>
      </c>
      <c r="BX82" s="299"/>
      <c r="BY82" s="300" t="e">
        <f>BW82-#REF!-BX82</f>
        <v>#REF!</v>
      </c>
      <c r="BZ82" s="297">
        <v>0</v>
      </c>
      <c r="CA82" s="298">
        <f t="shared" ref="CA82:CA94" si="207">BZ82/BZ$27</f>
        <v>0</v>
      </c>
      <c r="CB82" s="299">
        <v>0</v>
      </c>
      <c r="CC82" s="299"/>
      <c r="CD82" s="300" t="e">
        <f>CB82-#REF!-CC82</f>
        <v>#REF!</v>
      </c>
      <c r="CE82" s="297">
        <v>0</v>
      </c>
      <c r="CF82" s="298">
        <f t="shared" ref="CF82:CF94" si="208">CE82/CE$27</f>
        <v>0</v>
      </c>
      <c r="CG82" s="299">
        <v>0</v>
      </c>
      <c r="CH82" s="299"/>
      <c r="CI82" s="300" t="e">
        <f>CG82-#REF!-CH82</f>
        <v>#REF!</v>
      </c>
      <c r="CJ82" s="297">
        <v>0</v>
      </c>
      <c r="CK82" s="298">
        <f t="shared" ref="CK82:CK94" si="209">CJ82/CJ$27</f>
        <v>0</v>
      </c>
      <c r="CL82" s="299">
        <v>0</v>
      </c>
      <c r="CM82" s="299"/>
      <c r="CN82" s="300" t="e">
        <f>CL82-#REF!-CM82</f>
        <v>#REF!</v>
      </c>
      <c r="CO82" s="297">
        <v>0</v>
      </c>
      <c r="CP82" s="298">
        <f t="shared" ref="CP82:CP94" si="210">CO82/CO$27</f>
        <v>0</v>
      </c>
      <c r="CQ82" s="299">
        <v>0</v>
      </c>
      <c r="CR82" s="299"/>
      <c r="CS82" s="300" t="e">
        <f>CQ82-#REF!-CR82</f>
        <v>#REF!</v>
      </c>
      <c r="CT82" s="297">
        <v>0</v>
      </c>
      <c r="CU82" s="298">
        <f t="shared" ref="CU82:CU94" si="211">CT82/CT$27</f>
        <v>0</v>
      </c>
      <c r="CV82" s="299">
        <v>0</v>
      </c>
      <c r="CW82" s="299"/>
      <c r="CX82" s="300" t="e">
        <f>CV82-#REF!-CW82</f>
        <v>#REF!</v>
      </c>
      <c r="CY82" s="297">
        <v>0</v>
      </c>
      <c r="CZ82" s="298">
        <f t="shared" ref="CZ82:CZ94" si="212">CY82/CY$27</f>
        <v>0</v>
      </c>
      <c r="DA82" s="299">
        <v>0</v>
      </c>
      <c r="DB82" s="299"/>
      <c r="DC82" s="300" t="e">
        <f>DA82-#REF!-DB82</f>
        <v>#REF!</v>
      </c>
      <c r="DD82" s="297">
        <v>0</v>
      </c>
      <c r="DE82" s="298">
        <f t="shared" ref="DE82:DE94" si="213">DD82/DD$27</f>
        <v>0</v>
      </c>
      <c r="DF82" s="299">
        <v>0</v>
      </c>
      <c r="DG82" s="299"/>
      <c r="DH82" s="300" t="e">
        <f>DF82-#REF!-DG82</f>
        <v>#REF!</v>
      </c>
      <c r="DI82" s="297">
        <v>0</v>
      </c>
      <c r="DJ82" s="298">
        <f t="shared" ref="DJ82:DJ94" si="214">DI82/DI$27</f>
        <v>0</v>
      </c>
      <c r="DK82" s="299">
        <v>0</v>
      </c>
      <c r="DL82" s="299"/>
      <c r="DM82" s="300" t="e">
        <f>DK82-#REF!-DL82</f>
        <v>#REF!</v>
      </c>
      <c r="DN82" s="297"/>
      <c r="DO82" s="298"/>
      <c r="DP82" s="299"/>
      <c r="DQ82" s="299"/>
      <c r="DR82" s="300" t="e">
        <f>DP82-#REF!-DQ82</f>
        <v>#REF!</v>
      </c>
    </row>
    <row r="83" spans="1:122" s="301" customFormat="1" ht="15.75" hidden="1" customHeight="1" thickBot="1">
      <c r="A83" s="319"/>
      <c r="B83" s="297"/>
      <c r="C83" s="298"/>
      <c r="D83" s="299"/>
      <c r="E83" s="299"/>
      <c r="F83" s="300" t="e">
        <f>D83-#REF!-E83</f>
        <v>#REF!</v>
      </c>
      <c r="G83" s="297"/>
      <c r="H83" s="298"/>
      <c r="I83" s="320"/>
      <c r="J83" s="299"/>
      <c r="K83" s="300" t="e">
        <f>I83-#REF!-J83</f>
        <v>#REF!</v>
      </c>
      <c r="L83" s="297"/>
      <c r="M83" s="298"/>
      <c r="N83" s="299"/>
      <c r="O83" s="299"/>
      <c r="P83" s="300" t="e">
        <f>N83-#REF!-O83</f>
        <v>#REF!</v>
      </c>
      <c r="Q83" s="297"/>
      <c r="R83" s="298"/>
      <c r="S83" s="299"/>
      <c r="T83" s="299"/>
      <c r="U83" s="300" t="e">
        <f>S83-#REF!-T83</f>
        <v>#REF!</v>
      </c>
      <c r="V83" s="297"/>
      <c r="W83" s="298"/>
      <c r="X83" s="299"/>
      <c r="Y83" s="299"/>
      <c r="Z83" s="300" t="e">
        <f>X83-#REF!-Y83</f>
        <v>#REF!</v>
      </c>
      <c r="AA83" s="297"/>
      <c r="AB83" s="298"/>
      <c r="AC83" s="299"/>
      <c r="AD83" s="299"/>
      <c r="AE83" s="300" t="e">
        <f>AC83-#REF!-AD83</f>
        <v>#REF!</v>
      </c>
      <c r="AF83" s="321"/>
      <c r="AG83" s="298"/>
      <c r="AH83" s="299"/>
      <c r="AI83" s="299"/>
      <c r="AJ83" s="300" t="e">
        <f>AH83-#REF!-AI83</f>
        <v>#REF!</v>
      </c>
      <c r="AK83" s="297"/>
      <c r="AL83" s="298"/>
      <c r="AM83" s="299"/>
      <c r="AN83" s="299"/>
      <c r="AO83" s="300" t="e">
        <f>AM83-#REF!-AN83</f>
        <v>#REF!</v>
      </c>
      <c r="AP83" s="297"/>
      <c r="AQ83" s="298"/>
      <c r="AR83" s="299"/>
      <c r="AS83" s="299"/>
      <c r="AT83" s="300" t="e">
        <f>AR83-#REF!-AS83</f>
        <v>#REF!</v>
      </c>
      <c r="AU83" s="321"/>
      <c r="AV83" s="298"/>
      <c r="AW83" s="299"/>
      <c r="AX83" s="299"/>
      <c r="AY83" s="300" t="e">
        <f>AW83-#REF!-AX83</f>
        <v>#REF!</v>
      </c>
      <c r="AZ83" s="297"/>
      <c r="BA83" s="298"/>
      <c r="BB83" s="299"/>
      <c r="BC83" s="299"/>
      <c r="BD83" s="300" t="e">
        <f>BB83-#REF!-BC83</f>
        <v>#REF!</v>
      </c>
      <c r="BE83" s="297"/>
      <c r="BF83" s="298"/>
      <c r="BG83" s="299"/>
      <c r="BH83" s="299"/>
      <c r="BI83" s="300" t="e">
        <f>BG83-#REF!-BH83</f>
        <v>#REF!</v>
      </c>
      <c r="BJ83" s="322"/>
      <c r="BK83" s="297">
        <v>0</v>
      </c>
      <c r="BL83" s="298">
        <f t="shared" si="204"/>
        <v>0</v>
      </c>
      <c r="BM83" s="299">
        <v>0</v>
      </c>
      <c r="BN83" s="299"/>
      <c r="BO83" s="300" t="e">
        <f>BM83-#REF!-BN83</f>
        <v>#REF!</v>
      </c>
      <c r="BP83" s="297">
        <v>0</v>
      </c>
      <c r="BQ83" s="298">
        <f t="shared" si="205"/>
        <v>0</v>
      </c>
      <c r="BR83" s="299">
        <v>0</v>
      </c>
      <c r="BS83" s="299"/>
      <c r="BT83" s="300" t="e">
        <f>BR83-#REF!-BS83</f>
        <v>#REF!</v>
      </c>
      <c r="BU83" s="297">
        <v>0</v>
      </c>
      <c r="BV83" s="298">
        <f t="shared" si="206"/>
        <v>0</v>
      </c>
      <c r="BW83" s="299">
        <v>0</v>
      </c>
      <c r="BX83" s="299"/>
      <c r="BY83" s="300" t="e">
        <f>BW83-#REF!-BX83</f>
        <v>#REF!</v>
      </c>
      <c r="BZ83" s="297">
        <v>0</v>
      </c>
      <c r="CA83" s="298">
        <f t="shared" si="207"/>
        <v>0</v>
      </c>
      <c r="CB83" s="299">
        <v>0</v>
      </c>
      <c r="CC83" s="299"/>
      <c r="CD83" s="300" t="e">
        <f>CB83-#REF!-CC83</f>
        <v>#REF!</v>
      </c>
      <c r="CE83" s="297">
        <v>0</v>
      </c>
      <c r="CF83" s="298">
        <f t="shared" si="208"/>
        <v>0</v>
      </c>
      <c r="CG83" s="299">
        <v>0</v>
      </c>
      <c r="CH83" s="299"/>
      <c r="CI83" s="300" t="e">
        <f>CG83-#REF!-CH83</f>
        <v>#REF!</v>
      </c>
      <c r="CJ83" s="297">
        <v>0</v>
      </c>
      <c r="CK83" s="298">
        <f t="shared" si="209"/>
        <v>0</v>
      </c>
      <c r="CL83" s="299">
        <v>0</v>
      </c>
      <c r="CM83" s="299"/>
      <c r="CN83" s="300" t="e">
        <f>CL83-#REF!-CM83</f>
        <v>#REF!</v>
      </c>
      <c r="CO83" s="297">
        <v>0</v>
      </c>
      <c r="CP83" s="298">
        <f t="shared" si="210"/>
        <v>0</v>
      </c>
      <c r="CQ83" s="299">
        <v>0</v>
      </c>
      <c r="CR83" s="299"/>
      <c r="CS83" s="300" t="e">
        <f>CQ83-#REF!-CR83</f>
        <v>#REF!</v>
      </c>
      <c r="CT83" s="297">
        <v>0</v>
      </c>
      <c r="CU83" s="298">
        <f t="shared" si="211"/>
        <v>0</v>
      </c>
      <c r="CV83" s="299">
        <v>0</v>
      </c>
      <c r="CW83" s="299"/>
      <c r="CX83" s="300" t="e">
        <f>CV83-#REF!-CW83</f>
        <v>#REF!</v>
      </c>
      <c r="CY83" s="297">
        <v>0</v>
      </c>
      <c r="CZ83" s="298">
        <f t="shared" si="212"/>
        <v>0</v>
      </c>
      <c r="DA83" s="299">
        <v>0</v>
      </c>
      <c r="DB83" s="299"/>
      <c r="DC83" s="300" t="e">
        <f>DA83-#REF!-DB83</f>
        <v>#REF!</v>
      </c>
      <c r="DD83" s="297">
        <v>0</v>
      </c>
      <c r="DE83" s="298">
        <f t="shared" si="213"/>
        <v>0</v>
      </c>
      <c r="DF83" s="299">
        <v>0</v>
      </c>
      <c r="DG83" s="299"/>
      <c r="DH83" s="300" t="e">
        <f>DF83-#REF!-DG83</f>
        <v>#REF!</v>
      </c>
      <c r="DI83" s="297">
        <v>0</v>
      </c>
      <c r="DJ83" s="298">
        <f t="shared" si="214"/>
        <v>0</v>
      </c>
      <c r="DK83" s="299">
        <v>0</v>
      </c>
      <c r="DL83" s="299"/>
      <c r="DM83" s="300" t="e">
        <f>DK83-#REF!-DL83</f>
        <v>#REF!</v>
      </c>
      <c r="DN83" s="297"/>
      <c r="DO83" s="298"/>
      <c r="DP83" s="299"/>
      <c r="DQ83" s="299"/>
      <c r="DR83" s="300" t="e">
        <f>DP83-#REF!-DQ83</f>
        <v>#REF!</v>
      </c>
    </row>
    <row r="84" spans="1:122" s="301" customFormat="1" ht="15.75" hidden="1" customHeight="1" thickBot="1">
      <c r="A84" s="319"/>
      <c r="B84" s="297"/>
      <c r="C84" s="298"/>
      <c r="D84" s="299"/>
      <c r="E84" s="299"/>
      <c r="F84" s="300" t="e">
        <f>D84-#REF!-E84</f>
        <v>#REF!</v>
      </c>
      <c r="G84" s="297"/>
      <c r="H84" s="298"/>
      <c r="I84" s="320"/>
      <c r="J84" s="299"/>
      <c r="K84" s="300" t="e">
        <f>I84-#REF!-J84</f>
        <v>#REF!</v>
      </c>
      <c r="L84" s="297"/>
      <c r="M84" s="298"/>
      <c r="N84" s="299"/>
      <c r="O84" s="299"/>
      <c r="P84" s="300" t="e">
        <f>N84-#REF!-O84</f>
        <v>#REF!</v>
      </c>
      <c r="Q84" s="297"/>
      <c r="R84" s="298"/>
      <c r="S84" s="299"/>
      <c r="T84" s="299"/>
      <c r="U84" s="300" t="e">
        <f>S84-#REF!-T84</f>
        <v>#REF!</v>
      </c>
      <c r="V84" s="297"/>
      <c r="W84" s="298"/>
      <c r="X84" s="299"/>
      <c r="Y84" s="299"/>
      <c r="Z84" s="300" t="e">
        <f>X84-#REF!-Y84</f>
        <v>#REF!</v>
      </c>
      <c r="AA84" s="297"/>
      <c r="AB84" s="298"/>
      <c r="AC84" s="299"/>
      <c r="AD84" s="299"/>
      <c r="AE84" s="300" t="e">
        <f>AC84-#REF!-AD84</f>
        <v>#REF!</v>
      </c>
      <c r="AF84" s="321"/>
      <c r="AG84" s="298"/>
      <c r="AH84" s="299"/>
      <c r="AI84" s="299"/>
      <c r="AJ84" s="300" t="e">
        <f>AH84-#REF!-AI84</f>
        <v>#REF!</v>
      </c>
      <c r="AK84" s="297"/>
      <c r="AL84" s="298"/>
      <c r="AM84" s="299"/>
      <c r="AN84" s="299"/>
      <c r="AO84" s="300" t="e">
        <f>AM84-#REF!-AN84</f>
        <v>#REF!</v>
      </c>
      <c r="AP84" s="297"/>
      <c r="AQ84" s="298"/>
      <c r="AR84" s="299"/>
      <c r="AS84" s="299"/>
      <c r="AT84" s="300" t="e">
        <f>AR84-#REF!-AS84</f>
        <v>#REF!</v>
      </c>
      <c r="AU84" s="321"/>
      <c r="AV84" s="298"/>
      <c r="AW84" s="299"/>
      <c r="AX84" s="299"/>
      <c r="AY84" s="300" t="e">
        <f>AW84-#REF!-AX84</f>
        <v>#REF!</v>
      </c>
      <c r="AZ84" s="297"/>
      <c r="BA84" s="298"/>
      <c r="BB84" s="299"/>
      <c r="BC84" s="299"/>
      <c r="BD84" s="300" t="e">
        <f>BB84-#REF!-BC84</f>
        <v>#REF!</v>
      </c>
      <c r="BE84" s="297"/>
      <c r="BF84" s="298"/>
      <c r="BG84" s="299"/>
      <c r="BH84" s="299"/>
      <c r="BI84" s="300" t="e">
        <f>BG84-#REF!-BH84</f>
        <v>#REF!</v>
      </c>
      <c r="BJ84" s="322"/>
      <c r="BK84" s="297">
        <v>0</v>
      </c>
      <c r="BL84" s="298">
        <f t="shared" si="204"/>
        <v>0</v>
      </c>
      <c r="BM84" s="299">
        <v>0</v>
      </c>
      <c r="BN84" s="299"/>
      <c r="BO84" s="300" t="e">
        <f>BM84-#REF!-BN84</f>
        <v>#REF!</v>
      </c>
      <c r="BP84" s="297">
        <v>0</v>
      </c>
      <c r="BQ84" s="298">
        <f t="shared" si="205"/>
        <v>0</v>
      </c>
      <c r="BR84" s="299">
        <v>0</v>
      </c>
      <c r="BS84" s="299"/>
      <c r="BT84" s="300" t="e">
        <f>BR84-#REF!-BS84</f>
        <v>#REF!</v>
      </c>
      <c r="BU84" s="297">
        <v>0</v>
      </c>
      <c r="BV84" s="298">
        <f t="shared" si="206"/>
        <v>0</v>
      </c>
      <c r="BW84" s="299">
        <v>0</v>
      </c>
      <c r="BX84" s="299"/>
      <c r="BY84" s="300" t="e">
        <f>BW84-#REF!-BX84</f>
        <v>#REF!</v>
      </c>
      <c r="BZ84" s="297">
        <v>0</v>
      </c>
      <c r="CA84" s="298">
        <f t="shared" si="207"/>
        <v>0</v>
      </c>
      <c r="CB84" s="299">
        <v>0</v>
      </c>
      <c r="CC84" s="299"/>
      <c r="CD84" s="300" t="e">
        <f>CB84-#REF!-CC84</f>
        <v>#REF!</v>
      </c>
      <c r="CE84" s="297">
        <v>0</v>
      </c>
      <c r="CF84" s="298">
        <f t="shared" si="208"/>
        <v>0</v>
      </c>
      <c r="CG84" s="299">
        <v>0</v>
      </c>
      <c r="CH84" s="299"/>
      <c r="CI84" s="300" t="e">
        <f>CG84-#REF!-CH84</f>
        <v>#REF!</v>
      </c>
      <c r="CJ84" s="297">
        <v>0</v>
      </c>
      <c r="CK84" s="298">
        <f t="shared" si="209"/>
        <v>0</v>
      </c>
      <c r="CL84" s="299">
        <v>0</v>
      </c>
      <c r="CM84" s="299"/>
      <c r="CN84" s="300" t="e">
        <f>CL84-#REF!-CM84</f>
        <v>#REF!</v>
      </c>
      <c r="CO84" s="297">
        <v>0</v>
      </c>
      <c r="CP84" s="298">
        <f t="shared" si="210"/>
        <v>0</v>
      </c>
      <c r="CQ84" s="299">
        <v>0</v>
      </c>
      <c r="CR84" s="299"/>
      <c r="CS84" s="300" t="e">
        <f>CQ84-#REF!-CR84</f>
        <v>#REF!</v>
      </c>
      <c r="CT84" s="297">
        <v>0</v>
      </c>
      <c r="CU84" s="298">
        <f t="shared" si="211"/>
        <v>0</v>
      </c>
      <c r="CV84" s="299">
        <v>0</v>
      </c>
      <c r="CW84" s="299"/>
      <c r="CX84" s="300" t="e">
        <f>CV84-#REF!-CW84</f>
        <v>#REF!</v>
      </c>
      <c r="CY84" s="297">
        <v>0</v>
      </c>
      <c r="CZ84" s="298">
        <f t="shared" si="212"/>
        <v>0</v>
      </c>
      <c r="DA84" s="299">
        <v>0</v>
      </c>
      <c r="DB84" s="299"/>
      <c r="DC84" s="300" t="e">
        <f>DA84-#REF!-DB84</f>
        <v>#REF!</v>
      </c>
      <c r="DD84" s="297">
        <v>0</v>
      </c>
      <c r="DE84" s="298">
        <f t="shared" si="213"/>
        <v>0</v>
      </c>
      <c r="DF84" s="299">
        <v>0</v>
      </c>
      <c r="DG84" s="299"/>
      <c r="DH84" s="300" t="e">
        <f>DF84-#REF!-DG84</f>
        <v>#REF!</v>
      </c>
      <c r="DI84" s="297">
        <v>0</v>
      </c>
      <c r="DJ84" s="298">
        <f t="shared" si="214"/>
        <v>0</v>
      </c>
      <c r="DK84" s="299">
        <v>0</v>
      </c>
      <c r="DL84" s="299"/>
      <c r="DM84" s="300" t="e">
        <f>DK84-#REF!-DL84</f>
        <v>#REF!</v>
      </c>
      <c r="DN84" s="297"/>
      <c r="DO84" s="298"/>
      <c r="DP84" s="299"/>
      <c r="DQ84" s="299"/>
      <c r="DR84" s="300" t="e">
        <f>DP84-#REF!-DQ84</f>
        <v>#REF!</v>
      </c>
    </row>
    <row r="85" spans="1:122" s="301" customFormat="1" ht="15.75" hidden="1" customHeight="1" thickBot="1">
      <c r="A85" s="319"/>
      <c r="B85" s="297"/>
      <c r="C85" s="298"/>
      <c r="D85" s="299"/>
      <c r="E85" s="299"/>
      <c r="F85" s="300" t="e">
        <f>D85-#REF!-E85</f>
        <v>#REF!</v>
      </c>
      <c r="G85" s="297"/>
      <c r="H85" s="298"/>
      <c r="I85" s="320"/>
      <c r="J85" s="299"/>
      <c r="K85" s="300" t="e">
        <f>I85-#REF!-J85</f>
        <v>#REF!</v>
      </c>
      <c r="L85" s="297"/>
      <c r="M85" s="298"/>
      <c r="N85" s="299"/>
      <c r="O85" s="299"/>
      <c r="P85" s="300" t="e">
        <f>N85-#REF!-O85</f>
        <v>#REF!</v>
      </c>
      <c r="Q85" s="297"/>
      <c r="R85" s="298"/>
      <c r="S85" s="299"/>
      <c r="T85" s="299"/>
      <c r="U85" s="300" t="e">
        <f>S85-#REF!-T85</f>
        <v>#REF!</v>
      </c>
      <c r="V85" s="297"/>
      <c r="W85" s="298"/>
      <c r="X85" s="299"/>
      <c r="Y85" s="299"/>
      <c r="Z85" s="300" t="e">
        <f>X85-#REF!-Y85</f>
        <v>#REF!</v>
      </c>
      <c r="AA85" s="297"/>
      <c r="AB85" s="298"/>
      <c r="AC85" s="299"/>
      <c r="AD85" s="299"/>
      <c r="AE85" s="300" t="e">
        <f>AC85-#REF!-AD85</f>
        <v>#REF!</v>
      </c>
      <c r="AF85" s="321"/>
      <c r="AG85" s="298"/>
      <c r="AH85" s="299"/>
      <c r="AI85" s="299"/>
      <c r="AJ85" s="300" t="e">
        <f>AH85-#REF!-AI85</f>
        <v>#REF!</v>
      </c>
      <c r="AK85" s="297"/>
      <c r="AL85" s="298"/>
      <c r="AM85" s="299"/>
      <c r="AN85" s="299"/>
      <c r="AO85" s="300" t="e">
        <f>AM85-#REF!-AN85</f>
        <v>#REF!</v>
      </c>
      <c r="AP85" s="297"/>
      <c r="AQ85" s="298"/>
      <c r="AR85" s="299"/>
      <c r="AS85" s="299"/>
      <c r="AT85" s="300" t="e">
        <f>AR85-#REF!-AS85</f>
        <v>#REF!</v>
      </c>
      <c r="AU85" s="321"/>
      <c r="AV85" s="298"/>
      <c r="AW85" s="299"/>
      <c r="AX85" s="299"/>
      <c r="AY85" s="300" t="e">
        <f>AW85-#REF!-AX85</f>
        <v>#REF!</v>
      </c>
      <c r="AZ85" s="297"/>
      <c r="BA85" s="298"/>
      <c r="BB85" s="299"/>
      <c r="BC85" s="299"/>
      <c r="BD85" s="300" t="e">
        <f>BB85-#REF!-BC85</f>
        <v>#REF!</v>
      </c>
      <c r="BE85" s="297"/>
      <c r="BF85" s="298"/>
      <c r="BG85" s="299"/>
      <c r="BH85" s="299"/>
      <c r="BI85" s="300" t="e">
        <f>BG85-#REF!-BH85</f>
        <v>#REF!</v>
      </c>
      <c r="BJ85" s="322"/>
      <c r="BK85" s="297">
        <v>0</v>
      </c>
      <c r="BL85" s="298">
        <f t="shared" si="204"/>
        <v>0</v>
      </c>
      <c r="BM85" s="299">
        <v>0</v>
      </c>
      <c r="BN85" s="299"/>
      <c r="BO85" s="300" t="e">
        <f>BM85-#REF!-BN85</f>
        <v>#REF!</v>
      </c>
      <c r="BP85" s="297">
        <v>0</v>
      </c>
      <c r="BQ85" s="298">
        <f t="shared" si="205"/>
        <v>0</v>
      </c>
      <c r="BR85" s="299">
        <v>0</v>
      </c>
      <c r="BS85" s="299"/>
      <c r="BT85" s="300" t="e">
        <f>BR85-#REF!-BS85</f>
        <v>#REF!</v>
      </c>
      <c r="BU85" s="297">
        <v>0</v>
      </c>
      <c r="BV85" s="298">
        <f t="shared" si="206"/>
        <v>0</v>
      </c>
      <c r="BW85" s="299">
        <v>0</v>
      </c>
      <c r="BX85" s="299"/>
      <c r="BY85" s="300" t="e">
        <f>BW85-#REF!-BX85</f>
        <v>#REF!</v>
      </c>
      <c r="BZ85" s="297">
        <v>0</v>
      </c>
      <c r="CA85" s="298">
        <f t="shared" si="207"/>
        <v>0</v>
      </c>
      <c r="CB85" s="299">
        <v>0</v>
      </c>
      <c r="CC85" s="299"/>
      <c r="CD85" s="300" t="e">
        <f>CB85-#REF!-CC85</f>
        <v>#REF!</v>
      </c>
      <c r="CE85" s="297">
        <v>0</v>
      </c>
      <c r="CF85" s="298">
        <f t="shared" si="208"/>
        <v>0</v>
      </c>
      <c r="CG85" s="299">
        <v>0</v>
      </c>
      <c r="CH85" s="299"/>
      <c r="CI85" s="300" t="e">
        <f>CG85-#REF!-CH85</f>
        <v>#REF!</v>
      </c>
      <c r="CJ85" s="297">
        <v>0</v>
      </c>
      <c r="CK85" s="298">
        <f t="shared" si="209"/>
        <v>0</v>
      </c>
      <c r="CL85" s="299">
        <v>0</v>
      </c>
      <c r="CM85" s="299"/>
      <c r="CN85" s="300" t="e">
        <f>CL85-#REF!-CM85</f>
        <v>#REF!</v>
      </c>
      <c r="CO85" s="297">
        <v>0</v>
      </c>
      <c r="CP85" s="298">
        <f t="shared" si="210"/>
        <v>0</v>
      </c>
      <c r="CQ85" s="299">
        <v>0</v>
      </c>
      <c r="CR85" s="299"/>
      <c r="CS85" s="300" t="e">
        <f>CQ85-#REF!-CR85</f>
        <v>#REF!</v>
      </c>
      <c r="CT85" s="297">
        <v>0</v>
      </c>
      <c r="CU85" s="298">
        <f t="shared" si="211"/>
        <v>0</v>
      </c>
      <c r="CV85" s="299">
        <v>0</v>
      </c>
      <c r="CW85" s="299"/>
      <c r="CX85" s="300" t="e">
        <f>CV85-#REF!-CW85</f>
        <v>#REF!</v>
      </c>
      <c r="CY85" s="297">
        <v>0</v>
      </c>
      <c r="CZ85" s="298">
        <f t="shared" si="212"/>
        <v>0</v>
      </c>
      <c r="DA85" s="299">
        <v>0</v>
      </c>
      <c r="DB85" s="299"/>
      <c r="DC85" s="300" t="e">
        <f>DA85-#REF!-DB85</f>
        <v>#REF!</v>
      </c>
      <c r="DD85" s="297">
        <v>0</v>
      </c>
      <c r="DE85" s="298">
        <f t="shared" si="213"/>
        <v>0</v>
      </c>
      <c r="DF85" s="299">
        <v>0</v>
      </c>
      <c r="DG85" s="299"/>
      <c r="DH85" s="300" t="e">
        <f>DF85-#REF!-DG85</f>
        <v>#REF!</v>
      </c>
      <c r="DI85" s="297">
        <v>0</v>
      </c>
      <c r="DJ85" s="298">
        <f t="shared" si="214"/>
        <v>0</v>
      </c>
      <c r="DK85" s="299">
        <v>0</v>
      </c>
      <c r="DL85" s="299"/>
      <c r="DM85" s="300" t="e">
        <f>DK85-#REF!-DL85</f>
        <v>#REF!</v>
      </c>
      <c r="DN85" s="297"/>
      <c r="DO85" s="298"/>
      <c r="DP85" s="299"/>
      <c r="DQ85" s="299"/>
      <c r="DR85" s="300" t="e">
        <f>DP85-#REF!-DQ85</f>
        <v>#REF!</v>
      </c>
    </row>
    <row r="86" spans="1:122" s="301" customFormat="1" ht="15.75" hidden="1" customHeight="1" thickBot="1">
      <c r="A86" s="319"/>
      <c r="B86" s="297"/>
      <c r="C86" s="298"/>
      <c r="D86" s="299"/>
      <c r="E86" s="299"/>
      <c r="F86" s="300" t="e">
        <f>D86-#REF!-E86</f>
        <v>#REF!</v>
      </c>
      <c r="G86" s="297"/>
      <c r="H86" s="298"/>
      <c r="I86" s="320"/>
      <c r="J86" s="299"/>
      <c r="K86" s="300" t="e">
        <f>I86-#REF!-J86</f>
        <v>#REF!</v>
      </c>
      <c r="L86" s="297"/>
      <c r="M86" s="298"/>
      <c r="N86" s="299"/>
      <c r="O86" s="299"/>
      <c r="P86" s="300" t="e">
        <f>N86-#REF!-O86</f>
        <v>#REF!</v>
      </c>
      <c r="Q86" s="297"/>
      <c r="R86" s="298"/>
      <c r="S86" s="299"/>
      <c r="T86" s="299"/>
      <c r="U86" s="300" t="e">
        <f>S86-#REF!-T86</f>
        <v>#REF!</v>
      </c>
      <c r="V86" s="297"/>
      <c r="W86" s="298"/>
      <c r="X86" s="299"/>
      <c r="Y86" s="299"/>
      <c r="Z86" s="300" t="e">
        <f>X86-#REF!-Y86</f>
        <v>#REF!</v>
      </c>
      <c r="AA86" s="297"/>
      <c r="AB86" s="298"/>
      <c r="AC86" s="299"/>
      <c r="AD86" s="299"/>
      <c r="AE86" s="300" t="e">
        <f>AC86-#REF!-AD86</f>
        <v>#REF!</v>
      </c>
      <c r="AF86" s="321"/>
      <c r="AG86" s="298"/>
      <c r="AH86" s="299"/>
      <c r="AI86" s="299"/>
      <c r="AJ86" s="300" t="e">
        <f>AH86-#REF!-AI86</f>
        <v>#REF!</v>
      </c>
      <c r="AK86" s="297"/>
      <c r="AL86" s="298"/>
      <c r="AM86" s="299"/>
      <c r="AN86" s="299"/>
      <c r="AO86" s="300" t="e">
        <f>AM86-#REF!-AN86</f>
        <v>#REF!</v>
      </c>
      <c r="AP86" s="297"/>
      <c r="AQ86" s="298"/>
      <c r="AR86" s="299"/>
      <c r="AS86" s="299"/>
      <c r="AT86" s="300" t="e">
        <f>AR86-#REF!-AS86</f>
        <v>#REF!</v>
      </c>
      <c r="AU86" s="321"/>
      <c r="AV86" s="298"/>
      <c r="AW86" s="299"/>
      <c r="AX86" s="299"/>
      <c r="AY86" s="300" t="e">
        <f>AW86-#REF!-AX86</f>
        <v>#REF!</v>
      </c>
      <c r="AZ86" s="297"/>
      <c r="BA86" s="298"/>
      <c r="BB86" s="299"/>
      <c r="BC86" s="299"/>
      <c r="BD86" s="300" t="e">
        <f>BB86-#REF!-BC86</f>
        <v>#REF!</v>
      </c>
      <c r="BE86" s="297"/>
      <c r="BF86" s="298"/>
      <c r="BG86" s="299"/>
      <c r="BH86" s="299"/>
      <c r="BI86" s="300" t="e">
        <f>BG86-#REF!-BH86</f>
        <v>#REF!</v>
      </c>
      <c r="BJ86" s="322"/>
      <c r="BK86" s="297">
        <v>0</v>
      </c>
      <c r="BL86" s="298">
        <f t="shared" si="204"/>
        <v>0</v>
      </c>
      <c r="BM86" s="299">
        <v>0</v>
      </c>
      <c r="BN86" s="299"/>
      <c r="BO86" s="300" t="e">
        <f>BM86-#REF!-BN86</f>
        <v>#REF!</v>
      </c>
      <c r="BP86" s="297">
        <v>0</v>
      </c>
      <c r="BQ86" s="298">
        <f t="shared" si="205"/>
        <v>0</v>
      </c>
      <c r="BR86" s="299">
        <v>0</v>
      </c>
      <c r="BS86" s="299"/>
      <c r="BT86" s="300" t="e">
        <f>BR86-#REF!-BS86</f>
        <v>#REF!</v>
      </c>
      <c r="BU86" s="297">
        <v>0</v>
      </c>
      <c r="BV86" s="298">
        <f t="shared" si="206"/>
        <v>0</v>
      </c>
      <c r="BW86" s="299">
        <v>0</v>
      </c>
      <c r="BX86" s="299"/>
      <c r="BY86" s="300" t="e">
        <f>BW86-#REF!-BX86</f>
        <v>#REF!</v>
      </c>
      <c r="BZ86" s="297">
        <v>0</v>
      </c>
      <c r="CA86" s="298">
        <f t="shared" si="207"/>
        <v>0</v>
      </c>
      <c r="CB86" s="299">
        <v>0</v>
      </c>
      <c r="CC86" s="299"/>
      <c r="CD86" s="300" t="e">
        <f>CB86-#REF!-CC86</f>
        <v>#REF!</v>
      </c>
      <c r="CE86" s="297">
        <v>0</v>
      </c>
      <c r="CF86" s="298">
        <f t="shared" si="208"/>
        <v>0</v>
      </c>
      <c r="CG86" s="299">
        <v>0</v>
      </c>
      <c r="CH86" s="299"/>
      <c r="CI86" s="300" t="e">
        <f>CG86-#REF!-CH86</f>
        <v>#REF!</v>
      </c>
      <c r="CJ86" s="297">
        <v>0</v>
      </c>
      <c r="CK86" s="298">
        <f t="shared" si="209"/>
        <v>0</v>
      </c>
      <c r="CL86" s="299">
        <v>0</v>
      </c>
      <c r="CM86" s="299"/>
      <c r="CN86" s="300" t="e">
        <f>CL86-#REF!-CM86</f>
        <v>#REF!</v>
      </c>
      <c r="CO86" s="297">
        <v>0</v>
      </c>
      <c r="CP86" s="298">
        <f t="shared" si="210"/>
        <v>0</v>
      </c>
      <c r="CQ86" s="299">
        <v>0</v>
      </c>
      <c r="CR86" s="299"/>
      <c r="CS86" s="300" t="e">
        <f>CQ86-#REF!-CR86</f>
        <v>#REF!</v>
      </c>
      <c r="CT86" s="297">
        <v>0</v>
      </c>
      <c r="CU86" s="298">
        <f t="shared" si="211"/>
        <v>0</v>
      </c>
      <c r="CV86" s="299">
        <v>0</v>
      </c>
      <c r="CW86" s="299"/>
      <c r="CX86" s="300" t="e">
        <f>CV86-#REF!-CW86</f>
        <v>#REF!</v>
      </c>
      <c r="CY86" s="297">
        <v>0</v>
      </c>
      <c r="CZ86" s="298">
        <f t="shared" si="212"/>
        <v>0</v>
      </c>
      <c r="DA86" s="299">
        <v>0</v>
      </c>
      <c r="DB86" s="299"/>
      <c r="DC86" s="300" t="e">
        <f>DA86-#REF!-DB86</f>
        <v>#REF!</v>
      </c>
      <c r="DD86" s="297">
        <v>0</v>
      </c>
      <c r="DE86" s="298">
        <f t="shared" si="213"/>
        <v>0</v>
      </c>
      <c r="DF86" s="299">
        <v>0</v>
      </c>
      <c r="DG86" s="299"/>
      <c r="DH86" s="300" t="e">
        <f>DF86-#REF!-DG86</f>
        <v>#REF!</v>
      </c>
      <c r="DI86" s="297">
        <v>0</v>
      </c>
      <c r="DJ86" s="298">
        <f t="shared" si="214"/>
        <v>0</v>
      </c>
      <c r="DK86" s="299">
        <v>0</v>
      </c>
      <c r="DL86" s="299"/>
      <c r="DM86" s="300" t="e">
        <f>DK86-#REF!-DL86</f>
        <v>#REF!</v>
      </c>
      <c r="DN86" s="297"/>
      <c r="DO86" s="298"/>
      <c r="DP86" s="299"/>
      <c r="DQ86" s="299"/>
      <c r="DR86" s="300" t="e">
        <f>DP86-#REF!-DQ86</f>
        <v>#REF!</v>
      </c>
    </row>
    <row r="87" spans="1:122" s="301" customFormat="1" ht="15.75" hidden="1" customHeight="1" thickBot="1">
      <c r="A87" s="319"/>
      <c r="B87" s="297"/>
      <c r="C87" s="298"/>
      <c r="D87" s="299"/>
      <c r="E87" s="299"/>
      <c r="F87" s="300" t="e">
        <f>D87-#REF!-E87</f>
        <v>#REF!</v>
      </c>
      <c r="G87" s="297"/>
      <c r="H87" s="298"/>
      <c r="I87" s="320"/>
      <c r="J87" s="299"/>
      <c r="K87" s="300" t="e">
        <f>I87-#REF!-J87</f>
        <v>#REF!</v>
      </c>
      <c r="L87" s="297"/>
      <c r="M87" s="298"/>
      <c r="N87" s="299"/>
      <c r="O87" s="299"/>
      <c r="P87" s="300" t="e">
        <f>N87-#REF!-O87</f>
        <v>#REF!</v>
      </c>
      <c r="Q87" s="297"/>
      <c r="R87" s="298"/>
      <c r="S87" s="299"/>
      <c r="T87" s="299"/>
      <c r="U87" s="300" t="e">
        <f>S87-#REF!-T87</f>
        <v>#REF!</v>
      </c>
      <c r="V87" s="297"/>
      <c r="W87" s="298"/>
      <c r="X87" s="299"/>
      <c r="Y87" s="299"/>
      <c r="Z87" s="300" t="e">
        <f>X87-#REF!-Y87</f>
        <v>#REF!</v>
      </c>
      <c r="AA87" s="297"/>
      <c r="AB87" s="298"/>
      <c r="AC87" s="299"/>
      <c r="AD87" s="299"/>
      <c r="AE87" s="300" t="e">
        <f>AC87-#REF!-AD87</f>
        <v>#REF!</v>
      </c>
      <c r="AF87" s="321"/>
      <c r="AG87" s="298"/>
      <c r="AH87" s="299"/>
      <c r="AI87" s="299"/>
      <c r="AJ87" s="300" t="e">
        <f>AH87-#REF!-AI87</f>
        <v>#REF!</v>
      </c>
      <c r="AK87" s="297"/>
      <c r="AL87" s="298"/>
      <c r="AM87" s="299"/>
      <c r="AN87" s="299"/>
      <c r="AO87" s="300" t="e">
        <f>AM87-#REF!-AN87</f>
        <v>#REF!</v>
      </c>
      <c r="AP87" s="297"/>
      <c r="AQ87" s="298"/>
      <c r="AR87" s="299"/>
      <c r="AS87" s="299"/>
      <c r="AT87" s="300" t="e">
        <f>AR87-#REF!-AS87</f>
        <v>#REF!</v>
      </c>
      <c r="AU87" s="321"/>
      <c r="AV87" s="298"/>
      <c r="AW87" s="299"/>
      <c r="AX87" s="299"/>
      <c r="AY87" s="300" t="e">
        <f>AW87-#REF!-AX87</f>
        <v>#REF!</v>
      </c>
      <c r="AZ87" s="297"/>
      <c r="BA87" s="298"/>
      <c r="BB87" s="299"/>
      <c r="BC87" s="299"/>
      <c r="BD87" s="300" t="e">
        <f>BB87-#REF!-BC87</f>
        <v>#REF!</v>
      </c>
      <c r="BE87" s="297"/>
      <c r="BF87" s="298"/>
      <c r="BG87" s="299"/>
      <c r="BH87" s="299"/>
      <c r="BI87" s="300" t="e">
        <f>BG87-#REF!-BH87</f>
        <v>#REF!</v>
      </c>
      <c r="BJ87" s="322"/>
      <c r="BK87" s="297">
        <v>0</v>
      </c>
      <c r="BL87" s="298">
        <f t="shared" si="204"/>
        <v>0</v>
      </c>
      <c r="BM87" s="299">
        <v>0</v>
      </c>
      <c r="BN87" s="299"/>
      <c r="BO87" s="300" t="e">
        <f>BM87-#REF!-BN87</f>
        <v>#REF!</v>
      </c>
      <c r="BP87" s="297">
        <v>0</v>
      </c>
      <c r="BQ87" s="298">
        <f t="shared" si="205"/>
        <v>0</v>
      </c>
      <c r="BR87" s="299">
        <v>0</v>
      </c>
      <c r="BS87" s="299"/>
      <c r="BT87" s="300" t="e">
        <f>BR87-#REF!-BS87</f>
        <v>#REF!</v>
      </c>
      <c r="BU87" s="297">
        <v>0</v>
      </c>
      <c r="BV87" s="298">
        <f t="shared" si="206"/>
        <v>0</v>
      </c>
      <c r="BW87" s="299">
        <v>0</v>
      </c>
      <c r="BX87" s="299"/>
      <c r="BY87" s="300" t="e">
        <f>BW87-#REF!-BX87</f>
        <v>#REF!</v>
      </c>
      <c r="BZ87" s="297">
        <v>0</v>
      </c>
      <c r="CA87" s="298">
        <f t="shared" si="207"/>
        <v>0</v>
      </c>
      <c r="CB87" s="299">
        <v>0</v>
      </c>
      <c r="CC87" s="299"/>
      <c r="CD87" s="300" t="e">
        <f>CB87-#REF!-CC87</f>
        <v>#REF!</v>
      </c>
      <c r="CE87" s="297">
        <v>0</v>
      </c>
      <c r="CF87" s="298">
        <f t="shared" si="208"/>
        <v>0</v>
      </c>
      <c r="CG87" s="299">
        <v>0</v>
      </c>
      <c r="CH87" s="299"/>
      <c r="CI87" s="300" t="e">
        <f>CG87-#REF!-CH87</f>
        <v>#REF!</v>
      </c>
      <c r="CJ87" s="297">
        <v>0</v>
      </c>
      <c r="CK87" s="298">
        <f t="shared" si="209"/>
        <v>0</v>
      </c>
      <c r="CL87" s="299">
        <v>0</v>
      </c>
      <c r="CM87" s="299"/>
      <c r="CN87" s="300" t="e">
        <f>CL87-#REF!-CM87</f>
        <v>#REF!</v>
      </c>
      <c r="CO87" s="297">
        <v>0</v>
      </c>
      <c r="CP87" s="298">
        <f t="shared" si="210"/>
        <v>0</v>
      </c>
      <c r="CQ87" s="299">
        <v>0</v>
      </c>
      <c r="CR87" s="299"/>
      <c r="CS87" s="300" t="e">
        <f>CQ87-#REF!-CR87</f>
        <v>#REF!</v>
      </c>
      <c r="CT87" s="297">
        <v>0</v>
      </c>
      <c r="CU87" s="298">
        <f t="shared" si="211"/>
        <v>0</v>
      </c>
      <c r="CV87" s="299">
        <v>0</v>
      </c>
      <c r="CW87" s="299"/>
      <c r="CX87" s="300" t="e">
        <f>CV87-#REF!-CW87</f>
        <v>#REF!</v>
      </c>
      <c r="CY87" s="297">
        <v>0</v>
      </c>
      <c r="CZ87" s="298">
        <f t="shared" si="212"/>
        <v>0</v>
      </c>
      <c r="DA87" s="299">
        <v>0</v>
      </c>
      <c r="DB87" s="299"/>
      <c r="DC87" s="300" t="e">
        <f>DA87-#REF!-DB87</f>
        <v>#REF!</v>
      </c>
      <c r="DD87" s="297">
        <v>0</v>
      </c>
      <c r="DE87" s="298">
        <f t="shared" si="213"/>
        <v>0</v>
      </c>
      <c r="DF87" s="299">
        <v>0</v>
      </c>
      <c r="DG87" s="299"/>
      <c r="DH87" s="300" t="e">
        <f>DF87-#REF!-DG87</f>
        <v>#REF!</v>
      </c>
      <c r="DI87" s="297">
        <v>0</v>
      </c>
      <c r="DJ87" s="298">
        <f t="shared" si="214"/>
        <v>0</v>
      </c>
      <c r="DK87" s="299">
        <v>0</v>
      </c>
      <c r="DL87" s="299"/>
      <c r="DM87" s="300" t="e">
        <f>DK87-#REF!-DL87</f>
        <v>#REF!</v>
      </c>
      <c r="DN87" s="297"/>
      <c r="DO87" s="298"/>
      <c r="DP87" s="299"/>
      <c r="DQ87" s="299"/>
      <c r="DR87" s="300" t="e">
        <f>DP87-#REF!-DQ87</f>
        <v>#REF!</v>
      </c>
    </row>
    <row r="88" spans="1:122" s="301" customFormat="1" ht="15.75" hidden="1" customHeight="1" thickBot="1">
      <c r="A88" s="319"/>
      <c r="B88" s="297"/>
      <c r="C88" s="298"/>
      <c r="D88" s="299"/>
      <c r="E88" s="299"/>
      <c r="F88" s="300" t="e">
        <f>D88-#REF!-E88</f>
        <v>#REF!</v>
      </c>
      <c r="G88" s="297"/>
      <c r="H88" s="298"/>
      <c r="I88" s="320"/>
      <c r="J88" s="299"/>
      <c r="K88" s="300" t="e">
        <f>I88-#REF!-J88</f>
        <v>#REF!</v>
      </c>
      <c r="L88" s="297"/>
      <c r="M88" s="298"/>
      <c r="N88" s="299"/>
      <c r="O88" s="299"/>
      <c r="P88" s="300" t="e">
        <f>N88-#REF!-O88</f>
        <v>#REF!</v>
      </c>
      <c r="Q88" s="297"/>
      <c r="R88" s="298"/>
      <c r="S88" s="299"/>
      <c r="T88" s="299"/>
      <c r="U88" s="300" t="e">
        <f>S88-#REF!-T88</f>
        <v>#REF!</v>
      </c>
      <c r="V88" s="297"/>
      <c r="W88" s="298"/>
      <c r="X88" s="299"/>
      <c r="Y88" s="299"/>
      <c r="Z88" s="300" t="e">
        <f>X88-#REF!-Y88</f>
        <v>#REF!</v>
      </c>
      <c r="AA88" s="297"/>
      <c r="AB88" s="298"/>
      <c r="AC88" s="299"/>
      <c r="AD88" s="299"/>
      <c r="AE88" s="300" t="e">
        <f>AC88-#REF!-AD88</f>
        <v>#REF!</v>
      </c>
      <c r="AF88" s="321"/>
      <c r="AG88" s="298"/>
      <c r="AH88" s="299"/>
      <c r="AI88" s="299"/>
      <c r="AJ88" s="300" t="e">
        <f>AH88-#REF!-AI88</f>
        <v>#REF!</v>
      </c>
      <c r="AK88" s="297"/>
      <c r="AL88" s="298"/>
      <c r="AM88" s="299"/>
      <c r="AN88" s="299"/>
      <c r="AO88" s="300" t="e">
        <f>AM88-#REF!-AN88</f>
        <v>#REF!</v>
      </c>
      <c r="AP88" s="297"/>
      <c r="AQ88" s="298"/>
      <c r="AR88" s="299"/>
      <c r="AS88" s="299"/>
      <c r="AT88" s="300" t="e">
        <f>AR88-#REF!-AS88</f>
        <v>#REF!</v>
      </c>
      <c r="AU88" s="321"/>
      <c r="AV88" s="298"/>
      <c r="AW88" s="299"/>
      <c r="AX88" s="299"/>
      <c r="AY88" s="300" t="e">
        <f>AW88-#REF!-AX88</f>
        <v>#REF!</v>
      </c>
      <c r="AZ88" s="297"/>
      <c r="BA88" s="298"/>
      <c r="BB88" s="299"/>
      <c r="BC88" s="299"/>
      <c r="BD88" s="300" t="e">
        <f>BB88-#REF!-BC88</f>
        <v>#REF!</v>
      </c>
      <c r="BE88" s="297"/>
      <c r="BF88" s="298"/>
      <c r="BG88" s="299"/>
      <c r="BH88" s="299"/>
      <c r="BI88" s="300" t="e">
        <f>BG88-#REF!-BH88</f>
        <v>#REF!</v>
      </c>
      <c r="BJ88" s="322"/>
      <c r="BK88" s="297">
        <v>0</v>
      </c>
      <c r="BL88" s="298">
        <f t="shared" si="204"/>
        <v>0</v>
      </c>
      <c r="BM88" s="299">
        <v>0</v>
      </c>
      <c r="BN88" s="299"/>
      <c r="BO88" s="300" t="e">
        <f>BM88-#REF!-BN88</f>
        <v>#REF!</v>
      </c>
      <c r="BP88" s="297">
        <v>0</v>
      </c>
      <c r="BQ88" s="298">
        <f t="shared" si="205"/>
        <v>0</v>
      </c>
      <c r="BR88" s="299">
        <v>0</v>
      </c>
      <c r="BS88" s="299"/>
      <c r="BT88" s="300" t="e">
        <f>BR88-#REF!-BS88</f>
        <v>#REF!</v>
      </c>
      <c r="BU88" s="297">
        <v>0</v>
      </c>
      <c r="BV88" s="298">
        <f t="shared" si="206"/>
        <v>0</v>
      </c>
      <c r="BW88" s="299">
        <v>0</v>
      </c>
      <c r="BX88" s="299"/>
      <c r="BY88" s="300" t="e">
        <f>BW88-#REF!-BX88</f>
        <v>#REF!</v>
      </c>
      <c r="BZ88" s="297">
        <v>0</v>
      </c>
      <c r="CA88" s="298">
        <f t="shared" si="207"/>
        <v>0</v>
      </c>
      <c r="CB88" s="299">
        <v>0</v>
      </c>
      <c r="CC88" s="299"/>
      <c r="CD88" s="300" t="e">
        <f>CB88-#REF!-CC88</f>
        <v>#REF!</v>
      </c>
      <c r="CE88" s="297">
        <v>0</v>
      </c>
      <c r="CF88" s="298">
        <f t="shared" si="208"/>
        <v>0</v>
      </c>
      <c r="CG88" s="299">
        <v>0</v>
      </c>
      <c r="CH88" s="299"/>
      <c r="CI88" s="300" t="e">
        <f>CG88-#REF!-CH88</f>
        <v>#REF!</v>
      </c>
      <c r="CJ88" s="297">
        <v>0</v>
      </c>
      <c r="CK88" s="298">
        <f t="shared" si="209"/>
        <v>0</v>
      </c>
      <c r="CL88" s="299">
        <v>0</v>
      </c>
      <c r="CM88" s="299"/>
      <c r="CN88" s="300" t="e">
        <f>CL88-#REF!-CM88</f>
        <v>#REF!</v>
      </c>
      <c r="CO88" s="297">
        <v>0</v>
      </c>
      <c r="CP88" s="298">
        <f t="shared" si="210"/>
        <v>0</v>
      </c>
      <c r="CQ88" s="299">
        <v>0</v>
      </c>
      <c r="CR88" s="299"/>
      <c r="CS88" s="300" t="e">
        <f>CQ88-#REF!-CR88</f>
        <v>#REF!</v>
      </c>
      <c r="CT88" s="297">
        <v>0</v>
      </c>
      <c r="CU88" s="298">
        <f t="shared" si="211"/>
        <v>0</v>
      </c>
      <c r="CV88" s="299">
        <v>0</v>
      </c>
      <c r="CW88" s="299"/>
      <c r="CX88" s="300" t="e">
        <f>CV88-#REF!-CW88</f>
        <v>#REF!</v>
      </c>
      <c r="CY88" s="297">
        <v>0</v>
      </c>
      <c r="CZ88" s="298">
        <f t="shared" si="212"/>
        <v>0</v>
      </c>
      <c r="DA88" s="299">
        <v>0</v>
      </c>
      <c r="DB88" s="299"/>
      <c r="DC88" s="300" t="e">
        <f>DA88-#REF!-DB88</f>
        <v>#REF!</v>
      </c>
      <c r="DD88" s="297">
        <v>0</v>
      </c>
      <c r="DE88" s="298">
        <f t="shared" si="213"/>
        <v>0</v>
      </c>
      <c r="DF88" s="299">
        <v>0</v>
      </c>
      <c r="DG88" s="299"/>
      <c r="DH88" s="300" t="e">
        <f>DF88-#REF!-DG88</f>
        <v>#REF!</v>
      </c>
      <c r="DI88" s="297">
        <v>0</v>
      </c>
      <c r="DJ88" s="298">
        <f t="shared" si="214"/>
        <v>0</v>
      </c>
      <c r="DK88" s="299">
        <v>0</v>
      </c>
      <c r="DL88" s="299"/>
      <c r="DM88" s="300" t="e">
        <f>DK88-#REF!-DL88</f>
        <v>#REF!</v>
      </c>
      <c r="DN88" s="297"/>
      <c r="DO88" s="298"/>
      <c r="DP88" s="299"/>
      <c r="DQ88" s="299"/>
      <c r="DR88" s="300" t="e">
        <f>DP88-#REF!-DQ88</f>
        <v>#REF!</v>
      </c>
    </row>
    <row r="89" spans="1:122" s="301" customFormat="1" ht="15.75" hidden="1" customHeight="1" thickBot="1">
      <c r="A89" s="319"/>
      <c r="B89" s="297"/>
      <c r="C89" s="298"/>
      <c r="D89" s="299"/>
      <c r="E89" s="299"/>
      <c r="F89" s="300" t="e">
        <f>D89-#REF!-E89</f>
        <v>#REF!</v>
      </c>
      <c r="G89" s="297"/>
      <c r="H89" s="298"/>
      <c r="I89" s="320"/>
      <c r="J89" s="299"/>
      <c r="K89" s="300" t="e">
        <f>I89-#REF!-J89</f>
        <v>#REF!</v>
      </c>
      <c r="L89" s="297"/>
      <c r="M89" s="298"/>
      <c r="N89" s="299"/>
      <c r="O89" s="299"/>
      <c r="P89" s="300" t="e">
        <f>N89-#REF!-O89</f>
        <v>#REF!</v>
      </c>
      <c r="Q89" s="297"/>
      <c r="R89" s="298"/>
      <c r="S89" s="299"/>
      <c r="T89" s="299"/>
      <c r="U89" s="300" t="e">
        <f>S89-#REF!-T89</f>
        <v>#REF!</v>
      </c>
      <c r="V89" s="297"/>
      <c r="W89" s="298"/>
      <c r="X89" s="299"/>
      <c r="Y89" s="299"/>
      <c r="Z89" s="300" t="e">
        <f>X89-#REF!-Y89</f>
        <v>#REF!</v>
      </c>
      <c r="AA89" s="297"/>
      <c r="AB89" s="298"/>
      <c r="AC89" s="299"/>
      <c r="AD89" s="299"/>
      <c r="AE89" s="300" t="e">
        <f>AC89-#REF!-AD89</f>
        <v>#REF!</v>
      </c>
      <c r="AF89" s="321"/>
      <c r="AG89" s="298"/>
      <c r="AH89" s="299"/>
      <c r="AI89" s="299"/>
      <c r="AJ89" s="300" t="e">
        <f>AH89-#REF!-AI89</f>
        <v>#REF!</v>
      </c>
      <c r="AK89" s="297"/>
      <c r="AL89" s="298"/>
      <c r="AM89" s="299"/>
      <c r="AN89" s="299"/>
      <c r="AO89" s="300" t="e">
        <f>AM89-#REF!-AN89</f>
        <v>#REF!</v>
      </c>
      <c r="AP89" s="297"/>
      <c r="AQ89" s="298"/>
      <c r="AR89" s="299"/>
      <c r="AS89" s="299"/>
      <c r="AT89" s="300" t="e">
        <f>AR89-#REF!-AS89</f>
        <v>#REF!</v>
      </c>
      <c r="AU89" s="321"/>
      <c r="AV89" s="298"/>
      <c r="AW89" s="299"/>
      <c r="AX89" s="299"/>
      <c r="AY89" s="300" t="e">
        <f>AW89-#REF!-AX89</f>
        <v>#REF!</v>
      </c>
      <c r="AZ89" s="297"/>
      <c r="BA89" s="298"/>
      <c r="BB89" s="299"/>
      <c r="BC89" s="299"/>
      <c r="BD89" s="300" t="e">
        <f>BB89-#REF!-BC89</f>
        <v>#REF!</v>
      </c>
      <c r="BE89" s="297"/>
      <c r="BF89" s="298"/>
      <c r="BG89" s="299"/>
      <c r="BH89" s="299"/>
      <c r="BI89" s="300" t="e">
        <f>BG89-#REF!-BH89</f>
        <v>#REF!</v>
      </c>
      <c r="BJ89" s="322"/>
      <c r="BK89" s="297">
        <v>0</v>
      </c>
      <c r="BL89" s="298">
        <f t="shared" si="204"/>
        <v>0</v>
      </c>
      <c r="BM89" s="299">
        <v>0</v>
      </c>
      <c r="BN89" s="299"/>
      <c r="BO89" s="300" t="e">
        <f>BM89-#REF!-BN89</f>
        <v>#REF!</v>
      </c>
      <c r="BP89" s="297">
        <v>0</v>
      </c>
      <c r="BQ89" s="298">
        <f t="shared" si="205"/>
        <v>0</v>
      </c>
      <c r="BR89" s="299">
        <v>0</v>
      </c>
      <c r="BS89" s="299"/>
      <c r="BT89" s="300" t="e">
        <f>BR89-#REF!-BS89</f>
        <v>#REF!</v>
      </c>
      <c r="BU89" s="297">
        <v>0</v>
      </c>
      <c r="BV89" s="298">
        <f t="shared" si="206"/>
        <v>0</v>
      </c>
      <c r="BW89" s="299">
        <v>0</v>
      </c>
      <c r="BX89" s="299"/>
      <c r="BY89" s="300" t="e">
        <f>BW89-#REF!-BX89</f>
        <v>#REF!</v>
      </c>
      <c r="BZ89" s="297">
        <v>0</v>
      </c>
      <c r="CA89" s="298">
        <f t="shared" si="207"/>
        <v>0</v>
      </c>
      <c r="CB89" s="299">
        <v>0</v>
      </c>
      <c r="CC89" s="299"/>
      <c r="CD89" s="300" t="e">
        <f>CB89-#REF!-CC89</f>
        <v>#REF!</v>
      </c>
      <c r="CE89" s="297">
        <v>0</v>
      </c>
      <c r="CF89" s="298">
        <f t="shared" si="208"/>
        <v>0</v>
      </c>
      <c r="CG89" s="299">
        <v>0</v>
      </c>
      <c r="CH89" s="299"/>
      <c r="CI89" s="300" t="e">
        <f>CG89-#REF!-CH89</f>
        <v>#REF!</v>
      </c>
      <c r="CJ89" s="297">
        <v>0</v>
      </c>
      <c r="CK89" s="298">
        <f t="shared" si="209"/>
        <v>0</v>
      </c>
      <c r="CL89" s="299">
        <v>0</v>
      </c>
      <c r="CM89" s="299"/>
      <c r="CN89" s="300" t="e">
        <f>CL89-#REF!-CM89</f>
        <v>#REF!</v>
      </c>
      <c r="CO89" s="297">
        <v>0</v>
      </c>
      <c r="CP89" s="298">
        <f t="shared" si="210"/>
        <v>0</v>
      </c>
      <c r="CQ89" s="299">
        <v>0</v>
      </c>
      <c r="CR89" s="299"/>
      <c r="CS89" s="300" t="e">
        <f>CQ89-#REF!-CR89</f>
        <v>#REF!</v>
      </c>
      <c r="CT89" s="297">
        <v>0</v>
      </c>
      <c r="CU89" s="298">
        <f t="shared" si="211"/>
        <v>0</v>
      </c>
      <c r="CV89" s="299">
        <v>0</v>
      </c>
      <c r="CW89" s="299"/>
      <c r="CX89" s="300" t="e">
        <f>CV89-#REF!-CW89</f>
        <v>#REF!</v>
      </c>
      <c r="CY89" s="297">
        <v>0</v>
      </c>
      <c r="CZ89" s="298">
        <f t="shared" si="212"/>
        <v>0</v>
      </c>
      <c r="DA89" s="299">
        <v>0</v>
      </c>
      <c r="DB89" s="299"/>
      <c r="DC89" s="300" t="e">
        <f>DA89-#REF!-DB89</f>
        <v>#REF!</v>
      </c>
      <c r="DD89" s="297">
        <v>0</v>
      </c>
      <c r="DE89" s="298">
        <f t="shared" si="213"/>
        <v>0</v>
      </c>
      <c r="DF89" s="299">
        <v>0</v>
      </c>
      <c r="DG89" s="299"/>
      <c r="DH89" s="300" t="e">
        <f>DF89-#REF!-DG89</f>
        <v>#REF!</v>
      </c>
      <c r="DI89" s="297">
        <v>0</v>
      </c>
      <c r="DJ89" s="298">
        <f t="shared" si="214"/>
        <v>0</v>
      </c>
      <c r="DK89" s="299">
        <v>0</v>
      </c>
      <c r="DL89" s="299"/>
      <c r="DM89" s="300" t="e">
        <f>DK89-#REF!-DL89</f>
        <v>#REF!</v>
      </c>
      <c r="DN89" s="297"/>
      <c r="DO89" s="298"/>
      <c r="DP89" s="299"/>
      <c r="DQ89" s="299"/>
      <c r="DR89" s="300" t="e">
        <f>DP89-#REF!-DQ89</f>
        <v>#REF!</v>
      </c>
    </row>
    <row r="90" spans="1:122" s="301" customFormat="1" ht="15.75" hidden="1" customHeight="1" thickBot="1">
      <c r="A90" s="319"/>
      <c r="B90" s="297"/>
      <c r="C90" s="298"/>
      <c r="D90" s="299"/>
      <c r="E90" s="299"/>
      <c r="F90" s="300" t="e">
        <f>D90-#REF!-E90</f>
        <v>#REF!</v>
      </c>
      <c r="G90" s="297"/>
      <c r="H90" s="298"/>
      <c r="I90" s="320"/>
      <c r="J90" s="299"/>
      <c r="K90" s="300" t="e">
        <f>I90-#REF!-J90</f>
        <v>#REF!</v>
      </c>
      <c r="L90" s="297"/>
      <c r="M90" s="298"/>
      <c r="N90" s="299"/>
      <c r="O90" s="299"/>
      <c r="P90" s="300" t="e">
        <f>N90-#REF!-O90</f>
        <v>#REF!</v>
      </c>
      <c r="Q90" s="297"/>
      <c r="R90" s="298"/>
      <c r="S90" s="299"/>
      <c r="T90" s="299"/>
      <c r="U90" s="300" t="e">
        <f>S90-#REF!-T90</f>
        <v>#REF!</v>
      </c>
      <c r="V90" s="297"/>
      <c r="W90" s="298"/>
      <c r="X90" s="299"/>
      <c r="Y90" s="299"/>
      <c r="Z90" s="300" t="e">
        <f>X90-#REF!-Y90</f>
        <v>#REF!</v>
      </c>
      <c r="AA90" s="297"/>
      <c r="AB90" s="298"/>
      <c r="AC90" s="299"/>
      <c r="AD90" s="299"/>
      <c r="AE90" s="300" t="e">
        <f>AC90-#REF!-AD90</f>
        <v>#REF!</v>
      </c>
      <c r="AF90" s="321"/>
      <c r="AG90" s="298"/>
      <c r="AH90" s="299"/>
      <c r="AI90" s="299"/>
      <c r="AJ90" s="300" t="e">
        <f>AH90-#REF!-AI90</f>
        <v>#REF!</v>
      </c>
      <c r="AK90" s="297"/>
      <c r="AL90" s="298"/>
      <c r="AM90" s="299"/>
      <c r="AN90" s="299"/>
      <c r="AO90" s="300" t="e">
        <f>AM90-#REF!-AN90</f>
        <v>#REF!</v>
      </c>
      <c r="AP90" s="297"/>
      <c r="AQ90" s="298"/>
      <c r="AR90" s="299"/>
      <c r="AS90" s="299"/>
      <c r="AT90" s="300" t="e">
        <f>AR90-#REF!-AS90</f>
        <v>#REF!</v>
      </c>
      <c r="AU90" s="321"/>
      <c r="AV90" s="298"/>
      <c r="AW90" s="299"/>
      <c r="AX90" s="299"/>
      <c r="AY90" s="300" t="e">
        <f>AW90-#REF!-AX90</f>
        <v>#REF!</v>
      </c>
      <c r="AZ90" s="297"/>
      <c r="BA90" s="298"/>
      <c r="BB90" s="299"/>
      <c r="BC90" s="299"/>
      <c r="BD90" s="300" t="e">
        <f>BB90-#REF!-BC90</f>
        <v>#REF!</v>
      </c>
      <c r="BE90" s="297"/>
      <c r="BF90" s="298"/>
      <c r="BG90" s="299"/>
      <c r="BH90" s="299"/>
      <c r="BI90" s="300" t="e">
        <f>BG90-#REF!-BH90</f>
        <v>#REF!</v>
      </c>
      <c r="BJ90" s="322"/>
      <c r="BK90" s="297">
        <v>0</v>
      </c>
      <c r="BL90" s="298">
        <f t="shared" si="204"/>
        <v>0</v>
      </c>
      <c r="BM90" s="299">
        <v>0</v>
      </c>
      <c r="BN90" s="299"/>
      <c r="BO90" s="300" t="e">
        <f>BM90-#REF!-BN90</f>
        <v>#REF!</v>
      </c>
      <c r="BP90" s="297">
        <v>0</v>
      </c>
      <c r="BQ90" s="298">
        <f t="shared" si="205"/>
        <v>0</v>
      </c>
      <c r="BR90" s="299">
        <v>0</v>
      </c>
      <c r="BS90" s="299"/>
      <c r="BT90" s="300" t="e">
        <f>BR90-#REF!-BS90</f>
        <v>#REF!</v>
      </c>
      <c r="BU90" s="297">
        <v>0</v>
      </c>
      <c r="BV90" s="298">
        <f t="shared" si="206"/>
        <v>0</v>
      </c>
      <c r="BW90" s="299">
        <v>0</v>
      </c>
      <c r="BX90" s="299"/>
      <c r="BY90" s="300" t="e">
        <f>BW90-#REF!-BX90</f>
        <v>#REF!</v>
      </c>
      <c r="BZ90" s="297">
        <v>0</v>
      </c>
      <c r="CA90" s="298">
        <f t="shared" si="207"/>
        <v>0</v>
      </c>
      <c r="CB90" s="299">
        <v>0</v>
      </c>
      <c r="CC90" s="299"/>
      <c r="CD90" s="300" t="e">
        <f>CB90-#REF!-CC90</f>
        <v>#REF!</v>
      </c>
      <c r="CE90" s="297">
        <v>0</v>
      </c>
      <c r="CF90" s="298">
        <f t="shared" si="208"/>
        <v>0</v>
      </c>
      <c r="CG90" s="299">
        <v>0</v>
      </c>
      <c r="CH90" s="299"/>
      <c r="CI90" s="300" t="e">
        <f>CG90-#REF!-CH90</f>
        <v>#REF!</v>
      </c>
      <c r="CJ90" s="297">
        <v>0</v>
      </c>
      <c r="CK90" s="298">
        <f t="shared" si="209"/>
        <v>0</v>
      </c>
      <c r="CL90" s="299">
        <v>0</v>
      </c>
      <c r="CM90" s="299"/>
      <c r="CN90" s="300" t="e">
        <f>CL90-#REF!-CM90</f>
        <v>#REF!</v>
      </c>
      <c r="CO90" s="297">
        <v>0</v>
      </c>
      <c r="CP90" s="298">
        <f t="shared" si="210"/>
        <v>0</v>
      </c>
      <c r="CQ90" s="299">
        <v>0</v>
      </c>
      <c r="CR90" s="299"/>
      <c r="CS90" s="300" t="e">
        <f>CQ90-#REF!-CR90</f>
        <v>#REF!</v>
      </c>
      <c r="CT90" s="297">
        <v>0</v>
      </c>
      <c r="CU90" s="298">
        <f t="shared" si="211"/>
        <v>0</v>
      </c>
      <c r="CV90" s="299">
        <v>0</v>
      </c>
      <c r="CW90" s="299"/>
      <c r="CX90" s="300" t="e">
        <f>CV90-#REF!-CW90</f>
        <v>#REF!</v>
      </c>
      <c r="CY90" s="297">
        <v>0</v>
      </c>
      <c r="CZ90" s="298">
        <f t="shared" si="212"/>
        <v>0</v>
      </c>
      <c r="DA90" s="299">
        <v>0</v>
      </c>
      <c r="DB90" s="299"/>
      <c r="DC90" s="300" t="e">
        <f>DA90-#REF!-DB90</f>
        <v>#REF!</v>
      </c>
      <c r="DD90" s="297">
        <v>0</v>
      </c>
      <c r="DE90" s="298">
        <f t="shared" si="213"/>
        <v>0</v>
      </c>
      <c r="DF90" s="299">
        <v>0</v>
      </c>
      <c r="DG90" s="299"/>
      <c r="DH90" s="300" t="e">
        <f>DF90-#REF!-DG90</f>
        <v>#REF!</v>
      </c>
      <c r="DI90" s="297">
        <v>0</v>
      </c>
      <c r="DJ90" s="298">
        <f t="shared" si="214"/>
        <v>0</v>
      </c>
      <c r="DK90" s="299">
        <v>0</v>
      </c>
      <c r="DL90" s="299"/>
      <c r="DM90" s="300" t="e">
        <f>DK90-#REF!-DL90</f>
        <v>#REF!</v>
      </c>
      <c r="DN90" s="297"/>
      <c r="DO90" s="298"/>
      <c r="DP90" s="299"/>
      <c r="DQ90" s="299"/>
      <c r="DR90" s="300" t="e">
        <f>DP90-#REF!-DQ90</f>
        <v>#REF!</v>
      </c>
    </row>
    <row r="91" spans="1:122" s="301" customFormat="1" ht="15.75" hidden="1" customHeight="1" thickBot="1">
      <c r="A91" s="319"/>
      <c r="B91" s="297"/>
      <c r="C91" s="298"/>
      <c r="D91" s="299"/>
      <c r="E91" s="299"/>
      <c r="F91" s="300" t="e">
        <f>D91-#REF!-E91</f>
        <v>#REF!</v>
      </c>
      <c r="G91" s="297"/>
      <c r="H91" s="298"/>
      <c r="I91" s="320"/>
      <c r="J91" s="299"/>
      <c r="K91" s="300" t="e">
        <f>I91-#REF!-J91</f>
        <v>#REF!</v>
      </c>
      <c r="L91" s="297"/>
      <c r="M91" s="298"/>
      <c r="N91" s="299"/>
      <c r="O91" s="299"/>
      <c r="P91" s="300" t="e">
        <f>N91-#REF!-O91</f>
        <v>#REF!</v>
      </c>
      <c r="Q91" s="297"/>
      <c r="R91" s="298"/>
      <c r="S91" s="299"/>
      <c r="T91" s="299"/>
      <c r="U91" s="300" t="e">
        <f>S91-#REF!-T91</f>
        <v>#REF!</v>
      </c>
      <c r="V91" s="297"/>
      <c r="W91" s="298"/>
      <c r="X91" s="299"/>
      <c r="Y91" s="299"/>
      <c r="Z91" s="300" t="e">
        <f>X91-#REF!-Y91</f>
        <v>#REF!</v>
      </c>
      <c r="AA91" s="297"/>
      <c r="AB91" s="298"/>
      <c r="AC91" s="299"/>
      <c r="AD91" s="299"/>
      <c r="AE91" s="300" t="e">
        <f>AC91-#REF!-AD91</f>
        <v>#REF!</v>
      </c>
      <c r="AF91" s="321"/>
      <c r="AG91" s="298"/>
      <c r="AH91" s="299"/>
      <c r="AI91" s="299"/>
      <c r="AJ91" s="300" t="e">
        <f>AH91-#REF!-AI91</f>
        <v>#REF!</v>
      </c>
      <c r="AK91" s="297"/>
      <c r="AL91" s="298"/>
      <c r="AM91" s="299"/>
      <c r="AN91" s="299"/>
      <c r="AO91" s="300" t="e">
        <f>AM91-#REF!-AN91</f>
        <v>#REF!</v>
      </c>
      <c r="AP91" s="297"/>
      <c r="AQ91" s="298"/>
      <c r="AR91" s="299"/>
      <c r="AS91" s="299"/>
      <c r="AT91" s="300" t="e">
        <f>AR91-#REF!-AS91</f>
        <v>#REF!</v>
      </c>
      <c r="AU91" s="321"/>
      <c r="AV91" s="298"/>
      <c r="AW91" s="299"/>
      <c r="AX91" s="299"/>
      <c r="AY91" s="300" t="e">
        <f>AW91-#REF!-AX91</f>
        <v>#REF!</v>
      </c>
      <c r="AZ91" s="297"/>
      <c r="BA91" s="298"/>
      <c r="BB91" s="299"/>
      <c r="BC91" s="299"/>
      <c r="BD91" s="300" t="e">
        <f>BB91-#REF!-BC91</f>
        <v>#REF!</v>
      </c>
      <c r="BE91" s="297"/>
      <c r="BF91" s="298"/>
      <c r="BG91" s="299"/>
      <c r="BH91" s="299"/>
      <c r="BI91" s="300" t="e">
        <f>BG91-#REF!-BH91</f>
        <v>#REF!</v>
      </c>
      <c r="BJ91" s="322"/>
      <c r="BK91" s="297">
        <v>0</v>
      </c>
      <c r="BL91" s="298">
        <f t="shared" si="204"/>
        <v>0</v>
      </c>
      <c r="BM91" s="299">
        <v>0</v>
      </c>
      <c r="BN91" s="299"/>
      <c r="BO91" s="300" t="e">
        <f>BM91-#REF!-BN91</f>
        <v>#REF!</v>
      </c>
      <c r="BP91" s="297">
        <v>0</v>
      </c>
      <c r="BQ91" s="298">
        <f t="shared" si="205"/>
        <v>0</v>
      </c>
      <c r="BR91" s="299">
        <v>0</v>
      </c>
      <c r="BS91" s="299"/>
      <c r="BT91" s="300" t="e">
        <f>BR91-#REF!-BS91</f>
        <v>#REF!</v>
      </c>
      <c r="BU91" s="297">
        <v>0</v>
      </c>
      <c r="BV91" s="298">
        <f t="shared" si="206"/>
        <v>0</v>
      </c>
      <c r="BW91" s="299">
        <v>0</v>
      </c>
      <c r="BX91" s="299"/>
      <c r="BY91" s="300" t="e">
        <f>BW91-#REF!-BX91</f>
        <v>#REF!</v>
      </c>
      <c r="BZ91" s="297">
        <v>0</v>
      </c>
      <c r="CA91" s="298">
        <f t="shared" si="207"/>
        <v>0</v>
      </c>
      <c r="CB91" s="299">
        <v>0</v>
      </c>
      <c r="CC91" s="299"/>
      <c r="CD91" s="300" t="e">
        <f>CB91-#REF!-CC91</f>
        <v>#REF!</v>
      </c>
      <c r="CE91" s="297">
        <v>0</v>
      </c>
      <c r="CF91" s="298">
        <f t="shared" si="208"/>
        <v>0</v>
      </c>
      <c r="CG91" s="299">
        <v>0</v>
      </c>
      <c r="CH91" s="299"/>
      <c r="CI91" s="300" t="e">
        <f>CG91-#REF!-CH91</f>
        <v>#REF!</v>
      </c>
      <c r="CJ91" s="297">
        <v>0</v>
      </c>
      <c r="CK91" s="298">
        <f t="shared" si="209"/>
        <v>0</v>
      </c>
      <c r="CL91" s="299">
        <v>0</v>
      </c>
      <c r="CM91" s="299"/>
      <c r="CN91" s="300" t="e">
        <f>CL91-#REF!-CM91</f>
        <v>#REF!</v>
      </c>
      <c r="CO91" s="297">
        <v>0</v>
      </c>
      <c r="CP91" s="298">
        <f t="shared" si="210"/>
        <v>0</v>
      </c>
      <c r="CQ91" s="299">
        <v>0</v>
      </c>
      <c r="CR91" s="299"/>
      <c r="CS91" s="300" t="e">
        <f>CQ91-#REF!-CR91</f>
        <v>#REF!</v>
      </c>
      <c r="CT91" s="297">
        <v>0</v>
      </c>
      <c r="CU91" s="298">
        <f t="shared" si="211"/>
        <v>0</v>
      </c>
      <c r="CV91" s="299">
        <v>0</v>
      </c>
      <c r="CW91" s="299"/>
      <c r="CX91" s="300" t="e">
        <f>CV91-#REF!-CW91</f>
        <v>#REF!</v>
      </c>
      <c r="CY91" s="297">
        <v>0</v>
      </c>
      <c r="CZ91" s="298">
        <f t="shared" si="212"/>
        <v>0</v>
      </c>
      <c r="DA91" s="299">
        <v>0</v>
      </c>
      <c r="DB91" s="299"/>
      <c r="DC91" s="300" t="e">
        <f>DA91-#REF!-DB91</f>
        <v>#REF!</v>
      </c>
      <c r="DD91" s="297">
        <v>0</v>
      </c>
      <c r="DE91" s="298">
        <f t="shared" si="213"/>
        <v>0</v>
      </c>
      <c r="DF91" s="299">
        <v>0</v>
      </c>
      <c r="DG91" s="299"/>
      <c r="DH91" s="300" t="e">
        <f>DF91-#REF!-DG91</f>
        <v>#REF!</v>
      </c>
      <c r="DI91" s="297">
        <v>0</v>
      </c>
      <c r="DJ91" s="298">
        <f t="shared" si="214"/>
        <v>0</v>
      </c>
      <c r="DK91" s="299">
        <v>0</v>
      </c>
      <c r="DL91" s="299"/>
      <c r="DM91" s="300" t="e">
        <f>DK91-#REF!-DL91</f>
        <v>#REF!</v>
      </c>
      <c r="DN91" s="297"/>
      <c r="DO91" s="298"/>
      <c r="DP91" s="299"/>
      <c r="DQ91" s="299"/>
      <c r="DR91" s="300" t="e">
        <f>DP91-#REF!-DQ91</f>
        <v>#REF!</v>
      </c>
    </row>
    <row r="92" spans="1:122" s="301" customFormat="1" ht="15.75" hidden="1" customHeight="1" thickBot="1">
      <c r="A92" s="319"/>
      <c r="B92" s="297"/>
      <c r="C92" s="298"/>
      <c r="D92" s="299"/>
      <c r="E92" s="299"/>
      <c r="F92" s="300" t="e">
        <f>D92-#REF!-E92</f>
        <v>#REF!</v>
      </c>
      <c r="G92" s="297"/>
      <c r="H92" s="298"/>
      <c r="I92" s="320"/>
      <c r="J92" s="299"/>
      <c r="K92" s="300" t="e">
        <f>I92-#REF!-J92</f>
        <v>#REF!</v>
      </c>
      <c r="L92" s="297"/>
      <c r="M92" s="298"/>
      <c r="N92" s="299"/>
      <c r="O92" s="299"/>
      <c r="P92" s="300" t="e">
        <f>N92-#REF!-O92</f>
        <v>#REF!</v>
      </c>
      <c r="Q92" s="297"/>
      <c r="R92" s="298"/>
      <c r="S92" s="299"/>
      <c r="T92" s="299"/>
      <c r="U92" s="300" t="e">
        <f>S92-#REF!-T92</f>
        <v>#REF!</v>
      </c>
      <c r="V92" s="297"/>
      <c r="W92" s="298"/>
      <c r="X92" s="299"/>
      <c r="Y92" s="299"/>
      <c r="Z92" s="300" t="e">
        <f>X92-#REF!-Y92</f>
        <v>#REF!</v>
      </c>
      <c r="AA92" s="297"/>
      <c r="AB92" s="298"/>
      <c r="AC92" s="299"/>
      <c r="AD92" s="299"/>
      <c r="AE92" s="300" t="e">
        <f>AC92-#REF!-AD92</f>
        <v>#REF!</v>
      </c>
      <c r="AF92" s="321"/>
      <c r="AG92" s="298"/>
      <c r="AH92" s="299"/>
      <c r="AI92" s="299"/>
      <c r="AJ92" s="300" t="e">
        <f>AH92-#REF!-AI92</f>
        <v>#REF!</v>
      </c>
      <c r="AK92" s="297"/>
      <c r="AL92" s="298"/>
      <c r="AM92" s="299"/>
      <c r="AN92" s="299"/>
      <c r="AO92" s="300" t="e">
        <f>AM92-#REF!-AN92</f>
        <v>#REF!</v>
      </c>
      <c r="AP92" s="297"/>
      <c r="AQ92" s="298"/>
      <c r="AR92" s="299"/>
      <c r="AS92" s="299"/>
      <c r="AT92" s="300" t="e">
        <f>AR92-#REF!-AS92</f>
        <v>#REF!</v>
      </c>
      <c r="AU92" s="321"/>
      <c r="AV92" s="298"/>
      <c r="AW92" s="299"/>
      <c r="AX92" s="299"/>
      <c r="AY92" s="300" t="e">
        <f>AW92-#REF!-AX92</f>
        <v>#REF!</v>
      </c>
      <c r="AZ92" s="297"/>
      <c r="BA92" s="298"/>
      <c r="BB92" s="299"/>
      <c r="BC92" s="299"/>
      <c r="BD92" s="300" t="e">
        <f>BB92-#REF!-BC92</f>
        <v>#REF!</v>
      </c>
      <c r="BE92" s="297"/>
      <c r="BF92" s="298"/>
      <c r="BG92" s="299"/>
      <c r="BH92" s="299"/>
      <c r="BI92" s="300" t="e">
        <f>BG92-#REF!-BH92</f>
        <v>#REF!</v>
      </c>
      <c r="BJ92" s="322"/>
      <c r="BK92" s="297">
        <v>0</v>
      </c>
      <c r="BL92" s="298">
        <f t="shared" si="204"/>
        <v>0</v>
      </c>
      <c r="BM92" s="299">
        <v>0</v>
      </c>
      <c r="BN92" s="299"/>
      <c r="BO92" s="300" t="e">
        <f>BM92-#REF!-BN92</f>
        <v>#REF!</v>
      </c>
      <c r="BP92" s="297">
        <v>0</v>
      </c>
      <c r="BQ92" s="298">
        <f t="shared" si="205"/>
        <v>0</v>
      </c>
      <c r="BR92" s="299">
        <v>0</v>
      </c>
      <c r="BS92" s="299"/>
      <c r="BT92" s="300" t="e">
        <f>BR92-#REF!-BS92</f>
        <v>#REF!</v>
      </c>
      <c r="BU92" s="297">
        <v>0</v>
      </c>
      <c r="BV92" s="298">
        <f t="shared" si="206"/>
        <v>0</v>
      </c>
      <c r="BW92" s="299">
        <v>0</v>
      </c>
      <c r="BX92" s="299"/>
      <c r="BY92" s="300" t="e">
        <f>BW92-#REF!-BX92</f>
        <v>#REF!</v>
      </c>
      <c r="BZ92" s="297">
        <v>0</v>
      </c>
      <c r="CA92" s="298">
        <f t="shared" si="207"/>
        <v>0</v>
      </c>
      <c r="CB92" s="299">
        <v>0</v>
      </c>
      <c r="CC92" s="299"/>
      <c r="CD92" s="300" t="e">
        <f>CB92-#REF!-CC92</f>
        <v>#REF!</v>
      </c>
      <c r="CE92" s="297">
        <v>0</v>
      </c>
      <c r="CF92" s="298">
        <f t="shared" si="208"/>
        <v>0</v>
      </c>
      <c r="CG92" s="299">
        <v>0</v>
      </c>
      <c r="CH92" s="299"/>
      <c r="CI92" s="300" t="e">
        <f>CG92-#REF!-CH92</f>
        <v>#REF!</v>
      </c>
      <c r="CJ92" s="297">
        <v>0</v>
      </c>
      <c r="CK92" s="298">
        <f t="shared" si="209"/>
        <v>0</v>
      </c>
      <c r="CL92" s="299">
        <v>0</v>
      </c>
      <c r="CM92" s="299"/>
      <c r="CN92" s="300" t="e">
        <f>CL92-#REF!-CM92</f>
        <v>#REF!</v>
      </c>
      <c r="CO92" s="297">
        <v>0</v>
      </c>
      <c r="CP92" s="298">
        <f t="shared" si="210"/>
        <v>0</v>
      </c>
      <c r="CQ92" s="299">
        <v>0</v>
      </c>
      <c r="CR92" s="299"/>
      <c r="CS92" s="300" t="e">
        <f>CQ92-#REF!-CR92</f>
        <v>#REF!</v>
      </c>
      <c r="CT92" s="297">
        <v>0</v>
      </c>
      <c r="CU92" s="298">
        <f t="shared" si="211"/>
        <v>0</v>
      </c>
      <c r="CV92" s="299">
        <v>0</v>
      </c>
      <c r="CW92" s="299"/>
      <c r="CX92" s="300" t="e">
        <f>CV92-#REF!-CW92</f>
        <v>#REF!</v>
      </c>
      <c r="CY92" s="297">
        <v>0</v>
      </c>
      <c r="CZ92" s="298">
        <f t="shared" si="212"/>
        <v>0</v>
      </c>
      <c r="DA92" s="299">
        <v>0</v>
      </c>
      <c r="DB92" s="299"/>
      <c r="DC92" s="300" t="e">
        <f>DA92-#REF!-DB92</f>
        <v>#REF!</v>
      </c>
      <c r="DD92" s="297">
        <v>0</v>
      </c>
      <c r="DE92" s="298">
        <f t="shared" si="213"/>
        <v>0</v>
      </c>
      <c r="DF92" s="299">
        <v>0</v>
      </c>
      <c r="DG92" s="299"/>
      <c r="DH92" s="300" t="e">
        <f>DF92-#REF!-DG92</f>
        <v>#REF!</v>
      </c>
      <c r="DI92" s="297">
        <v>0</v>
      </c>
      <c r="DJ92" s="298">
        <f t="shared" si="214"/>
        <v>0</v>
      </c>
      <c r="DK92" s="299">
        <v>0</v>
      </c>
      <c r="DL92" s="299"/>
      <c r="DM92" s="300" t="e">
        <f>DK92-#REF!-DL92</f>
        <v>#REF!</v>
      </c>
      <c r="DN92" s="297"/>
      <c r="DO92" s="298"/>
      <c r="DP92" s="299"/>
      <c r="DQ92" s="299"/>
      <c r="DR92" s="300" t="e">
        <f>DP92-#REF!-DQ92</f>
        <v>#REF!</v>
      </c>
    </row>
    <row r="93" spans="1:122" s="301" customFormat="1" ht="15.75" hidden="1" customHeight="1" thickBot="1">
      <c r="A93" s="319"/>
      <c r="B93" s="297"/>
      <c r="C93" s="298"/>
      <c r="D93" s="299"/>
      <c r="E93" s="299"/>
      <c r="F93" s="300" t="e">
        <f>D93-#REF!-E93</f>
        <v>#REF!</v>
      </c>
      <c r="G93" s="297"/>
      <c r="H93" s="298"/>
      <c r="I93" s="320"/>
      <c r="J93" s="299"/>
      <c r="K93" s="300" t="e">
        <f>I93-#REF!-J93</f>
        <v>#REF!</v>
      </c>
      <c r="L93" s="323"/>
      <c r="M93" s="298"/>
      <c r="N93" s="299"/>
      <c r="O93" s="299"/>
      <c r="P93" s="300" t="e">
        <f>N93-#REF!-O93</f>
        <v>#REF!</v>
      </c>
      <c r="Q93" s="297"/>
      <c r="R93" s="298"/>
      <c r="S93" s="299"/>
      <c r="T93" s="299"/>
      <c r="U93" s="300" t="e">
        <f>S93-#REF!-T93</f>
        <v>#REF!</v>
      </c>
      <c r="V93" s="297"/>
      <c r="W93" s="298"/>
      <c r="X93" s="299"/>
      <c r="Y93" s="299"/>
      <c r="Z93" s="300" t="e">
        <f>X93-#REF!-Y93</f>
        <v>#REF!</v>
      </c>
      <c r="AA93" s="324"/>
      <c r="AB93" s="298"/>
      <c r="AC93" s="299"/>
      <c r="AD93" s="299"/>
      <c r="AE93" s="300" t="e">
        <f>AC93-#REF!-AD93</f>
        <v>#REF!</v>
      </c>
      <c r="AF93" s="324"/>
      <c r="AG93" s="298"/>
      <c r="AH93" s="299"/>
      <c r="AI93" s="299"/>
      <c r="AJ93" s="300" t="e">
        <f>AH93-#REF!-AI93</f>
        <v>#REF!</v>
      </c>
      <c r="AK93" s="297"/>
      <c r="AL93" s="298"/>
      <c r="AM93" s="299"/>
      <c r="AN93" s="299"/>
      <c r="AO93" s="300" t="e">
        <f>AM93-#REF!-AN93</f>
        <v>#REF!</v>
      </c>
      <c r="AP93" s="297"/>
      <c r="AQ93" s="298"/>
      <c r="AR93" s="299"/>
      <c r="AS93" s="299"/>
      <c r="AT93" s="300" t="e">
        <f>AR93-#REF!-AS93</f>
        <v>#REF!</v>
      </c>
      <c r="AU93" s="324"/>
      <c r="AV93" s="298"/>
      <c r="AW93" s="299"/>
      <c r="AX93" s="299"/>
      <c r="AY93" s="300" t="e">
        <f>AW93-#REF!-AX93</f>
        <v>#REF!</v>
      </c>
      <c r="AZ93" s="297"/>
      <c r="BA93" s="298"/>
      <c r="BB93" s="299"/>
      <c r="BC93" s="299"/>
      <c r="BD93" s="300" t="e">
        <f>BB93-#REF!-BC93</f>
        <v>#REF!</v>
      </c>
      <c r="BE93" s="297"/>
      <c r="BF93" s="298"/>
      <c r="BG93" s="329"/>
      <c r="BH93" s="299"/>
      <c r="BI93" s="300" t="e">
        <f>BG93-#REF!-BH93</f>
        <v>#REF!</v>
      </c>
      <c r="BJ93" s="322"/>
      <c r="BK93" s="297">
        <v>0</v>
      </c>
      <c r="BL93" s="298">
        <f t="shared" si="204"/>
        <v>0</v>
      </c>
      <c r="BM93" s="299">
        <v>0</v>
      </c>
      <c r="BN93" s="299"/>
      <c r="BO93" s="300" t="e">
        <f>BM93-#REF!-BN93</f>
        <v>#REF!</v>
      </c>
      <c r="BP93" s="297">
        <v>0</v>
      </c>
      <c r="BQ93" s="298">
        <f t="shared" si="205"/>
        <v>0</v>
      </c>
      <c r="BR93" s="299">
        <v>0</v>
      </c>
      <c r="BS93" s="299"/>
      <c r="BT93" s="300" t="e">
        <f>BR93-#REF!-BS93</f>
        <v>#REF!</v>
      </c>
      <c r="BU93" s="297">
        <v>0</v>
      </c>
      <c r="BV93" s="298">
        <f t="shared" si="206"/>
        <v>0</v>
      </c>
      <c r="BW93" s="299">
        <v>0</v>
      </c>
      <c r="BX93" s="299"/>
      <c r="BY93" s="300" t="e">
        <f>BW93-#REF!-BX93</f>
        <v>#REF!</v>
      </c>
      <c r="BZ93" s="297">
        <v>0</v>
      </c>
      <c r="CA93" s="298">
        <f t="shared" si="207"/>
        <v>0</v>
      </c>
      <c r="CB93" s="299">
        <v>0</v>
      </c>
      <c r="CC93" s="299"/>
      <c r="CD93" s="300" t="e">
        <f>CB93-#REF!-CC93</f>
        <v>#REF!</v>
      </c>
      <c r="CE93" s="297">
        <v>0</v>
      </c>
      <c r="CF93" s="298">
        <f t="shared" si="208"/>
        <v>0</v>
      </c>
      <c r="CG93" s="299">
        <v>0</v>
      </c>
      <c r="CH93" s="299"/>
      <c r="CI93" s="300" t="e">
        <f>CG93-#REF!-CH93</f>
        <v>#REF!</v>
      </c>
      <c r="CJ93" s="297">
        <v>0</v>
      </c>
      <c r="CK93" s="298">
        <f t="shared" si="209"/>
        <v>0</v>
      </c>
      <c r="CL93" s="299">
        <v>0</v>
      </c>
      <c r="CM93" s="299"/>
      <c r="CN93" s="300" t="e">
        <f>CL93-#REF!-CM93</f>
        <v>#REF!</v>
      </c>
      <c r="CO93" s="297">
        <v>0</v>
      </c>
      <c r="CP93" s="298">
        <f t="shared" si="210"/>
        <v>0</v>
      </c>
      <c r="CQ93" s="299">
        <v>0</v>
      </c>
      <c r="CR93" s="299"/>
      <c r="CS93" s="300" t="e">
        <f>CQ93-#REF!-CR93</f>
        <v>#REF!</v>
      </c>
      <c r="CT93" s="297">
        <v>0</v>
      </c>
      <c r="CU93" s="298">
        <f t="shared" si="211"/>
        <v>0</v>
      </c>
      <c r="CV93" s="299">
        <v>0</v>
      </c>
      <c r="CW93" s="299"/>
      <c r="CX93" s="300" t="e">
        <f>CV93-#REF!-CW93</f>
        <v>#REF!</v>
      </c>
      <c r="CY93" s="297">
        <v>0</v>
      </c>
      <c r="CZ93" s="298">
        <f t="shared" si="212"/>
        <v>0</v>
      </c>
      <c r="DA93" s="299">
        <v>0</v>
      </c>
      <c r="DB93" s="299"/>
      <c r="DC93" s="300" t="e">
        <f>DA93-#REF!-DB93</f>
        <v>#REF!</v>
      </c>
      <c r="DD93" s="297">
        <v>0</v>
      </c>
      <c r="DE93" s="298">
        <f t="shared" si="213"/>
        <v>0</v>
      </c>
      <c r="DF93" s="299">
        <v>0</v>
      </c>
      <c r="DG93" s="299"/>
      <c r="DH93" s="300" t="e">
        <f>DF93-#REF!-DG93</f>
        <v>#REF!</v>
      </c>
      <c r="DI93" s="297">
        <v>0</v>
      </c>
      <c r="DJ93" s="298">
        <f t="shared" si="214"/>
        <v>0</v>
      </c>
      <c r="DK93" s="299">
        <v>0</v>
      </c>
      <c r="DL93" s="299"/>
      <c r="DM93" s="300" t="e">
        <f>DK93-#REF!-DL93</f>
        <v>#REF!</v>
      </c>
      <c r="DN93" s="297"/>
      <c r="DO93" s="298"/>
      <c r="DP93" s="299"/>
      <c r="DQ93" s="299"/>
      <c r="DR93" s="300" t="e">
        <f>DP93-#REF!-DQ93</f>
        <v>#REF!</v>
      </c>
    </row>
    <row r="94" spans="1:122" s="301" customFormat="1" ht="15.75" hidden="1" customHeight="1" thickBot="1">
      <c r="A94" s="319"/>
      <c r="B94" s="297"/>
      <c r="C94" s="298"/>
      <c r="D94" s="299"/>
      <c r="E94" s="299"/>
      <c r="F94" s="325" t="e">
        <f>D94-#REF!-E94</f>
        <v>#REF!</v>
      </c>
      <c r="G94" s="326"/>
      <c r="H94" s="298"/>
      <c r="I94" s="320"/>
      <c r="J94" s="299"/>
      <c r="K94" s="325" t="e">
        <f>I94-#REF!-J94</f>
        <v>#REF!</v>
      </c>
      <c r="L94" s="297"/>
      <c r="M94" s="298"/>
      <c r="N94" s="299"/>
      <c r="O94" s="299"/>
      <c r="P94" s="325" t="e">
        <f>N94-#REF!-O94</f>
        <v>#REF!</v>
      </c>
      <c r="Q94" s="326"/>
      <c r="R94" s="298"/>
      <c r="S94" s="327"/>
      <c r="T94" s="299"/>
      <c r="U94" s="325" t="e">
        <f>S94-#REF!-T94</f>
        <v>#REF!</v>
      </c>
      <c r="V94" s="326"/>
      <c r="W94" s="298"/>
      <c r="X94" s="327"/>
      <c r="Y94" s="299"/>
      <c r="Z94" s="325" t="e">
        <f>X94-#REF!-Y94</f>
        <v>#REF!</v>
      </c>
      <c r="AA94" s="297"/>
      <c r="AB94" s="298"/>
      <c r="AC94" s="299"/>
      <c r="AD94" s="299"/>
      <c r="AE94" s="325" t="e">
        <f>AC94-#REF!-AD94</f>
        <v>#REF!</v>
      </c>
      <c r="AF94" s="321"/>
      <c r="AG94" s="298"/>
      <c r="AH94" s="299"/>
      <c r="AI94" s="299"/>
      <c r="AJ94" s="325" t="e">
        <f>AH94-#REF!-AI94</f>
        <v>#REF!</v>
      </c>
      <c r="AK94" s="326"/>
      <c r="AL94" s="298"/>
      <c r="AM94" s="327"/>
      <c r="AN94" s="299"/>
      <c r="AO94" s="325" t="e">
        <f>AM94-#REF!-AN94</f>
        <v>#REF!</v>
      </c>
      <c r="AP94" s="326"/>
      <c r="AQ94" s="298"/>
      <c r="AR94" s="327"/>
      <c r="AS94" s="299"/>
      <c r="AT94" s="325" t="e">
        <f>AR94-#REF!-AS94</f>
        <v>#REF!</v>
      </c>
      <c r="AU94" s="321"/>
      <c r="AV94" s="298"/>
      <c r="AW94" s="327"/>
      <c r="AX94" s="299"/>
      <c r="AY94" s="325" t="e">
        <f>AW94-#REF!-AX94</f>
        <v>#REF!</v>
      </c>
      <c r="AZ94" s="326"/>
      <c r="BA94" s="298"/>
      <c r="BB94" s="327"/>
      <c r="BC94" s="299"/>
      <c r="BD94" s="325" t="e">
        <f>BB94-#REF!-BC94</f>
        <v>#REF!</v>
      </c>
      <c r="BE94" s="326"/>
      <c r="BF94" s="298"/>
      <c r="BG94" s="299"/>
      <c r="BH94" s="299"/>
      <c r="BI94" s="325" t="e">
        <f>BG94-#REF!-BH94</f>
        <v>#REF!</v>
      </c>
      <c r="BJ94" s="322"/>
      <c r="BK94" s="297">
        <v>0</v>
      </c>
      <c r="BL94" s="328">
        <f t="shared" si="204"/>
        <v>0</v>
      </c>
      <c r="BM94" s="299">
        <v>0</v>
      </c>
      <c r="BN94" s="327"/>
      <c r="BO94" s="325" t="e">
        <f>BM94-#REF!-BN94</f>
        <v>#REF!</v>
      </c>
      <c r="BP94" s="297">
        <v>0</v>
      </c>
      <c r="BQ94" s="328">
        <f t="shared" si="205"/>
        <v>0</v>
      </c>
      <c r="BR94" s="299">
        <v>0</v>
      </c>
      <c r="BS94" s="327"/>
      <c r="BT94" s="325" t="e">
        <f>BR94-#REF!-BS94</f>
        <v>#REF!</v>
      </c>
      <c r="BU94" s="297">
        <v>0</v>
      </c>
      <c r="BV94" s="328">
        <f t="shared" si="206"/>
        <v>0</v>
      </c>
      <c r="BW94" s="299">
        <v>0</v>
      </c>
      <c r="BX94" s="327"/>
      <c r="BY94" s="325" t="e">
        <f>BW94-#REF!-BX94</f>
        <v>#REF!</v>
      </c>
      <c r="BZ94" s="297">
        <v>0</v>
      </c>
      <c r="CA94" s="328">
        <f t="shared" si="207"/>
        <v>0</v>
      </c>
      <c r="CB94" s="299">
        <v>0</v>
      </c>
      <c r="CC94" s="327"/>
      <c r="CD94" s="325" t="e">
        <f>CB94-#REF!-CC94</f>
        <v>#REF!</v>
      </c>
      <c r="CE94" s="297">
        <v>0</v>
      </c>
      <c r="CF94" s="328">
        <f t="shared" si="208"/>
        <v>0</v>
      </c>
      <c r="CG94" s="299">
        <v>0</v>
      </c>
      <c r="CH94" s="327"/>
      <c r="CI94" s="325" t="e">
        <f>CG94-#REF!-CH94</f>
        <v>#REF!</v>
      </c>
      <c r="CJ94" s="297">
        <v>0</v>
      </c>
      <c r="CK94" s="328">
        <f t="shared" si="209"/>
        <v>0</v>
      </c>
      <c r="CL94" s="299">
        <v>0</v>
      </c>
      <c r="CM94" s="327"/>
      <c r="CN94" s="325" t="e">
        <f>CL94-#REF!-CM94</f>
        <v>#REF!</v>
      </c>
      <c r="CO94" s="297">
        <v>0</v>
      </c>
      <c r="CP94" s="328">
        <f t="shared" si="210"/>
        <v>0</v>
      </c>
      <c r="CQ94" s="299">
        <v>0</v>
      </c>
      <c r="CR94" s="327"/>
      <c r="CS94" s="325" t="e">
        <f>CQ94-#REF!-CR94</f>
        <v>#REF!</v>
      </c>
      <c r="CT94" s="297">
        <v>0</v>
      </c>
      <c r="CU94" s="328">
        <f t="shared" si="211"/>
        <v>0</v>
      </c>
      <c r="CV94" s="299">
        <v>0</v>
      </c>
      <c r="CW94" s="327"/>
      <c r="CX94" s="325" t="e">
        <f>CV94-#REF!-CW94</f>
        <v>#REF!</v>
      </c>
      <c r="CY94" s="297">
        <v>0</v>
      </c>
      <c r="CZ94" s="328">
        <f t="shared" si="212"/>
        <v>0</v>
      </c>
      <c r="DA94" s="299">
        <v>0</v>
      </c>
      <c r="DB94" s="327"/>
      <c r="DC94" s="325" t="e">
        <f>DA94-#REF!-DB94</f>
        <v>#REF!</v>
      </c>
      <c r="DD94" s="297">
        <v>0</v>
      </c>
      <c r="DE94" s="328">
        <f t="shared" si="213"/>
        <v>0</v>
      </c>
      <c r="DF94" s="299">
        <v>0</v>
      </c>
      <c r="DG94" s="327"/>
      <c r="DH94" s="325" t="e">
        <f>DF94-#REF!-DG94</f>
        <v>#REF!</v>
      </c>
      <c r="DI94" s="297">
        <v>0</v>
      </c>
      <c r="DJ94" s="328">
        <f t="shared" si="214"/>
        <v>0</v>
      </c>
      <c r="DK94" s="299">
        <v>0</v>
      </c>
      <c r="DL94" s="327"/>
      <c r="DM94" s="325" t="e">
        <f>DK94-#REF!-DL94</f>
        <v>#REF!</v>
      </c>
      <c r="DN94" s="297"/>
      <c r="DO94" s="328"/>
      <c r="DP94" s="299"/>
      <c r="DQ94" s="327"/>
      <c r="DR94" s="325" t="e">
        <f>DP94-#REF!-DQ94</f>
        <v>#REF!</v>
      </c>
    </row>
    <row r="95" spans="1:122" s="110" customFormat="1" ht="15.75" thickBot="1">
      <c r="A95" s="252" t="s">
        <v>140</v>
      </c>
      <c r="B95" s="253">
        <f>SUM(B76:B94)</f>
        <v>80.633911999999725</v>
      </c>
      <c r="C95" s="344">
        <f>SUM(C76:C94)</f>
        <v>1</v>
      </c>
      <c r="D95" s="294">
        <f>SUMPRODUCT(B76:B94,D76:D94)/B95</f>
        <v>104622.54459095813</v>
      </c>
      <c r="E95" s="255">
        <f>SUMPRODUCT(B76:B94,E76:E94)/B95</f>
        <v>14322.92264949283</v>
      </c>
      <c r="F95" s="255">
        <f>SUMPRODUCT(F76:F81,B76:B81)/B95</f>
        <v>90299.621941465317</v>
      </c>
      <c r="G95" s="253">
        <f t="shared" ref="G95" si="215">SUM(G76:G94)</f>
        <v>75.836677999999722</v>
      </c>
      <c r="H95" s="306">
        <f>SUM(H76:H94)</f>
        <v>1</v>
      </c>
      <c r="I95" s="294">
        <f t="shared" ref="I95" si="216">SUMPRODUCT(G76:G94,I76:I94)/G95</f>
        <v>103133.32478009166</v>
      </c>
      <c r="J95" s="255">
        <f>SUMPRODUCT(G76:G94,J76:J94)/G95</f>
        <v>8467.8960143540826</v>
      </c>
      <c r="K95" s="255">
        <f>SUMPRODUCT(K76:K81,G76:G81)/G95</f>
        <v>94743.971631235967</v>
      </c>
      <c r="L95" s="253">
        <f t="shared" ref="L95" si="217">SUM(L76:L94)</f>
        <v>55.942166999999912</v>
      </c>
      <c r="M95" s="306">
        <f>SUM(M76:M94)</f>
        <v>1</v>
      </c>
      <c r="N95" s="294">
        <f t="shared" ref="N95" si="218">SUMPRODUCT(L76:L94,N76:N94)/L95</f>
        <v>105440.97028185193</v>
      </c>
      <c r="O95" s="255">
        <f>SUMPRODUCT(L76:L94,O76:O94)/L95</f>
        <v>11582.153205615279</v>
      </c>
      <c r="P95" s="255">
        <f>SUMPRODUCT(P76:P81,L76:L81)/L95</f>
        <v>93888.60408824138</v>
      </c>
      <c r="Q95" s="253">
        <f t="shared" ref="Q95" si="219">SUM(Q76:Q94)</f>
        <v>65.050047999999876</v>
      </c>
      <c r="R95" s="306">
        <f>SUM(R76:R94)</f>
        <v>0.99999999999999989</v>
      </c>
      <c r="S95" s="294">
        <f t="shared" ref="S95" si="220">SUMPRODUCT(Q76:Q94,S76:S94)/Q95</f>
        <v>103108.60004748011</v>
      </c>
      <c r="T95" s="255">
        <f>SUMPRODUCT(Q76:Q94,T76:T94)/Q95</f>
        <v>12575.587220187261</v>
      </c>
      <c r="U95" s="255">
        <f>SUMPRODUCT(U76:U81,Q76:Q81)/Q95</f>
        <v>90533.012827292856</v>
      </c>
      <c r="V95" s="253">
        <f t="shared" ref="V95" si="221">SUM(V76:V94)</f>
        <v>35.948327999999961</v>
      </c>
      <c r="W95" s="306">
        <f>SUM(W76:W94)</f>
        <v>1</v>
      </c>
      <c r="X95" s="294">
        <f t="shared" ref="X95" si="222">SUMPRODUCT(V76:V94,X76:X94)/V95</f>
        <v>102571.78003920423</v>
      </c>
      <c r="Y95" s="255">
        <f>SUMPRODUCT(V76:V94,Y76:Y94)/V95</f>
        <v>11388.687560696373</v>
      </c>
      <c r="Z95" s="255">
        <f>SUMPRODUCT(Z76:Z81,V76:V81)/V95</f>
        <v>91183.092478507853</v>
      </c>
      <c r="AA95" s="253">
        <f t="shared" ref="AA95" si="223">SUM(AA76:AA94)</f>
        <v>45.094647999999971</v>
      </c>
      <c r="AB95" s="306">
        <f>SUM(AB76:AB94)</f>
        <v>0.99999999999999989</v>
      </c>
      <c r="AC95" s="294">
        <f t="shared" ref="AC95" si="224">SUMPRODUCT(AA76:AA94,AC76:AC94)/AA95</f>
        <v>107386.63441860453</v>
      </c>
      <c r="AD95" s="255">
        <f>SUMPRODUCT(AA76:AA94,AD76:AD94)/AA95</f>
        <v>14906.713976694653</v>
      </c>
      <c r="AE95" s="255">
        <f>SUMPRODUCT(AE76:AE81,AA76:AA81)/AA95</f>
        <v>92479.920441909868</v>
      </c>
      <c r="AF95" s="253">
        <f t="shared" ref="AF95" si="225">SUM(AF76:AF94)</f>
        <v>33.318466911999941</v>
      </c>
      <c r="AG95" s="306">
        <f>SUM(AG76:AG94)</f>
        <v>1</v>
      </c>
      <c r="AH95" s="294">
        <f t="shared" ref="AH95" si="226">SUMPRODUCT(AF76:AF94,AH76:AH94)/AF95</f>
        <v>101316.52463037326</v>
      </c>
      <c r="AI95" s="255">
        <f>SUMPRODUCT(AF76:AF94,AI76:AI94)/AF95</f>
        <v>14911.133042924463</v>
      </c>
      <c r="AJ95" s="255">
        <f>SUMPRODUCT(AJ76:AJ81,AF76:AF81)/AF95</f>
        <v>86405.391587448787</v>
      </c>
      <c r="AK95" s="253">
        <f t="shared" ref="AK95" si="227">SUM(AK76:AK94)</f>
        <v>29.626251999999962</v>
      </c>
      <c r="AL95" s="306">
        <f>SUM(AL76:AL94)</f>
        <v>1</v>
      </c>
      <c r="AM95" s="294">
        <f t="shared" ref="AM95" si="228">SUMPRODUCT(AK76:AK94,AM76:AM94)/AK95</f>
        <v>102109.22932802713</v>
      </c>
      <c r="AN95" s="255">
        <f>SUMPRODUCT(AK76:AK94,AN76:AN94)/AK95</f>
        <v>14348.61216631736</v>
      </c>
      <c r="AO95" s="255">
        <f>SUMPRODUCT(AO76:AO81,AK76:AK81)/AK95</f>
        <v>87760.617161709772</v>
      </c>
      <c r="AP95" s="253">
        <f t="shared" ref="AP95" si="229">SUM(AP76:AP94)</f>
        <v>41.074464000000006</v>
      </c>
      <c r="AQ95" s="306">
        <f>SUM(AQ76:AQ94)</f>
        <v>1</v>
      </c>
      <c r="AR95" s="294">
        <f t="shared" ref="AR95" si="230">SUMPRODUCT(AP76:AP94,AR76:AR94)/AP95</f>
        <v>111823.1765605025</v>
      </c>
      <c r="AS95" s="255">
        <f>SUMPRODUCT(AP76:AP94,AS76:AS94)/AP95</f>
        <v>10645.912750072655</v>
      </c>
      <c r="AT95" s="255">
        <f>SUMPRODUCT(AT76:AT81,AP76:AP81)/AP95</f>
        <v>101177.26381042982</v>
      </c>
      <c r="AU95" s="253">
        <f t="shared" ref="AU95" si="231">SUM(AU76:AU94)</f>
        <v>40.797253999999924</v>
      </c>
      <c r="AV95" s="306">
        <f>SUM(AV76:AV94)</f>
        <v>1</v>
      </c>
      <c r="AW95" s="294">
        <f t="shared" ref="AW95" si="232">SUMPRODUCT(AU76:AU94,AW76:AW94)/AU95</f>
        <v>100462.53211061738</v>
      </c>
      <c r="AX95" s="255">
        <f>SUMPRODUCT(AU76:AU94,AX76:AX94)/AU95</f>
        <v>14786.140753492893</v>
      </c>
      <c r="AY95" s="255">
        <f>SUMPRODUCT(AY76:AY81,AU76:AU81)/AU95</f>
        <v>85676.391357124478</v>
      </c>
      <c r="AZ95" s="253">
        <f t="shared" ref="AZ95" si="233">SUM(AZ76:AZ94)</f>
        <v>22.927463999999969</v>
      </c>
      <c r="BA95" s="306">
        <f>SUM(BA76:BA94)</f>
        <v>1</v>
      </c>
      <c r="BB95" s="294">
        <f t="shared" ref="BB95" si="234">SUMPRODUCT(AZ76:AZ94,BB76:BB94)/AZ95</f>
        <v>99892.298162588078</v>
      </c>
      <c r="BC95" s="255">
        <f>SUMPRODUCT(AZ76:AZ94,BC76:BC94)/AZ95</f>
        <v>11994.792359067729</v>
      </c>
      <c r="BD95" s="255">
        <f>SUMPRODUCT(BD76:BD81,AZ76:AZ81)/AZ95</f>
        <v>87897.505803520369</v>
      </c>
      <c r="BE95" s="253">
        <f t="shared" ref="BE95" si="235">SUM(BE76:BE94)</f>
        <v>36.891291999999979</v>
      </c>
      <c r="BF95" s="306">
        <f>SUM(BF76:BF94)</f>
        <v>1</v>
      </c>
      <c r="BG95" s="294">
        <f t="shared" ref="BG95" si="236">SUMPRODUCT(BE76:BE94,BG76:BG94)/BE95</f>
        <v>108034.01680808584</v>
      </c>
      <c r="BH95" s="255">
        <f>SUMPRODUCT(BE76:BE94,BH76:BH94)/BE95</f>
        <v>17033.60158814715</v>
      </c>
      <c r="BI95" s="255">
        <f>SUMPRODUCT(BI76:BI81,BE76:BE81)/BE95</f>
        <v>91095.984385691932</v>
      </c>
      <c r="BK95" s="294">
        <f>SUM(BK76:BK94)</f>
        <v>44.674595999999973</v>
      </c>
      <c r="BL95" s="306">
        <f>SUM(BL76:BL94)</f>
        <v>1</v>
      </c>
      <c r="BM95" s="294">
        <f>SUMPRODUCT(BK76:BK94,BM76:BM94)/BK95</f>
        <v>106637.90490685144</v>
      </c>
      <c r="BN95" s="255">
        <f>SUMPRODUCT(BK76:BK94,BN76:BN94)/BK95</f>
        <v>15064.484075021073</v>
      </c>
      <c r="BO95" s="255">
        <f>SUMPRODUCT(BO76:BO81,BK76:BK81)/BK95</f>
        <v>91573.420831830357</v>
      </c>
      <c r="BP95" s="294">
        <f>SUM(BP76:BP94)</f>
        <v>48.108685999999999</v>
      </c>
      <c r="BQ95" s="306">
        <f>SUM(BQ76:BQ94)</f>
        <v>1</v>
      </c>
      <c r="BR95" s="294">
        <f>SUMPRODUCT(BP76:BP94,BR76:BR94)/BP95</f>
        <v>110313.45690880029</v>
      </c>
      <c r="BS95" s="255">
        <f>SUMPRODUCT(BP76:BP94,BS76:BS94)/BP95</f>
        <v>19681.261508576652</v>
      </c>
      <c r="BT95" s="255">
        <f>SUMPRODUCT(BT76:BT81,BP76:BP81)/BP95</f>
        <v>90632.195400223645</v>
      </c>
      <c r="BU95" s="294">
        <f>SUM(BU76:BU94)</f>
        <v>43.061653999999983</v>
      </c>
      <c r="BV95" s="306">
        <f>SUM(BV76:BV94)</f>
        <v>0.99999999999999989</v>
      </c>
      <c r="BW95" s="294">
        <f>SUMPRODUCT(BU76:BU94,BW76:BW94)/BU95</f>
        <v>108126.7809638711</v>
      </c>
      <c r="BX95" s="255">
        <f>SUMPRODUCT(BU76:BU94,BX76:BX94)/BU95</f>
        <v>18927.726974909056</v>
      </c>
      <c r="BY95" s="255">
        <f>SUMPRODUCT(BY76:BY81,BU76:BU81)/BU95</f>
        <v>89199.053988962041</v>
      </c>
      <c r="BZ95" s="294">
        <f>SUM(BZ76:BZ94)</f>
        <v>28.904928000000009</v>
      </c>
      <c r="CA95" s="306">
        <f>SUM(CA76:CA94)</f>
        <v>0.99999999999999978</v>
      </c>
      <c r="CB95" s="294">
        <f>SUMPRODUCT(BZ76:BZ94,CB76:CB94)/BZ95</f>
        <v>110109.36681800419</v>
      </c>
      <c r="CC95" s="255">
        <f>SUMPRODUCT(BZ76:BZ94,CC76:CC94)/BZ95</f>
        <v>15608.905858544253</v>
      </c>
      <c r="CD95" s="255">
        <f>SUMPRODUCT(CD76:CD81,BZ76:BZ81)/BZ95</f>
        <v>94500.460959459917</v>
      </c>
      <c r="CE95" s="294">
        <f>SUM(CE76:CE94)</f>
        <v>22.730563999999976</v>
      </c>
      <c r="CF95" s="306">
        <f>SUM(CF76:CF94)</f>
        <v>1.0012318216125213</v>
      </c>
      <c r="CG95" s="294">
        <f>SUMPRODUCT(CE76:CE94,CG76:CG94)/CE95</f>
        <v>104604.58570231702</v>
      </c>
      <c r="CH95" s="294">
        <f>SUMPRODUCT(CE76:CE94,CH76:CH94)/CE95</f>
        <v>15436.131281212392</v>
      </c>
      <c r="CI95" s="255">
        <f>SUMPRODUCT(CI76:CI81,CE76:CE81)/CE95</f>
        <v>89168.454421104601</v>
      </c>
      <c r="CJ95" s="294">
        <f>SUM(CJ76:CJ94)</f>
        <v>44.870303999999969</v>
      </c>
      <c r="CK95" s="306">
        <f>SUM(CK76:CK94)</f>
        <v>1</v>
      </c>
      <c r="CL95" s="294">
        <f>SUMPRODUCT(CJ76:CJ94,CL76:CL94)/CJ95</f>
        <v>103078.82291147402</v>
      </c>
      <c r="CM95" s="294">
        <f>SUMPRODUCT(CJ76:CJ94,CM76:CM94)/CJ95</f>
        <v>14395.336167100639</v>
      </c>
      <c r="CN95" s="255">
        <f>SUMPRODUCT(CN76:CN81,CJ76:CJ81)/CJ95</f>
        <v>88683.486744373382</v>
      </c>
      <c r="CO95" s="294">
        <f>SUM(CO76:CO94)</f>
        <v>22.04648999999997</v>
      </c>
      <c r="CP95" s="306">
        <f>SUM(CP76:CP94)</f>
        <v>1.0000000000000002</v>
      </c>
      <c r="CQ95" s="294">
        <f>SUMPRODUCT(CO76:CO94,CQ76:CQ94)/CO95</f>
        <v>101206.74765007959</v>
      </c>
      <c r="CR95" s="294">
        <f>SUMPRODUCT(CO76:CO94,CR76:CR94)/CO95</f>
        <v>14894.340550355199</v>
      </c>
      <c r="CS95" s="255">
        <f>SUMPRODUCT(CS76:CS81,CO76:CO81)/CO95</f>
        <v>86312.407099724383</v>
      </c>
      <c r="CT95" s="294">
        <f>SUM(CT76:CT94)</f>
        <v>13.571187999999989</v>
      </c>
      <c r="CU95" s="306">
        <f>SUM(CU76:CU94)</f>
        <v>0.99999999999999989</v>
      </c>
      <c r="CV95" s="294">
        <f>SUMPRODUCT(CT76:CT94,CV76:CV94)/CT95</f>
        <v>102928.93739295352</v>
      </c>
      <c r="CW95" s="294">
        <f>SUMPRODUCT(CT76:CT94,CW76:CW94)/CT95</f>
        <v>15990.502821123706</v>
      </c>
      <c r="CX95" s="255">
        <f>SUMPRODUCT(CX76:CX81,CT76:CT81)/CT95</f>
        <v>86938.434571829799</v>
      </c>
      <c r="CY95" s="294">
        <f>SUM(CY76:CY94)</f>
        <v>22.290096000000002</v>
      </c>
      <c r="CZ95" s="306">
        <f>SUM(CZ76:CZ94)</f>
        <v>1</v>
      </c>
      <c r="DA95" s="294">
        <f>SUMPRODUCT(CY76:CY94,DA76:DA94)/CY95</f>
        <v>107462.07553345662</v>
      </c>
      <c r="DB95" s="294">
        <f>SUMPRODUCT(CY76:CY94,DB76:DB94)/CY95</f>
        <v>16470.636106726502</v>
      </c>
      <c r="DC95" s="255">
        <f>SUMPRODUCT(DC76:DC81,CY76:CY81)/CY95</f>
        <v>90991.43942673011</v>
      </c>
      <c r="DD95" s="294">
        <f>SUM(DD76:DD94)</f>
        <v>44.039013999999966</v>
      </c>
      <c r="DE95" s="306">
        <f>SUM(DE76:DE94)</f>
        <v>1</v>
      </c>
      <c r="DF95" s="294">
        <f>SUMPRODUCT(DD76:DD94,DF76:DF94)/DD95</f>
        <v>98285.672335897543</v>
      </c>
      <c r="DG95" s="294">
        <f>SUMPRODUCT(DD76:DD94,DG76:DG94)/DD95</f>
        <v>18081.221573216888</v>
      </c>
      <c r="DH95" s="255">
        <f>SUMPRODUCT(DH76:DH81,DD76:DD81)/DD95</f>
        <v>80204.450762680688</v>
      </c>
      <c r="DI95" s="294">
        <f>SUM(DI76:DI94)</f>
        <v>28.664563999999974</v>
      </c>
      <c r="DJ95" s="306">
        <f>SUM(DJ76:DJ94)</f>
        <v>1</v>
      </c>
      <c r="DK95" s="294">
        <f>SUMPRODUCT(DI76:DI94,DK76:DK94)/DI95</f>
        <v>100751.51151784501</v>
      </c>
      <c r="DL95" s="294">
        <f>SUMPRODUCT(DI76:DI94,DL76:DL94)/DI95</f>
        <v>17689.392380082951</v>
      </c>
      <c r="DM95" s="255">
        <f>SUMPRODUCT(DM76:DM81,DI76:DI81)/DI95</f>
        <v>83062.119137762056</v>
      </c>
      <c r="DN95" s="294">
        <f>SUM(DN76:DN81)</f>
        <v>23.274101000000005</v>
      </c>
      <c r="DO95" s="306">
        <v>1</v>
      </c>
      <c r="DP95" s="294">
        <f>SUMPRODUCT(DN76:DN94,DP76:DP94)/DN95</f>
        <v>105925.76443661557</v>
      </c>
      <c r="DQ95" s="294">
        <f>SUMPRODUCT(DN76:DN94,DQ76:DQ94)/DN95</f>
        <v>19973.652688024344</v>
      </c>
      <c r="DR95" s="255">
        <f>SUMPRODUCT(DR76:DR81,DN76:DN81)/DN95</f>
        <v>85952.11174859124</v>
      </c>
    </row>
    <row r="96" spans="1:122">
      <c r="B96"/>
      <c r="G96"/>
      <c r="L96"/>
      <c r="Q96"/>
      <c r="V96"/>
      <c r="AA96"/>
      <c r="AI96" s="283">
        <f>AI95/AH95</f>
        <v>0.14717375173816727</v>
      </c>
      <c r="AN96" s="283">
        <f>AN95/AM95</f>
        <v>0.14052218649327253</v>
      </c>
      <c r="AS96" s="283">
        <f>AS95/AR95</f>
        <v>9.5203097224774602E-2</v>
      </c>
      <c r="BK96"/>
      <c r="CR96" s="283">
        <f>CR95/CQ95</f>
        <v>0.14716746557109114</v>
      </c>
      <c r="CW96" s="283">
        <f>CW95/CV95</f>
        <v>0.15535478385516113</v>
      </c>
      <c r="CX96" s="283">
        <f>(CX95-CS95)/CS95</f>
        <v>7.2530415167556452E-3</v>
      </c>
      <c r="DB96" s="283">
        <f>DB95/DA95</f>
        <v>0.15326929081691365</v>
      </c>
      <c r="DC96" s="283">
        <f>(DC95-CX95)/CX95</f>
        <v>4.6619252748928433E-2</v>
      </c>
      <c r="DG96" s="283">
        <f>DG95/DF95</f>
        <v>0.18396599568880356</v>
      </c>
      <c r="DH96" s="283">
        <f>(DH95-DC95)/DC95</f>
        <v>-0.11854948918283165</v>
      </c>
      <c r="DL96" s="283">
        <f>DL95/DK95</f>
        <v>0.17557446150026071</v>
      </c>
      <c r="DM96" s="283">
        <f>(DM95-DH95)/DH95</f>
        <v>3.5629797946463183E-2</v>
      </c>
    </row>
    <row r="97" spans="2:122">
      <c r="B97"/>
      <c r="G97"/>
      <c r="L97"/>
      <c r="Q97"/>
      <c r="V97"/>
      <c r="AA97"/>
      <c r="BK97"/>
      <c r="DP97" s="303">
        <f>SUMPRODUCT(DN76:DN94,DP76:DP94)/DN95</f>
        <v>105925.76443661557</v>
      </c>
      <c r="DQ97" s="303"/>
      <c r="DR97" s="303"/>
    </row>
    <row r="98" spans="2:122">
      <c r="B98"/>
      <c r="G98"/>
      <c r="L98"/>
      <c r="Q98"/>
      <c r="V98"/>
      <c r="AA98"/>
      <c r="BK98"/>
    </row>
    <row r="99" spans="2:122">
      <c r="B99"/>
      <c r="G99"/>
      <c r="L99"/>
      <c r="Q99"/>
      <c r="V99"/>
      <c r="AA99"/>
      <c r="BK99"/>
    </row>
    <row r="100" spans="2:122">
      <c r="B100"/>
      <c r="G100"/>
      <c r="L100"/>
      <c r="Q100"/>
      <c r="V100"/>
      <c r="AA100"/>
      <c r="BK100"/>
    </row>
    <row r="101" spans="2:122">
      <c r="B101"/>
      <c r="G101"/>
      <c r="L101"/>
      <c r="Q101"/>
      <c r="V101"/>
      <c r="AA101"/>
      <c r="BK101"/>
    </row>
    <row r="102" spans="2:122">
      <c r="B102"/>
      <c r="G102"/>
      <c r="L102"/>
      <c r="Q102"/>
      <c r="V102"/>
      <c r="AA102"/>
      <c r="BK102"/>
    </row>
    <row r="103" spans="2:122">
      <c r="B103"/>
      <c r="G103"/>
      <c r="L103"/>
      <c r="Q103"/>
      <c r="V103"/>
      <c r="AA103"/>
      <c r="BK103"/>
    </row>
    <row r="104" spans="2:122">
      <c r="B104"/>
      <c r="G104"/>
      <c r="L104"/>
      <c r="Q104"/>
      <c r="V104"/>
      <c r="AA104"/>
      <c r="BK104"/>
    </row>
    <row r="105" spans="2:122">
      <c r="B105"/>
      <c r="G105"/>
      <c r="L105"/>
      <c r="Q105"/>
      <c r="V105"/>
      <c r="AA105"/>
      <c r="BK105"/>
    </row>
    <row r="106" spans="2:122">
      <c r="B106"/>
      <c r="G106"/>
      <c r="L106"/>
      <c r="Q106"/>
      <c r="V106"/>
      <c r="AA106"/>
      <c r="BK106"/>
    </row>
    <row r="107" spans="2:122">
      <c r="B107"/>
      <c r="G107"/>
      <c r="L107"/>
      <c r="Q107"/>
      <c r="V107"/>
      <c r="AA107"/>
      <c r="BK107"/>
    </row>
    <row r="108" spans="2:122">
      <c r="B108"/>
      <c r="G108"/>
      <c r="L108"/>
      <c r="Q108"/>
      <c r="V108"/>
      <c r="AA108"/>
      <c r="BK108"/>
    </row>
    <row r="109" spans="2:122">
      <c r="B109"/>
      <c r="G109"/>
      <c r="L109"/>
      <c r="Q109"/>
      <c r="V109"/>
      <c r="AA109"/>
      <c r="BK109"/>
    </row>
    <row r="110" spans="2:122">
      <c r="B110"/>
      <c r="G110"/>
      <c r="L110"/>
      <c r="Q110"/>
      <c r="V110"/>
      <c r="AA110"/>
      <c r="BK110"/>
    </row>
    <row r="111" spans="2:122">
      <c r="B111"/>
      <c r="G111"/>
      <c r="L111"/>
      <c r="Q111"/>
      <c r="V111"/>
      <c r="AA111"/>
      <c r="BK111"/>
    </row>
    <row r="112" spans="2:122">
      <c r="B112"/>
      <c r="G112"/>
      <c r="L112"/>
      <c r="Q112"/>
      <c r="V112"/>
      <c r="AA112"/>
      <c r="BK112"/>
    </row>
    <row r="113" spans="2:63">
      <c r="B113"/>
      <c r="G113"/>
      <c r="L113"/>
      <c r="Q113"/>
      <c r="V113"/>
      <c r="AA113"/>
      <c r="BK113"/>
    </row>
    <row r="114" spans="2:63">
      <c r="B114"/>
      <c r="G114"/>
      <c r="L114"/>
      <c r="Q114"/>
      <c r="V114"/>
      <c r="AA114"/>
      <c r="BK114"/>
    </row>
    <row r="115" spans="2:63">
      <c r="B115"/>
      <c r="G115"/>
      <c r="L115"/>
      <c r="Q115"/>
      <c r="V115"/>
      <c r="AA115"/>
      <c r="BK115"/>
    </row>
    <row r="116" spans="2:63">
      <c r="B116"/>
      <c r="G116"/>
      <c r="L116"/>
      <c r="Q116"/>
      <c r="V116"/>
      <c r="AA116"/>
      <c r="BK116"/>
    </row>
    <row r="117" spans="2:63">
      <c r="B117"/>
      <c r="G117"/>
      <c r="L117"/>
      <c r="Q117"/>
      <c r="V117"/>
      <c r="AA117"/>
      <c r="BK117"/>
    </row>
    <row r="118" spans="2:63">
      <c r="B118"/>
      <c r="G118"/>
      <c r="L118"/>
      <c r="Q118"/>
      <c r="V118"/>
      <c r="AA118"/>
      <c r="BK118"/>
    </row>
    <row r="119" spans="2:63">
      <c r="B119"/>
      <c r="G119"/>
      <c r="L119"/>
      <c r="Q119"/>
      <c r="V119"/>
      <c r="AA119"/>
      <c r="BK119"/>
    </row>
    <row r="120" spans="2:63">
      <c r="B120"/>
      <c r="G120"/>
      <c r="L120"/>
      <c r="Q120"/>
      <c r="V120"/>
      <c r="AA120"/>
      <c r="BK120"/>
    </row>
    <row r="121" spans="2:63">
      <c r="B121"/>
      <c r="G121"/>
      <c r="L121"/>
      <c r="Q121"/>
      <c r="V121"/>
      <c r="AA121"/>
      <c r="BK121"/>
    </row>
    <row r="122" spans="2:63">
      <c r="B122"/>
      <c r="G122"/>
      <c r="L122"/>
      <c r="Q122"/>
      <c r="V122"/>
      <c r="AA122"/>
      <c r="BK122"/>
    </row>
    <row r="123" spans="2:63">
      <c r="B123"/>
      <c r="G123"/>
      <c r="L123"/>
      <c r="Q123"/>
      <c r="V123"/>
      <c r="AA123"/>
      <c r="BK123"/>
    </row>
    <row r="124" spans="2:63">
      <c r="B124"/>
      <c r="G124"/>
      <c r="L124"/>
      <c r="Q124"/>
      <c r="V124"/>
      <c r="AA124"/>
      <c r="BK124"/>
    </row>
    <row r="125" spans="2:63">
      <c r="B125"/>
      <c r="G125"/>
      <c r="L125"/>
      <c r="Q125"/>
      <c r="V125"/>
      <c r="AA125"/>
      <c r="BK125"/>
    </row>
    <row r="126" spans="2:63">
      <c r="B126"/>
      <c r="G126"/>
      <c r="L126"/>
      <c r="Q126"/>
      <c r="V126"/>
      <c r="AA126"/>
      <c r="BK126"/>
    </row>
    <row r="127" spans="2:63">
      <c r="B127"/>
      <c r="G127"/>
      <c r="L127"/>
      <c r="Q127"/>
      <c r="V127"/>
      <c r="AA127"/>
      <c r="BK127"/>
    </row>
    <row r="128" spans="2:63">
      <c r="B128"/>
      <c r="G128"/>
      <c r="L128"/>
      <c r="Q128"/>
      <c r="V128"/>
      <c r="AA128"/>
      <c r="BK128"/>
    </row>
    <row r="129" spans="2:63">
      <c r="B129"/>
      <c r="G129"/>
      <c r="L129"/>
      <c r="Q129"/>
      <c r="V129"/>
      <c r="AA129"/>
      <c r="BK129"/>
    </row>
    <row r="130" spans="2:63">
      <c r="B130"/>
      <c r="G130"/>
      <c r="L130"/>
      <c r="Q130"/>
      <c r="V130"/>
      <c r="AA130"/>
      <c r="BK130"/>
    </row>
    <row r="131" spans="2:63">
      <c r="B131"/>
      <c r="G131"/>
      <c r="L131"/>
      <c r="Q131"/>
      <c r="V131"/>
      <c r="AA131"/>
      <c r="BK131"/>
    </row>
    <row r="132" spans="2:63">
      <c r="B132"/>
      <c r="G132"/>
      <c r="L132"/>
      <c r="Q132"/>
      <c r="V132"/>
      <c r="AA132"/>
      <c r="BK132"/>
    </row>
    <row r="133" spans="2:63">
      <c r="B133"/>
      <c r="G133"/>
      <c r="L133"/>
      <c r="Q133"/>
      <c r="V133"/>
      <c r="AA133"/>
      <c r="BK133"/>
    </row>
    <row r="134" spans="2:63">
      <c r="B134"/>
      <c r="G134"/>
      <c r="L134"/>
      <c r="Q134"/>
      <c r="V134"/>
      <c r="AA134"/>
      <c r="BK134"/>
    </row>
    <row r="135" spans="2:63">
      <c r="B135"/>
      <c r="G135"/>
      <c r="L135"/>
      <c r="Q135"/>
      <c r="V135"/>
      <c r="AA135"/>
      <c r="BK135"/>
    </row>
    <row r="136" spans="2:63">
      <c r="B136"/>
      <c r="G136"/>
      <c r="L136"/>
      <c r="Q136"/>
      <c r="V136"/>
      <c r="AA136"/>
      <c r="BK136"/>
    </row>
    <row r="137" spans="2:63">
      <c r="B137"/>
      <c r="G137"/>
      <c r="L137"/>
      <c r="Q137"/>
      <c r="V137"/>
      <c r="AA137"/>
      <c r="BK137"/>
    </row>
    <row r="138" spans="2:63">
      <c r="B138"/>
      <c r="G138"/>
      <c r="L138"/>
      <c r="Q138"/>
      <c r="V138"/>
      <c r="AA138"/>
      <c r="BK138"/>
    </row>
    <row r="139" spans="2:63">
      <c r="B139"/>
      <c r="G139"/>
      <c r="L139"/>
      <c r="Q139"/>
      <c r="V139"/>
      <c r="AA139"/>
      <c r="BK139"/>
    </row>
    <row r="140" spans="2:63">
      <c r="B140"/>
      <c r="G140"/>
      <c r="L140"/>
      <c r="Q140"/>
      <c r="V140"/>
      <c r="AA140"/>
      <c r="BK140"/>
    </row>
    <row r="141" spans="2:63">
      <c r="B141"/>
      <c r="G141"/>
      <c r="L141"/>
      <c r="Q141"/>
      <c r="V141"/>
      <c r="AA141"/>
      <c r="BK141"/>
    </row>
    <row r="142" spans="2:63">
      <c r="B142"/>
      <c r="G142"/>
      <c r="L142"/>
      <c r="Q142"/>
      <c r="V142"/>
      <c r="AA142"/>
      <c r="BK142"/>
    </row>
    <row r="143" spans="2:63">
      <c r="B143"/>
      <c r="G143"/>
      <c r="L143"/>
      <c r="Q143"/>
      <c r="V143"/>
      <c r="AA143"/>
      <c r="BK143"/>
    </row>
    <row r="144" spans="2:63">
      <c r="B144"/>
      <c r="G144"/>
      <c r="L144"/>
      <c r="Q144"/>
      <c r="V144"/>
      <c r="AA144"/>
      <c r="BK144"/>
    </row>
    <row r="145" spans="2:63">
      <c r="B145"/>
      <c r="G145"/>
      <c r="L145"/>
      <c r="Q145"/>
      <c r="V145"/>
      <c r="AA145"/>
      <c r="BK145"/>
    </row>
    <row r="146" spans="2:63">
      <c r="B146"/>
      <c r="G146"/>
      <c r="L146"/>
      <c r="Q146"/>
      <c r="V146"/>
      <c r="AA146"/>
      <c r="BK146"/>
    </row>
    <row r="147" spans="2:63">
      <c r="B147"/>
      <c r="G147"/>
      <c r="L147"/>
      <c r="Q147"/>
      <c r="V147"/>
      <c r="AA147"/>
      <c r="BK147"/>
    </row>
    <row r="148" spans="2:63">
      <c r="B148"/>
      <c r="G148"/>
      <c r="L148"/>
      <c r="Q148"/>
      <c r="V148"/>
      <c r="AA148"/>
      <c r="BK148"/>
    </row>
    <row r="149" spans="2:63">
      <c r="B149"/>
      <c r="G149"/>
      <c r="L149"/>
      <c r="Q149"/>
      <c r="V149"/>
      <c r="AA149"/>
      <c r="BK149"/>
    </row>
    <row r="150" spans="2:63">
      <c r="B150"/>
      <c r="G150"/>
      <c r="L150"/>
      <c r="Q150"/>
      <c r="V150"/>
      <c r="AA150"/>
      <c r="BK150"/>
    </row>
    <row r="151" spans="2:63">
      <c r="B151"/>
      <c r="G151"/>
      <c r="L151"/>
      <c r="Q151"/>
      <c r="V151"/>
      <c r="AA151"/>
      <c r="BK151"/>
    </row>
    <row r="152" spans="2:63">
      <c r="B152"/>
      <c r="G152"/>
      <c r="L152"/>
      <c r="Q152"/>
      <c r="V152"/>
      <c r="AA152"/>
      <c r="BK152"/>
    </row>
    <row r="153" spans="2:63">
      <c r="B153"/>
      <c r="G153"/>
      <c r="L153"/>
      <c r="Q153"/>
      <c r="V153"/>
      <c r="AA153"/>
      <c r="BK153"/>
    </row>
    <row r="154" spans="2:63">
      <c r="B154"/>
      <c r="G154"/>
      <c r="L154"/>
      <c r="Q154"/>
      <c r="V154"/>
      <c r="AA154"/>
      <c r="BK154"/>
    </row>
    <row r="155" spans="2:63">
      <c r="B155"/>
      <c r="G155"/>
      <c r="L155"/>
      <c r="Q155"/>
      <c r="V155"/>
      <c r="AA155"/>
      <c r="BK155"/>
    </row>
    <row r="156" spans="2:63">
      <c r="B156"/>
      <c r="G156"/>
      <c r="L156"/>
      <c r="Q156"/>
      <c r="V156"/>
      <c r="AA156"/>
      <c r="BK156"/>
    </row>
    <row r="157" spans="2:63">
      <c r="B157"/>
      <c r="G157"/>
      <c r="L157"/>
      <c r="Q157"/>
      <c r="V157"/>
      <c r="AA157"/>
      <c r="BK157"/>
    </row>
    <row r="158" spans="2:63">
      <c r="B158"/>
      <c r="G158"/>
      <c r="L158"/>
      <c r="Q158"/>
      <c r="V158"/>
      <c r="AA158"/>
      <c r="BK158"/>
    </row>
    <row r="159" spans="2:63">
      <c r="B159"/>
      <c r="G159"/>
      <c r="L159"/>
      <c r="Q159"/>
      <c r="V159"/>
      <c r="AA159"/>
      <c r="BK159"/>
    </row>
    <row r="160" spans="2:63">
      <c r="B160"/>
      <c r="G160"/>
      <c r="L160"/>
      <c r="Q160"/>
      <c r="V160"/>
      <c r="AA160"/>
      <c r="BK160"/>
    </row>
    <row r="161" spans="2:63">
      <c r="B161"/>
      <c r="G161"/>
      <c r="L161"/>
      <c r="Q161"/>
      <c r="V161"/>
      <c r="AA161"/>
      <c r="BK161"/>
    </row>
    <row r="162" spans="2:63">
      <c r="B162"/>
      <c r="G162"/>
      <c r="L162"/>
      <c r="Q162"/>
      <c r="V162"/>
      <c r="AA162"/>
      <c r="BK162"/>
    </row>
    <row r="163" spans="2:63">
      <c r="B163"/>
      <c r="G163"/>
      <c r="L163"/>
      <c r="Q163"/>
      <c r="V163"/>
      <c r="AA163"/>
      <c r="BK163"/>
    </row>
    <row r="164" spans="2:63">
      <c r="B164"/>
      <c r="G164"/>
      <c r="L164"/>
      <c r="Q164"/>
      <c r="V164"/>
      <c r="AA164"/>
      <c r="BK164"/>
    </row>
    <row r="165" spans="2:63">
      <c r="B165"/>
      <c r="G165"/>
      <c r="L165"/>
      <c r="Q165"/>
      <c r="V165"/>
      <c r="AA165"/>
      <c r="BK165"/>
    </row>
    <row r="166" spans="2:63">
      <c r="B166"/>
      <c r="G166"/>
      <c r="L166"/>
      <c r="Q166"/>
      <c r="V166"/>
      <c r="AA166"/>
      <c r="BK166"/>
    </row>
    <row r="167" spans="2:63">
      <c r="B167"/>
      <c r="G167"/>
      <c r="L167"/>
      <c r="Q167"/>
      <c r="V167"/>
      <c r="AA167"/>
      <c r="BK167"/>
    </row>
    <row r="168" spans="2:63">
      <c r="B168"/>
      <c r="G168"/>
      <c r="L168"/>
      <c r="Q168"/>
      <c r="V168"/>
      <c r="AA168"/>
      <c r="BK168"/>
    </row>
    <row r="169" spans="2:63">
      <c r="B169"/>
      <c r="G169"/>
      <c r="L169"/>
      <c r="Q169"/>
      <c r="V169"/>
      <c r="AA169"/>
      <c r="BK169"/>
    </row>
    <row r="170" spans="2:63">
      <c r="B170"/>
      <c r="G170"/>
      <c r="L170"/>
      <c r="Q170"/>
      <c r="V170"/>
      <c r="AA170"/>
      <c r="BK170"/>
    </row>
    <row r="171" spans="2:63">
      <c r="B171"/>
      <c r="G171"/>
      <c r="L171"/>
      <c r="Q171"/>
      <c r="V171"/>
      <c r="AA171"/>
      <c r="BK171"/>
    </row>
    <row r="172" spans="2:63">
      <c r="B172"/>
      <c r="G172"/>
      <c r="L172"/>
      <c r="Q172"/>
      <c r="V172"/>
      <c r="AA172"/>
      <c r="BK172"/>
    </row>
    <row r="173" spans="2:63">
      <c r="B173"/>
      <c r="G173"/>
      <c r="L173"/>
      <c r="Q173"/>
      <c r="V173"/>
      <c r="AA173"/>
      <c r="BK173"/>
    </row>
  </sheetData>
  <mergeCells count="75">
    <mergeCell ref="DD34:DH34"/>
    <mergeCell ref="DD74:DH74"/>
    <mergeCell ref="V4:Z4"/>
    <mergeCell ref="A2:D2"/>
    <mergeCell ref="B4:F4"/>
    <mergeCell ref="G4:K4"/>
    <mergeCell ref="L4:P4"/>
    <mergeCell ref="Q4:U4"/>
    <mergeCell ref="CE4:CI4"/>
    <mergeCell ref="AA4:AE4"/>
    <mergeCell ref="AF4:AJ4"/>
    <mergeCell ref="AK4:AO4"/>
    <mergeCell ref="AP4:AT4"/>
    <mergeCell ref="AU4:AY4"/>
    <mergeCell ref="AZ4:BD4"/>
    <mergeCell ref="BE4:BI4"/>
    <mergeCell ref="BK4:BO4"/>
    <mergeCell ref="BP4:BT4"/>
    <mergeCell ref="BU4:BY4"/>
    <mergeCell ref="BZ4:CD4"/>
    <mergeCell ref="BZ34:CD34"/>
    <mergeCell ref="A32:D32"/>
    <mergeCell ref="B34:F34"/>
    <mergeCell ref="G34:K34"/>
    <mergeCell ref="L34:P34"/>
    <mergeCell ref="Q34:U34"/>
    <mergeCell ref="A70:D70"/>
    <mergeCell ref="B74:F74"/>
    <mergeCell ref="G74:K74"/>
    <mergeCell ref="L74:P74"/>
    <mergeCell ref="Q74:U74"/>
    <mergeCell ref="V74:Z74"/>
    <mergeCell ref="BE34:BI34"/>
    <mergeCell ref="BK34:BO34"/>
    <mergeCell ref="BP34:BT34"/>
    <mergeCell ref="BU34:BY34"/>
    <mergeCell ref="V34:Z34"/>
    <mergeCell ref="AA34:AE34"/>
    <mergeCell ref="AF34:AJ34"/>
    <mergeCell ref="AK34:AO34"/>
    <mergeCell ref="AP34:AT34"/>
    <mergeCell ref="AU34:AY34"/>
    <mergeCell ref="AZ34:BD34"/>
    <mergeCell ref="CJ4:CN4"/>
    <mergeCell ref="CJ34:CN34"/>
    <mergeCell ref="CJ74:CN74"/>
    <mergeCell ref="CE74:CI74"/>
    <mergeCell ref="AA74:AE74"/>
    <mergeCell ref="AF74:AJ74"/>
    <mergeCell ref="AK74:AO74"/>
    <mergeCell ref="AP74:AT74"/>
    <mergeCell ref="AU74:AY74"/>
    <mergeCell ref="AZ74:BD74"/>
    <mergeCell ref="BE74:BI74"/>
    <mergeCell ref="BK74:BO74"/>
    <mergeCell ref="BP74:BT74"/>
    <mergeCell ref="BU74:BY74"/>
    <mergeCell ref="BZ74:CD74"/>
    <mergeCell ref="CE34:CI34"/>
    <mergeCell ref="DN4:DR4"/>
    <mergeCell ref="DN34:DR34"/>
    <mergeCell ref="DN74:DR74"/>
    <mergeCell ref="CO4:CS4"/>
    <mergeCell ref="CO34:CS34"/>
    <mergeCell ref="CO74:CS74"/>
    <mergeCell ref="CY4:DC4"/>
    <mergeCell ref="CY34:DC34"/>
    <mergeCell ref="CY74:DC74"/>
    <mergeCell ref="CT4:CX4"/>
    <mergeCell ref="CT34:CX34"/>
    <mergeCell ref="CT74:CX74"/>
    <mergeCell ref="DI4:DM4"/>
    <mergeCell ref="DI34:DM34"/>
    <mergeCell ref="DI74:DM74"/>
    <mergeCell ref="DD4:DH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73"/>
  <sheetViews>
    <sheetView zoomScale="84" zoomScaleNormal="84" workbookViewId="0">
      <pane xSplit="1" ySplit="5" topLeftCell="EE6" activePane="bottomRight" state="frozen"/>
      <selection activeCell="BB29" sqref="BB29"/>
      <selection pane="topRight" activeCell="BB29" sqref="BB29"/>
      <selection pane="bottomLeft" activeCell="BB29" sqref="BB29"/>
      <selection pane="bottomRight" activeCell="EF9" sqref="EF9"/>
    </sheetView>
  </sheetViews>
  <sheetFormatPr defaultRowHeight="15"/>
  <cols>
    <col min="1" max="1" width="21.5703125" customWidth="1"/>
    <col min="2" max="2" width="6.7109375" style="256" bestFit="1" customWidth="1"/>
    <col min="3" max="3" width="9.28515625" customWidth="1"/>
    <col min="4" max="4" width="8.85546875" bestFit="1" customWidth="1"/>
    <col min="5" max="6" width="7.85546875" bestFit="1" customWidth="1"/>
    <col min="7" max="7" width="8.85546875" bestFit="1" customWidth="1"/>
    <col min="8" max="8" width="6.7109375" style="256" bestFit="1" customWidth="1"/>
    <col min="9" max="9" width="9.28515625" customWidth="1"/>
    <col min="10" max="10" width="9.140625" bestFit="1" customWidth="1"/>
    <col min="11" max="11" width="8.85546875" bestFit="1" customWidth="1"/>
    <col min="12" max="12" width="7.85546875" bestFit="1" customWidth="1"/>
    <col min="13" max="13" width="8.85546875" bestFit="1" customWidth="1"/>
    <col min="14" max="14" width="6.7109375" style="256" bestFit="1" customWidth="1"/>
    <col min="15" max="15" width="9.28515625" customWidth="1"/>
    <col min="16" max="17" width="8.85546875" bestFit="1" customWidth="1"/>
    <col min="18" max="19" width="7.85546875" bestFit="1" customWidth="1"/>
    <col min="20" max="20" width="6.7109375" style="256" bestFit="1" customWidth="1"/>
    <col min="21" max="21" width="9.28515625" customWidth="1"/>
    <col min="22" max="23" width="8.85546875" bestFit="1" customWidth="1"/>
    <col min="24" max="25" width="7.85546875" bestFit="1" customWidth="1"/>
    <col min="26" max="26" width="6.7109375" style="256" bestFit="1" customWidth="1"/>
    <col min="27" max="27" width="9.28515625" customWidth="1"/>
    <col min="28" max="29" width="8.85546875" bestFit="1" customWidth="1"/>
    <col min="30" max="31" width="7.85546875" bestFit="1" customWidth="1"/>
    <col min="32" max="32" width="6.7109375" style="256" bestFit="1" customWidth="1"/>
    <col min="33" max="33" width="9.28515625" customWidth="1"/>
    <col min="34" max="35" width="8.85546875" bestFit="1" customWidth="1"/>
    <col min="36" max="37" width="7.85546875" bestFit="1" customWidth="1"/>
    <col min="38" max="38" width="6.7109375" bestFit="1" customWidth="1"/>
    <col min="39" max="39" width="9.28515625" bestFit="1" customWidth="1"/>
    <col min="40" max="41" width="8.85546875" bestFit="1" customWidth="1"/>
    <col min="42" max="42" width="7.85546875" bestFit="1" customWidth="1"/>
    <col min="43" max="43" width="8.42578125" bestFit="1" customWidth="1"/>
    <col min="44" max="44" width="6.7109375" bestFit="1" customWidth="1"/>
    <col min="45" max="45" width="9.28515625" bestFit="1" customWidth="1"/>
    <col min="46" max="46" width="8.85546875" bestFit="1" customWidth="1"/>
    <col min="47" max="49" width="7.85546875" bestFit="1" customWidth="1"/>
    <col min="50" max="50" width="6.7109375" bestFit="1" customWidth="1"/>
    <col min="51" max="51" width="9.28515625" bestFit="1" customWidth="1"/>
    <col min="52" max="52" width="8.85546875" bestFit="1" customWidth="1"/>
    <col min="53" max="53" width="7.85546875" bestFit="1" customWidth="1"/>
    <col min="54" max="54" width="9.42578125" bestFit="1" customWidth="1"/>
    <col min="55" max="55" width="8.85546875" bestFit="1" customWidth="1"/>
    <col min="56" max="56" width="6.7109375" bestFit="1" customWidth="1"/>
    <col min="57" max="57" width="9.28515625" bestFit="1" customWidth="1"/>
    <col min="58" max="58" width="8.85546875" bestFit="1" customWidth="1"/>
    <col min="59" max="60" width="7.85546875" bestFit="1" customWidth="1"/>
    <col min="61" max="61" width="8.42578125" bestFit="1" customWidth="1"/>
    <col min="62" max="62" width="6.7109375" bestFit="1" customWidth="1"/>
    <col min="63" max="63" width="9.28515625" bestFit="1" customWidth="1"/>
    <col min="64" max="64" width="8.85546875" bestFit="1" customWidth="1"/>
    <col min="65" max="66" width="7.85546875" bestFit="1" customWidth="1"/>
    <col min="67" max="67" width="8.85546875" bestFit="1" customWidth="1"/>
    <col min="68" max="68" width="6.7109375" bestFit="1" customWidth="1"/>
    <col min="69" max="69" width="9.28515625" bestFit="1" customWidth="1"/>
    <col min="70" max="70" width="8.85546875" bestFit="1" customWidth="1"/>
    <col min="71" max="72" width="7.85546875" bestFit="1" customWidth="1"/>
    <col min="73" max="73" width="8.85546875" bestFit="1" customWidth="1"/>
    <col min="74" max="74" width="3.140625" bestFit="1" customWidth="1"/>
    <col min="75" max="75" width="8" style="256" bestFit="1" customWidth="1"/>
    <col min="76" max="76" width="9.28515625" customWidth="1"/>
    <col min="77" max="78" width="8.85546875" bestFit="1" customWidth="1"/>
    <col min="79" max="79" width="7.85546875" bestFit="1" customWidth="1"/>
    <col min="80" max="80" width="8.85546875" bestFit="1" customWidth="1"/>
    <col min="81" max="81" width="6.7109375" bestFit="1" customWidth="1"/>
    <col min="82" max="82" width="9.28515625" bestFit="1" customWidth="1"/>
    <col min="83" max="84" width="8.85546875" bestFit="1" customWidth="1"/>
    <col min="85" max="85" width="7.85546875" bestFit="1" customWidth="1"/>
    <col min="86" max="86" width="9.42578125" bestFit="1" customWidth="1"/>
    <col min="89" max="89" width="10.5703125" customWidth="1"/>
    <col min="95" max="95" width="10.5703125" customWidth="1"/>
    <col min="101" max="101" width="10.5703125" customWidth="1"/>
    <col min="107" max="107" width="10.5703125" customWidth="1"/>
    <col min="108" max="108" width="10.7109375" bestFit="1" customWidth="1"/>
    <col min="110" max="110" width="10.28515625" bestFit="1" customWidth="1"/>
    <col min="116" max="116" width="12" customWidth="1"/>
    <col min="122" max="122" width="12" customWidth="1"/>
    <col min="138" max="138" width="10.7109375" bestFit="1" customWidth="1"/>
    <col min="143" max="143" width="11.85546875" bestFit="1" customWidth="1"/>
    <col min="144" max="146" width="11.85546875" customWidth="1"/>
  </cols>
  <sheetData>
    <row r="1" spans="1:148">
      <c r="A1">
        <v>1</v>
      </c>
      <c r="B1">
        <f>A1+1</f>
        <v>2</v>
      </c>
      <c r="C1">
        <f>B1+1</f>
        <v>3</v>
      </c>
      <c r="D1">
        <f t="shared" ref="D1:BO1" si="0">C1+1</f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si="0"/>
        <v>67</v>
      </c>
      <c r="BP1">
        <f t="shared" ref="BP1:DF1" si="1">BO1+1</f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</row>
    <row r="2" spans="1:148">
      <c r="A2" s="428" t="s">
        <v>149</v>
      </c>
      <c r="B2" s="428"/>
      <c r="C2" s="428"/>
      <c r="D2" s="428"/>
      <c r="E2" s="357"/>
      <c r="F2" s="357"/>
      <c r="G2" s="357"/>
      <c r="H2"/>
      <c r="N2"/>
      <c r="T2"/>
      <c r="W2" s="357"/>
      <c r="X2" s="357"/>
      <c r="Y2" s="357"/>
      <c r="Z2"/>
      <c r="AC2" s="357"/>
      <c r="AD2" s="357"/>
      <c r="AE2" s="357"/>
      <c r="AF2"/>
      <c r="AI2" s="357"/>
      <c r="AJ2" s="357"/>
      <c r="AK2" s="357"/>
    </row>
    <row r="3" spans="1:148" ht="15.75" thickBot="1">
      <c r="B3"/>
      <c r="H3"/>
      <c r="N3"/>
      <c r="T3"/>
      <c r="Z3"/>
      <c r="AF3"/>
      <c r="BW3" s="110" t="s">
        <v>169</v>
      </c>
    </row>
    <row r="4" spans="1:148" s="110" customFormat="1" ht="15.75" thickBot="1">
      <c r="A4" s="129" t="s">
        <v>142</v>
      </c>
      <c r="B4" s="422" t="s">
        <v>80</v>
      </c>
      <c r="C4" s="423"/>
      <c r="D4" s="423"/>
      <c r="E4" s="423"/>
      <c r="F4" s="423"/>
      <c r="G4" s="424"/>
      <c r="H4" s="422" t="s">
        <v>81</v>
      </c>
      <c r="I4" s="423"/>
      <c r="J4" s="423"/>
      <c r="K4" s="423"/>
      <c r="L4" s="423"/>
      <c r="M4" s="424"/>
      <c r="N4" s="422" t="s">
        <v>82</v>
      </c>
      <c r="O4" s="423"/>
      <c r="P4" s="423"/>
      <c r="Q4" s="423"/>
      <c r="R4" s="423"/>
      <c r="S4" s="424"/>
      <c r="T4" s="422" t="s">
        <v>83</v>
      </c>
      <c r="U4" s="423"/>
      <c r="V4" s="423"/>
      <c r="W4" s="423"/>
      <c r="X4" s="423"/>
      <c r="Y4" s="424"/>
      <c r="Z4" s="422" t="s">
        <v>119</v>
      </c>
      <c r="AA4" s="423"/>
      <c r="AB4" s="423"/>
      <c r="AC4" s="423"/>
      <c r="AD4" s="423"/>
      <c r="AE4" s="424"/>
      <c r="AF4" s="422" t="s">
        <v>143</v>
      </c>
      <c r="AG4" s="423"/>
      <c r="AH4" s="423"/>
      <c r="AI4" s="423"/>
      <c r="AJ4" s="423"/>
      <c r="AK4" s="424"/>
      <c r="AL4" s="422" t="s">
        <v>146</v>
      </c>
      <c r="AM4" s="423"/>
      <c r="AN4" s="423"/>
      <c r="AO4" s="423"/>
      <c r="AP4" s="423"/>
      <c r="AQ4" s="424"/>
      <c r="AR4" s="422" t="s">
        <v>156</v>
      </c>
      <c r="AS4" s="423"/>
      <c r="AT4" s="423"/>
      <c r="AU4" s="423"/>
      <c r="AV4" s="423"/>
      <c r="AW4" s="424"/>
      <c r="AX4" s="422" t="s">
        <v>157</v>
      </c>
      <c r="AY4" s="423"/>
      <c r="AZ4" s="423"/>
      <c r="BA4" s="423"/>
      <c r="BB4" s="423"/>
      <c r="BC4" s="424"/>
      <c r="BD4" s="422" t="s">
        <v>158</v>
      </c>
      <c r="BE4" s="423"/>
      <c r="BF4" s="423"/>
      <c r="BG4" s="423"/>
      <c r="BH4" s="423"/>
      <c r="BI4" s="424"/>
      <c r="BJ4" s="422" t="s">
        <v>160</v>
      </c>
      <c r="BK4" s="423"/>
      <c r="BL4" s="423"/>
      <c r="BM4" s="423"/>
      <c r="BN4" s="423"/>
      <c r="BO4" s="424"/>
      <c r="BP4" s="422" t="s">
        <v>161</v>
      </c>
      <c r="BQ4" s="423"/>
      <c r="BR4" s="423"/>
      <c r="BS4" s="423"/>
      <c r="BT4" s="423"/>
      <c r="BU4" s="424"/>
      <c r="BW4" s="422" t="s">
        <v>80</v>
      </c>
      <c r="BX4" s="423"/>
      <c r="BY4" s="423"/>
      <c r="BZ4" s="423"/>
      <c r="CA4" s="423"/>
      <c r="CB4" s="424"/>
      <c r="CC4" s="422" t="s">
        <v>172</v>
      </c>
      <c r="CD4" s="423"/>
      <c r="CE4" s="423"/>
      <c r="CF4" s="423"/>
      <c r="CG4" s="423"/>
      <c r="CH4" s="424"/>
      <c r="CI4" s="422" t="s">
        <v>204</v>
      </c>
      <c r="CJ4" s="423"/>
      <c r="CK4" s="423"/>
      <c r="CL4" s="423"/>
      <c r="CM4" s="423"/>
      <c r="CN4" s="424"/>
      <c r="CO4" s="422" t="s">
        <v>209</v>
      </c>
      <c r="CP4" s="423"/>
      <c r="CQ4" s="423"/>
      <c r="CR4" s="423"/>
      <c r="CS4" s="423"/>
      <c r="CT4" s="424"/>
      <c r="CU4" s="422" t="s">
        <v>217</v>
      </c>
      <c r="CV4" s="423"/>
      <c r="CW4" s="423"/>
      <c r="CX4" s="423"/>
      <c r="CY4" s="423"/>
      <c r="CZ4" s="424"/>
      <c r="DA4" s="422" t="s">
        <v>236</v>
      </c>
      <c r="DB4" s="423"/>
      <c r="DC4" s="423"/>
      <c r="DD4" s="423"/>
      <c r="DE4" s="423"/>
      <c r="DF4" s="424"/>
      <c r="DG4" s="422" t="s">
        <v>146</v>
      </c>
      <c r="DH4" s="423"/>
      <c r="DI4" s="423"/>
      <c r="DJ4" s="423"/>
      <c r="DK4" s="423"/>
      <c r="DL4" s="424"/>
      <c r="DM4" s="422" t="s">
        <v>156</v>
      </c>
      <c r="DN4" s="423"/>
      <c r="DO4" s="423"/>
      <c r="DP4" s="423"/>
      <c r="DQ4" s="423"/>
      <c r="DR4" s="424"/>
      <c r="DS4" s="422" t="s">
        <v>157</v>
      </c>
      <c r="DT4" s="423"/>
      <c r="DU4" s="423"/>
      <c r="DV4" s="423"/>
      <c r="DW4" s="423"/>
      <c r="DX4" s="424"/>
      <c r="DY4" s="422" t="s">
        <v>158</v>
      </c>
      <c r="DZ4" s="423"/>
      <c r="EA4" s="423"/>
      <c r="EB4" s="423"/>
      <c r="EC4" s="423"/>
      <c r="ED4" s="424"/>
      <c r="EE4" s="422" t="s">
        <v>160</v>
      </c>
      <c r="EF4" s="423"/>
      <c r="EG4" s="423"/>
      <c r="EH4" s="423"/>
      <c r="EI4" s="423"/>
      <c r="EJ4" s="424"/>
      <c r="EK4" s="427" t="s">
        <v>276</v>
      </c>
      <c r="EL4" s="423"/>
      <c r="EM4" s="423"/>
      <c r="EN4" s="423"/>
      <c r="EO4" s="423"/>
      <c r="EP4" s="424"/>
    </row>
    <row r="5" spans="1:148" s="110" customFormat="1">
      <c r="A5" s="307" t="s">
        <v>144</v>
      </c>
      <c r="B5" s="308" t="s">
        <v>122</v>
      </c>
      <c r="C5" s="309" t="s">
        <v>123</v>
      </c>
      <c r="D5" s="309" t="s">
        <v>108</v>
      </c>
      <c r="E5" s="309" t="s">
        <v>32</v>
      </c>
      <c r="F5" s="309" t="s">
        <v>150</v>
      </c>
      <c r="G5" s="310" t="s">
        <v>151</v>
      </c>
      <c r="H5" s="308" t="s">
        <v>122</v>
      </c>
      <c r="I5" s="309" t="s">
        <v>123</v>
      </c>
      <c r="J5" s="309" t="s">
        <v>108</v>
      </c>
      <c r="K5" s="309" t="s">
        <v>32</v>
      </c>
      <c r="L5" s="309" t="s">
        <v>150</v>
      </c>
      <c r="M5" s="310" t="s">
        <v>151</v>
      </c>
      <c r="N5" s="308" t="s">
        <v>122</v>
      </c>
      <c r="O5" s="309" t="s">
        <v>123</v>
      </c>
      <c r="P5" s="309" t="s">
        <v>108</v>
      </c>
      <c r="Q5" s="309" t="s">
        <v>32</v>
      </c>
      <c r="R5" s="309" t="s">
        <v>150</v>
      </c>
      <c r="S5" s="310" t="s">
        <v>151</v>
      </c>
      <c r="T5" s="308" t="s">
        <v>122</v>
      </c>
      <c r="U5" s="309" t="s">
        <v>123</v>
      </c>
      <c r="V5" s="309" t="s">
        <v>108</v>
      </c>
      <c r="W5" s="309" t="s">
        <v>32</v>
      </c>
      <c r="X5" s="309" t="s">
        <v>150</v>
      </c>
      <c r="Y5" s="310" t="s">
        <v>151</v>
      </c>
      <c r="Z5" s="308" t="s">
        <v>122</v>
      </c>
      <c r="AA5" s="309" t="s">
        <v>123</v>
      </c>
      <c r="AB5" s="309" t="s">
        <v>108</v>
      </c>
      <c r="AC5" s="309" t="s">
        <v>32</v>
      </c>
      <c r="AD5" s="309" t="s">
        <v>150</v>
      </c>
      <c r="AE5" s="310" t="s">
        <v>151</v>
      </c>
      <c r="AF5" s="308" t="s">
        <v>122</v>
      </c>
      <c r="AG5" s="309" t="s">
        <v>123</v>
      </c>
      <c r="AH5" s="309" t="s">
        <v>108</v>
      </c>
      <c r="AI5" s="309" t="s">
        <v>32</v>
      </c>
      <c r="AJ5" s="309" t="s">
        <v>150</v>
      </c>
      <c r="AK5" s="310" t="s">
        <v>151</v>
      </c>
      <c r="AL5" s="308" t="s">
        <v>122</v>
      </c>
      <c r="AM5" s="309" t="s">
        <v>123</v>
      </c>
      <c r="AN5" s="309" t="s">
        <v>108</v>
      </c>
      <c r="AO5" s="309" t="s">
        <v>32</v>
      </c>
      <c r="AP5" s="309" t="s">
        <v>150</v>
      </c>
      <c r="AQ5" s="310" t="s">
        <v>151</v>
      </c>
      <c r="AR5" s="308" t="s">
        <v>122</v>
      </c>
      <c r="AS5" s="309" t="s">
        <v>123</v>
      </c>
      <c r="AT5" s="309" t="s">
        <v>108</v>
      </c>
      <c r="AU5" s="309" t="s">
        <v>32</v>
      </c>
      <c r="AV5" s="309" t="s">
        <v>150</v>
      </c>
      <c r="AW5" s="310" t="s">
        <v>151</v>
      </c>
      <c r="AX5" s="308" t="s">
        <v>122</v>
      </c>
      <c r="AY5" s="309" t="s">
        <v>123</v>
      </c>
      <c r="AZ5" s="309" t="s">
        <v>108</v>
      </c>
      <c r="BA5" s="309" t="s">
        <v>32</v>
      </c>
      <c r="BB5" s="309" t="s">
        <v>150</v>
      </c>
      <c r="BC5" s="310" t="s">
        <v>151</v>
      </c>
      <c r="BD5" s="308" t="s">
        <v>122</v>
      </c>
      <c r="BE5" s="309" t="s">
        <v>123</v>
      </c>
      <c r="BF5" s="309" t="s">
        <v>108</v>
      </c>
      <c r="BG5" s="309" t="s">
        <v>32</v>
      </c>
      <c r="BH5" s="309" t="s">
        <v>150</v>
      </c>
      <c r="BI5" s="310" t="s">
        <v>151</v>
      </c>
      <c r="BJ5" s="308" t="s">
        <v>122</v>
      </c>
      <c r="BK5" s="309" t="s">
        <v>123</v>
      </c>
      <c r="BL5" s="309" t="s">
        <v>108</v>
      </c>
      <c r="BM5" s="309" t="s">
        <v>32</v>
      </c>
      <c r="BN5" s="309" t="s">
        <v>150</v>
      </c>
      <c r="BO5" s="310" t="s">
        <v>151</v>
      </c>
      <c r="BP5" s="308" t="s">
        <v>122</v>
      </c>
      <c r="BQ5" s="309" t="s">
        <v>123</v>
      </c>
      <c r="BR5" s="309" t="s">
        <v>108</v>
      </c>
      <c r="BS5" s="309" t="s">
        <v>32</v>
      </c>
      <c r="BT5" s="309" t="s">
        <v>150</v>
      </c>
      <c r="BU5" s="310" t="s">
        <v>151</v>
      </c>
      <c r="BW5" s="308" t="s">
        <v>122</v>
      </c>
      <c r="BX5" s="309" t="s">
        <v>123</v>
      </c>
      <c r="BY5" s="309" t="s">
        <v>108</v>
      </c>
      <c r="BZ5" s="309" t="s">
        <v>32</v>
      </c>
      <c r="CA5" s="309" t="s">
        <v>150</v>
      </c>
      <c r="CB5" s="310" t="s">
        <v>151</v>
      </c>
      <c r="CC5" s="308" t="s">
        <v>122</v>
      </c>
      <c r="CD5" s="309" t="s">
        <v>123</v>
      </c>
      <c r="CE5" s="309" t="s">
        <v>108</v>
      </c>
      <c r="CF5" s="309" t="s">
        <v>32</v>
      </c>
      <c r="CG5" s="309" t="s">
        <v>150</v>
      </c>
      <c r="CH5" s="310" t="s">
        <v>151</v>
      </c>
      <c r="CI5" s="308" t="s">
        <v>122</v>
      </c>
      <c r="CJ5" s="309" t="s">
        <v>123</v>
      </c>
      <c r="CK5" s="309" t="s">
        <v>108</v>
      </c>
      <c r="CL5" s="309" t="s">
        <v>32</v>
      </c>
      <c r="CM5" s="309" t="s">
        <v>150</v>
      </c>
      <c r="CN5" s="310" t="s">
        <v>151</v>
      </c>
      <c r="CO5" s="308" t="s">
        <v>122</v>
      </c>
      <c r="CP5" s="309" t="s">
        <v>123</v>
      </c>
      <c r="CQ5" s="309" t="s">
        <v>108</v>
      </c>
      <c r="CR5" s="309" t="s">
        <v>32</v>
      </c>
      <c r="CS5" s="309" t="s">
        <v>150</v>
      </c>
      <c r="CT5" s="310" t="s">
        <v>151</v>
      </c>
      <c r="CU5" s="308" t="s">
        <v>122</v>
      </c>
      <c r="CV5" s="309" t="s">
        <v>123</v>
      </c>
      <c r="CW5" s="309" t="s">
        <v>108</v>
      </c>
      <c r="CX5" s="309" t="s">
        <v>32</v>
      </c>
      <c r="CY5" s="309" t="s">
        <v>150</v>
      </c>
      <c r="CZ5" s="310" t="s">
        <v>151</v>
      </c>
      <c r="DA5" s="308" t="s">
        <v>122</v>
      </c>
      <c r="DB5" s="309" t="s">
        <v>123</v>
      </c>
      <c r="DC5" s="309" t="s">
        <v>108</v>
      </c>
      <c r="DD5" s="309" t="s">
        <v>32</v>
      </c>
      <c r="DE5" s="309" t="s">
        <v>150</v>
      </c>
      <c r="DF5" s="310" t="s">
        <v>151</v>
      </c>
      <c r="DG5" s="308" t="s">
        <v>122</v>
      </c>
      <c r="DH5" s="309" t="s">
        <v>123</v>
      </c>
      <c r="DI5" s="309" t="s">
        <v>108</v>
      </c>
      <c r="DJ5" s="309" t="s">
        <v>32</v>
      </c>
      <c r="DK5" s="309" t="s">
        <v>150</v>
      </c>
      <c r="DL5" s="310" t="s">
        <v>151</v>
      </c>
      <c r="DM5" s="308" t="s">
        <v>122</v>
      </c>
      <c r="DN5" s="309" t="s">
        <v>123</v>
      </c>
      <c r="DO5" s="309" t="s">
        <v>108</v>
      </c>
      <c r="DP5" s="309" t="s">
        <v>32</v>
      </c>
      <c r="DQ5" s="309" t="s">
        <v>150</v>
      </c>
      <c r="DR5" s="310" t="s">
        <v>151</v>
      </c>
      <c r="DS5" s="308" t="s">
        <v>122</v>
      </c>
      <c r="DT5" s="309" t="s">
        <v>123</v>
      </c>
      <c r="DU5" s="309" t="s">
        <v>108</v>
      </c>
      <c r="DV5" s="309" t="s">
        <v>32</v>
      </c>
      <c r="DW5" s="309" t="s">
        <v>150</v>
      </c>
      <c r="DX5" s="310" t="s">
        <v>151</v>
      </c>
      <c r="DY5" s="308" t="s">
        <v>122</v>
      </c>
      <c r="DZ5" s="309" t="s">
        <v>123</v>
      </c>
      <c r="EA5" s="309" t="s">
        <v>108</v>
      </c>
      <c r="EB5" s="309" t="s">
        <v>32</v>
      </c>
      <c r="EC5" s="309" t="s">
        <v>150</v>
      </c>
      <c r="ED5" s="310" t="s">
        <v>151</v>
      </c>
      <c r="EE5" s="308" t="s">
        <v>122</v>
      </c>
      <c r="EF5" s="309" t="s">
        <v>123</v>
      </c>
      <c r="EG5" s="309" t="s">
        <v>108</v>
      </c>
      <c r="EH5" s="309" t="s">
        <v>32</v>
      </c>
      <c r="EI5" s="309" t="s">
        <v>150</v>
      </c>
      <c r="EJ5" s="310" t="s">
        <v>151</v>
      </c>
      <c r="EK5" s="308" t="s">
        <v>122</v>
      </c>
      <c r="EL5" s="309" t="s">
        <v>123</v>
      </c>
      <c r="EM5" s="309" t="s">
        <v>108</v>
      </c>
      <c r="EN5" s="309" t="s">
        <v>32</v>
      </c>
      <c r="EO5" s="309" t="s">
        <v>150</v>
      </c>
      <c r="EP5" s="310" t="s">
        <v>151</v>
      </c>
    </row>
    <row r="6" spans="1:148">
      <c r="A6" s="103" t="s">
        <v>124</v>
      </c>
      <c r="B6" s="249">
        <v>266.08453999999813</v>
      </c>
      <c r="C6" s="250">
        <f>B6/B$27</f>
        <v>0.21277924690530217</v>
      </c>
      <c r="D6" s="261">
        <v>112041.64156160172</v>
      </c>
      <c r="E6" s="261">
        <v>67977.34462517238</v>
      </c>
      <c r="F6" s="261">
        <v>11106.348110259316</v>
      </c>
      <c r="G6" s="251">
        <f>D6-E6-F6</f>
        <v>32957.948826170024</v>
      </c>
      <c r="H6" s="249">
        <v>305.97104000000525</v>
      </c>
      <c r="I6" s="250">
        <f>H6/H$27</f>
        <v>0.22640257112946877</v>
      </c>
      <c r="J6" s="261">
        <v>111034.07307780607</v>
      </c>
      <c r="K6" s="261">
        <v>66837.334938288652</v>
      </c>
      <c r="L6" s="261">
        <v>16878.071264423506</v>
      </c>
      <c r="M6" s="251">
        <f>J6-K6-L6</f>
        <v>27318.66687509391</v>
      </c>
      <c r="N6" s="249">
        <v>255.10561999999979</v>
      </c>
      <c r="O6" s="250">
        <f>N6/N$27</f>
        <v>0.1704478430373485</v>
      </c>
      <c r="P6" s="261">
        <v>108651.14043378641</v>
      </c>
      <c r="Q6" s="261">
        <v>66999.201712027236</v>
      </c>
      <c r="R6" s="261">
        <v>13945.942262264913</v>
      </c>
      <c r="S6" s="251">
        <f>P6-Q6-R6</f>
        <v>27705.996459494258</v>
      </c>
      <c r="T6" s="249">
        <v>159.87161359999752</v>
      </c>
      <c r="U6" s="250">
        <f>T6/T$27</f>
        <v>0.11312505794460621</v>
      </c>
      <c r="V6" s="261">
        <v>104083.69006807121</v>
      </c>
      <c r="W6" s="261">
        <v>67202.863457027241</v>
      </c>
      <c r="X6" s="261">
        <v>10950.151169106784</v>
      </c>
      <c r="Y6" s="251">
        <f>V6-W6-X6</f>
        <v>25930.675441937186</v>
      </c>
      <c r="Z6" s="249">
        <v>146.30965999999847</v>
      </c>
      <c r="AA6" s="250">
        <f>Z6/Z$27</f>
        <v>9.990804307414633E-2</v>
      </c>
      <c r="AB6" s="261">
        <v>107680.39165386015</v>
      </c>
      <c r="AC6" s="261">
        <v>67385.220105249158</v>
      </c>
      <c r="AD6" s="261">
        <v>23406.523013886217</v>
      </c>
      <c r="AE6" s="251">
        <f>AB6-AC6-AD6</f>
        <v>16888.648534724773</v>
      </c>
      <c r="AF6" s="249">
        <v>85.278679999999412</v>
      </c>
      <c r="AG6" s="250">
        <f>AF6/AF$27</f>
        <v>5.883079270204606E-2</v>
      </c>
      <c r="AH6" s="261">
        <v>109552.18946682701</v>
      </c>
      <c r="AI6" s="261">
        <v>66302.011895249161</v>
      </c>
      <c r="AJ6" s="261">
        <v>28673.702983140327</v>
      </c>
      <c r="AK6" s="251">
        <f>AH6-AI6-AJ6</f>
        <v>14576.474588437522</v>
      </c>
      <c r="AL6" s="249">
        <v>28.43758000000005</v>
      </c>
      <c r="AM6" s="250">
        <f>AL6/AL$27</f>
        <v>1.9038051137812276E-2</v>
      </c>
      <c r="AN6" s="261">
        <v>102314.29362402372</v>
      </c>
      <c r="AO6" s="261">
        <v>66266.601065249168</v>
      </c>
      <c r="AP6" s="261">
        <v>17374.470574143787</v>
      </c>
      <c r="AQ6" s="251">
        <f>AN6-AO6-AP6</f>
        <v>18673.221984630763</v>
      </c>
      <c r="AR6" s="249">
        <v>7.4662399999999947</v>
      </c>
      <c r="AS6" s="250">
        <f>AR6/AR$27</f>
        <v>5.6577744381192665E-3</v>
      </c>
      <c r="AT6" s="261">
        <v>102837.05276085819</v>
      </c>
      <c r="AU6" s="261">
        <f>AO6-2739</f>
        <v>63527.601065249168</v>
      </c>
      <c r="AV6" s="261">
        <v>5220.7539208449371</v>
      </c>
      <c r="AW6" s="251">
        <f>AT6-AU6-AV6</f>
        <v>34088.697774764085</v>
      </c>
      <c r="AX6" s="249">
        <v>8.3354799999999969</v>
      </c>
      <c r="AY6" s="250">
        <f>AX6/AX$27</f>
        <v>7.3646810452315603E-3</v>
      </c>
      <c r="AZ6" s="261">
        <v>96505.576163580394</v>
      </c>
      <c r="BA6" s="261">
        <f>AU6-1775</f>
        <v>61752.601065249168</v>
      </c>
      <c r="BB6" s="261">
        <v>3246.0446189061709</v>
      </c>
      <c r="BC6" s="251">
        <f>AZ6-BA6-BB6</f>
        <v>31506.930479425057</v>
      </c>
      <c r="BD6" s="249">
        <v>9.1001200000000004</v>
      </c>
      <c r="BE6" s="250">
        <f>BD6/BD$27</f>
        <v>6.8174776981425982E-3</v>
      </c>
      <c r="BF6" s="261">
        <v>103114.42266695386</v>
      </c>
      <c r="BG6" s="261">
        <f>BA6+1242</f>
        <v>62994.601065249168</v>
      </c>
      <c r="BH6" s="261">
        <v>7612.8611490837493</v>
      </c>
      <c r="BI6" s="251">
        <f>BF6-BG6-BH6</f>
        <v>32506.960452620944</v>
      </c>
      <c r="BJ6" s="249">
        <v>25.144039999999997</v>
      </c>
      <c r="BK6" s="250">
        <f>BJ6/BJ$27</f>
        <v>1.7783270773495605E-2</v>
      </c>
      <c r="BL6" s="261">
        <v>102941.47957130217</v>
      </c>
      <c r="BM6" s="261">
        <f>BG6</f>
        <v>62994.601065249168</v>
      </c>
      <c r="BN6" s="261">
        <v>24210.105058693851</v>
      </c>
      <c r="BO6" s="251">
        <f>BL6-BM6-BN6</f>
        <v>15736.773447359155</v>
      </c>
      <c r="BP6" s="249">
        <v>2.0458363200000003</v>
      </c>
      <c r="BQ6" s="250">
        <f>BP6/BP$27</f>
        <v>1.282120918835822E-3</v>
      </c>
      <c r="BR6" s="261">
        <v>107127.33362755046</v>
      </c>
      <c r="BS6" s="261">
        <f t="shared" ref="BS6:BS17" si="2">BM6+2010</f>
        <v>65004.601065249168</v>
      </c>
      <c r="BT6" s="261">
        <v>9711.8180011585628</v>
      </c>
      <c r="BU6" s="251">
        <f>BR6-BS6-BT6</f>
        <v>32410.914561142723</v>
      </c>
      <c r="BV6" s="94"/>
      <c r="BW6" s="249">
        <v>2.5201400000000009</v>
      </c>
      <c r="BX6" s="250">
        <f>BW6/BW$27</f>
        <v>1.273864047384701E-3</v>
      </c>
      <c r="BY6" s="261">
        <v>101465.17653781139</v>
      </c>
      <c r="BZ6" s="261">
        <f>BS6+1758</f>
        <v>66762.601065249168</v>
      </c>
      <c r="CA6" s="261">
        <v>420.98851651098727</v>
      </c>
      <c r="CB6" s="251">
        <f>BY6-BZ6-CA6</f>
        <v>34281.586956051236</v>
      </c>
      <c r="CC6" s="249">
        <v>15.200040000000003</v>
      </c>
      <c r="CD6" s="250">
        <f>CC6/CC$27</f>
        <v>7.3972860001403039E-3</v>
      </c>
      <c r="CE6" s="261">
        <v>103007.83616358899</v>
      </c>
      <c r="CF6" s="261">
        <f>BZ6</f>
        <v>66762.601065249168</v>
      </c>
      <c r="CG6" s="261">
        <v>29091.609627343074</v>
      </c>
      <c r="CH6" s="251">
        <f>CE6-CF6-CG6</f>
        <v>7153.625470996747</v>
      </c>
      <c r="CI6" s="249">
        <v>12.623920000000007</v>
      </c>
      <c r="CJ6" s="250">
        <f>CI6/CI$27</f>
        <v>5.974535733155594E-3</v>
      </c>
      <c r="CK6" s="261">
        <v>101547.60644870998</v>
      </c>
      <c r="CL6" s="261">
        <f>CF6+1760</f>
        <v>68522.601065249168</v>
      </c>
      <c r="CM6" s="261">
        <v>28221.503304837144</v>
      </c>
      <c r="CN6" s="251">
        <f>CK6-CL6-CM6</f>
        <v>4803.5020786236673</v>
      </c>
      <c r="CO6" s="249">
        <v>3.4301399999999997</v>
      </c>
      <c r="CP6" s="250">
        <f>CO6/CO$27</f>
        <v>2.2446522878980112E-3</v>
      </c>
      <c r="CQ6" s="261">
        <v>101306.08663203251</v>
      </c>
      <c r="CR6" s="261">
        <f>CL6+810</f>
        <v>69332.601065249168</v>
      </c>
      <c r="CS6" s="261">
        <v>28865.177514620398</v>
      </c>
      <c r="CT6" s="251">
        <f>CQ6-CR6-CS6</f>
        <v>3108.308052162949</v>
      </c>
      <c r="CU6" s="249">
        <v>74.832579999999624</v>
      </c>
      <c r="CV6" s="250">
        <f>CU6/CU$27</f>
        <v>4.37933914313509E-2</v>
      </c>
      <c r="CW6" s="261">
        <v>100316.83619621296</v>
      </c>
      <c r="CX6" s="261">
        <f>CR6+1881</f>
        <v>71213.601065249168</v>
      </c>
      <c r="CY6" s="261">
        <v>13264.673354840968</v>
      </c>
      <c r="CZ6" s="251">
        <f>CW6-CX6-CY6</f>
        <v>15838.56177612282</v>
      </c>
      <c r="DA6" s="249">
        <v>156.84639263999867</v>
      </c>
      <c r="DB6" s="250">
        <f t="shared" ref="DB6:DB14" si="3">DA6/DA$27</f>
        <v>0.10011179418271379</v>
      </c>
      <c r="DC6" s="261">
        <v>100086.0885339646</v>
      </c>
      <c r="DD6" s="261">
        <f>CX6+4681</f>
        <v>75894.601065249168</v>
      </c>
      <c r="DE6" s="261">
        <v>13990.459347296433</v>
      </c>
      <c r="DF6" s="251">
        <f>DC6-DD6-DE6</f>
        <v>10201.028121419004</v>
      </c>
      <c r="DG6" s="249">
        <v>117.7597799999981</v>
      </c>
      <c r="DH6" s="250">
        <f t="shared" ref="DH6:DH14" si="4">DG6/DG$27</f>
        <v>0.11887987386066383</v>
      </c>
      <c r="DI6" s="261">
        <v>100088.69989397119</v>
      </c>
      <c r="DJ6" s="261">
        <f>DD6</f>
        <v>75894.601065249168</v>
      </c>
      <c r="DK6" s="261">
        <v>3966.9876251467808</v>
      </c>
      <c r="DL6" s="251">
        <f>DI6-DJ6-DK6</f>
        <v>20227.111203575245</v>
      </c>
      <c r="DM6" s="249">
        <v>126.79001727999868</v>
      </c>
      <c r="DN6" s="250">
        <f t="shared" ref="DN6:DN14" si="5">DM6/DM$27</f>
        <v>0.11610353015707484</v>
      </c>
      <c r="DO6" s="261">
        <v>102649.99784058734</v>
      </c>
      <c r="DP6" s="261">
        <v>76053.523534024542</v>
      </c>
      <c r="DQ6" s="261">
        <v>4835.3450307219919</v>
      </c>
      <c r="DR6" s="251">
        <f>DO6-DP6-DQ6</f>
        <v>21761.129275840809</v>
      </c>
      <c r="DS6" s="249">
        <v>138.58375999999899</v>
      </c>
      <c r="DT6" s="250">
        <f t="shared" ref="DT6:DT14" si="6">DS6/DS$27</f>
        <v>0.10011111143337575</v>
      </c>
      <c r="DU6" s="261">
        <v>106544.59570154539</v>
      </c>
      <c r="DV6" s="261">
        <f>DP6</f>
        <v>76053.523534024542</v>
      </c>
      <c r="DW6" s="261">
        <v>6296.7450154332837</v>
      </c>
      <c r="DX6" s="251">
        <f>DU6-DV6-DW6</f>
        <v>24194.327152087564</v>
      </c>
      <c r="DY6" s="249">
        <f>'Net NR'!DD6</f>
        <v>141.2431636799993</v>
      </c>
      <c r="DZ6" s="250">
        <f t="shared" ref="DZ6:DZ27" si="7">DY6/DY$27</f>
        <v>0.11427013513959547</v>
      </c>
      <c r="EA6" s="261">
        <f>'Net NR'!DF6</f>
        <v>112012.79097545674</v>
      </c>
      <c r="EB6" s="261">
        <f>EH6-1341</f>
        <v>78247</v>
      </c>
      <c r="EC6" s="261">
        <f>'Net NR'!DG6</f>
        <v>11876.518383576349</v>
      </c>
      <c r="ED6" s="251">
        <f>EA6-EB6-EC6</f>
        <v>21889.272591880388</v>
      </c>
      <c r="EE6" s="249">
        <f>'Net NR'!DI6</f>
        <v>157.81945999999863</v>
      </c>
      <c r="EF6" s="250">
        <f t="shared" ref="EF6:EF27" si="8">EE6/EE$27</f>
        <v>0.11461702808090063</v>
      </c>
      <c r="EG6" s="261">
        <f>'Net NR'!DK6</f>
        <v>114415.4998375994</v>
      </c>
      <c r="EH6" s="261">
        <f>EN6-792</f>
        <v>79588</v>
      </c>
      <c r="EI6" s="261">
        <f>'Net NR'!DL6</f>
        <v>13424.636100009555</v>
      </c>
      <c r="EJ6" s="251">
        <f>EG6-EH6-EI6</f>
        <v>21402.863737589847</v>
      </c>
      <c r="EK6" s="249">
        <v>140.81451999999854</v>
      </c>
      <c r="EL6" s="250">
        <f t="shared" ref="EL6:EL18" si="9">EK6/EK$27</f>
        <v>9.6190197638491251E-2</v>
      </c>
      <c r="EM6" s="261">
        <v>114801.5411336854</v>
      </c>
      <c r="EN6" s="261">
        <v>80380</v>
      </c>
      <c r="EO6" s="93">
        <v>11875.599334500488</v>
      </c>
      <c r="EP6" s="251">
        <f>EM6-EN6-EO6</f>
        <v>22545.941799184911</v>
      </c>
      <c r="EQ6" s="94"/>
    </row>
    <row r="7" spans="1:148">
      <c r="A7" s="103" t="s">
        <v>125</v>
      </c>
      <c r="B7" s="249">
        <v>215.46864000000107</v>
      </c>
      <c r="C7" s="250">
        <f>B7/B$27</f>
        <v>0.17230333994943944</v>
      </c>
      <c r="D7" s="261">
        <v>115389.40583334165</v>
      </c>
      <c r="E7" s="261">
        <v>70662.437633186462</v>
      </c>
      <c r="F7" s="261">
        <v>20520.758710351973</v>
      </c>
      <c r="G7" s="251">
        <f t="shared" ref="G7:G26" si="10">D7-E7-F7</f>
        <v>24206.209489803212</v>
      </c>
      <c r="H7" s="249">
        <v>199.60053000000158</v>
      </c>
      <c r="I7" s="250">
        <f>H7/H$27</f>
        <v>0.14769395558090809</v>
      </c>
      <c r="J7" s="261">
        <v>115373.92879721032</v>
      </c>
      <c r="K7" s="261">
        <v>69522.42794630272</v>
      </c>
      <c r="L7" s="261">
        <v>19740.800658387172</v>
      </c>
      <c r="M7" s="251">
        <f t="shared" ref="M7:M26" si="11">J7-K7-L7</f>
        <v>26110.700192520428</v>
      </c>
      <c r="N7" s="249">
        <v>211.98234000000014</v>
      </c>
      <c r="O7" s="250">
        <f>N7/N$27</f>
        <v>0.14163518865248792</v>
      </c>
      <c r="P7" s="261">
        <v>115420.43137486455</v>
      </c>
      <c r="Q7" s="261">
        <v>69685.992532987235</v>
      </c>
      <c r="R7" s="261">
        <v>19846.093417133554</v>
      </c>
      <c r="S7" s="251">
        <f t="shared" ref="S7:S26" si="12">P7-Q7-R7</f>
        <v>25888.345424743762</v>
      </c>
      <c r="T7" s="249">
        <v>104.81183999999897</v>
      </c>
      <c r="U7" s="250">
        <f>T7/T$27</f>
        <v>7.4164795152107374E-2</v>
      </c>
      <c r="V7" s="261">
        <v>112932.7802704725</v>
      </c>
      <c r="W7" s="261">
        <f>Q7-($Q$6-$W$6)</f>
        <v>69889.65427798724</v>
      </c>
      <c r="X7" s="261">
        <v>18430.044316190688</v>
      </c>
      <c r="Y7" s="251">
        <f t="shared" ref="Y7:Y26" si="13">V7-W7-X7</f>
        <v>24613.081676294576</v>
      </c>
      <c r="Z7" s="249">
        <v>129.0815999999993</v>
      </c>
      <c r="AA7" s="250">
        <f>Z7/Z$27</f>
        <v>8.8143804400063475E-2</v>
      </c>
      <c r="AB7" s="261">
        <v>112942.55674809573</v>
      </c>
      <c r="AC7" s="261">
        <f>W7-($W$6-$AC$6)</f>
        <v>70072.010926209157</v>
      </c>
      <c r="AD7" s="261">
        <v>18229.901218556879</v>
      </c>
      <c r="AE7" s="251">
        <f t="shared" ref="AE7:AE26" si="14">AB7-AC7-AD7</f>
        <v>24640.644603329689</v>
      </c>
      <c r="AF7" s="249">
        <v>113.192639999999</v>
      </c>
      <c r="AG7" s="250">
        <f>AF7/AF$27</f>
        <v>7.8087661995205768E-2</v>
      </c>
      <c r="AH7" s="261">
        <v>112898.10913105577</v>
      </c>
      <c r="AI7" s="261">
        <f>AC7-($AC$6-$AI$6)</f>
        <v>68988.80271620916</v>
      </c>
      <c r="AJ7" s="261">
        <v>18160.946906393427</v>
      </c>
      <c r="AK7" s="251">
        <f t="shared" ref="AK7:AK26" si="15">AH7-AI7-AJ7</f>
        <v>25748.359508453181</v>
      </c>
      <c r="AL7" s="249">
        <v>131.57783999999941</v>
      </c>
      <c r="AM7" s="250">
        <f>AL7/AL$27</f>
        <v>8.8087159544618987E-2</v>
      </c>
      <c r="AN7" s="261">
        <v>112905.38467280091</v>
      </c>
      <c r="AO7" s="261">
        <v>65601.234514753785</v>
      </c>
      <c r="AP7" s="261">
        <v>21029.345507979702</v>
      </c>
      <c r="AQ7" s="251">
        <f t="shared" ref="AQ7:AQ26" si="16">AN7-AO7-AP7</f>
        <v>26274.804650067421</v>
      </c>
      <c r="AR7" s="249">
        <v>142.4438100000005</v>
      </c>
      <c r="AS7" s="250">
        <f>AR7/AR$27</f>
        <v>0.10794120562509657</v>
      </c>
      <c r="AT7" s="261">
        <v>112921.42487125198</v>
      </c>
      <c r="AU7" s="261">
        <f>AO7-2624</f>
        <v>62977.234514753785</v>
      </c>
      <c r="AV7" s="261">
        <v>19914.865161740898</v>
      </c>
      <c r="AW7" s="251">
        <f t="shared" ref="AW7:AW26" si="17">AT7-AU7-AV7</f>
        <v>30029.325194757294</v>
      </c>
      <c r="AX7" s="249">
        <v>79.176959999999397</v>
      </c>
      <c r="AY7" s="250">
        <f>AX7/AX$27</f>
        <v>6.995554623501625E-2</v>
      </c>
      <c r="AZ7" s="261">
        <v>112906.25176819216</v>
      </c>
      <c r="BA7" s="261">
        <f t="shared" ref="BA7:BA26" si="18">AU7-1775</f>
        <v>61202.234514753785</v>
      </c>
      <c r="BB7" s="261">
        <v>17656.120164249925</v>
      </c>
      <c r="BC7" s="251">
        <f t="shared" ref="BC7:BC26" si="19">AZ7-BA7-BB7</f>
        <v>34047.897089188453</v>
      </c>
      <c r="BD7" s="249">
        <v>81.267509999999234</v>
      </c>
      <c r="BE7" s="250">
        <f>BD7/BD$27</f>
        <v>6.0882651768171779E-2</v>
      </c>
      <c r="BF7" s="261">
        <v>112847.70543603577</v>
      </c>
      <c r="BG7" s="261">
        <f t="shared" ref="BG7:BG17" si="20">BA7+1242</f>
        <v>62444.234514753785</v>
      </c>
      <c r="BH7" s="261">
        <v>17516.461375524006</v>
      </c>
      <c r="BI7" s="251">
        <f t="shared" ref="BI7:BI26" si="21">BF7-BG7-BH7</f>
        <v>32887.009545757981</v>
      </c>
      <c r="BJ7" s="249">
        <v>108.35423999999909</v>
      </c>
      <c r="BK7" s="250">
        <f>BJ7/BJ$27</f>
        <v>7.6634176106000165E-2</v>
      </c>
      <c r="BL7" s="261">
        <v>112810.39819023338</v>
      </c>
      <c r="BM7" s="261">
        <f t="shared" ref="BM7:BM26" si="22">BG7</f>
        <v>62444.234514753785</v>
      </c>
      <c r="BN7" s="261">
        <v>17885.794501442844</v>
      </c>
      <c r="BO7" s="251">
        <f t="shared" ref="BO7:BO26" si="23">BL7-BM7-BN7</f>
        <v>32480.369174036747</v>
      </c>
      <c r="BP7" s="249">
        <v>140.329620000002</v>
      </c>
      <c r="BQ7" s="250">
        <f>BP7/BP$27</f>
        <v>8.794425026841067E-2</v>
      </c>
      <c r="BR7" s="261">
        <v>112886.6478082086</v>
      </c>
      <c r="BS7" s="261">
        <f t="shared" si="2"/>
        <v>64454.234514753785</v>
      </c>
      <c r="BT7" s="261">
        <v>20173.506206316099</v>
      </c>
      <c r="BU7" s="251">
        <f t="shared" ref="BU7:BU26" si="24">BR7-BS7-BT7</f>
        <v>28258.907087138712</v>
      </c>
      <c r="BV7" s="94"/>
      <c r="BW7" s="249">
        <v>155.02753200000296</v>
      </c>
      <c r="BX7" s="250">
        <f>BW7/BW$27</f>
        <v>7.8362312954671151E-2</v>
      </c>
      <c r="BY7" s="261">
        <v>112749.77679448295</v>
      </c>
      <c r="BZ7" s="261">
        <f>BS7+1758</f>
        <v>66212.234514753785</v>
      </c>
      <c r="CA7" s="261">
        <v>20058.779881756229</v>
      </c>
      <c r="CB7" s="251">
        <f t="shared" ref="CB7:CB26" si="25">BY7-BZ7-CA7</f>
        <v>26478.76239797294</v>
      </c>
      <c r="CC7" s="249">
        <v>141.85150799999928</v>
      </c>
      <c r="CD7" s="250">
        <f>CC7/CC$27</f>
        <v>6.9033777162901197E-2</v>
      </c>
      <c r="CE7" s="261">
        <v>112710.45824905853</v>
      </c>
      <c r="CF7" s="261">
        <f>BZ7</f>
        <v>66212.234514753785</v>
      </c>
      <c r="CG7" s="261">
        <v>20031.621235919662</v>
      </c>
      <c r="CH7" s="251">
        <f t="shared" ref="CH7:CH26" si="26">CE7-CF7-CG7</f>
        <v>26466.602498385084</v>
      </c>
      <c r="CI7" s="249">
        <v>182.34423000000399</v>
      </c>
      <c r="CJ7" s="250">
        <f>CI7/CI$27</f>
        <v>8.6298243166129496E-2</v>
      </c>
      <c r="CK7" s="261">
        <v>112802.74933843261</v>
      </c>
      <c r="CL7" s="261">
        <f t="shared" ref="CL7:CL16" si="27">CF7+1760</f>
        <v>67972.234514753785</v>
      </c>
      <c r="CM7" s="261">
        <v>22027.644856104802</v>
      </c>
      <c r="CN7" s="251">
        <f t="shared" ref="CN7:CN26" si="28">CK7-CL7-CM7</f>
        <v>22802.869967574021</v>
      </c>
      <c r="CO7" s="249">
        <v>104.29343999999929</v>
      </c>
      <c r="CP7" s="250">
        <f>CO7/CO$27</f>
        <v>6.8248674604754436E-2</v>
      </c>
      <c r="CQ7" s="261">
        <v>112713.8129684866</v>
      </c>
      <c r="CR7" s="261">
        <f>CL7+675</f>
        <v>68647.234514753785</v>
      </c>
      <c r="CS7" s="261">
        <v>21266.661450614931</v>
      </c>
      <c r="CT7" s="251">
        <f t="shared" ref="CT7:CT26" si="29">CQ7-CR7-CS7</f>
        <v>22799.917003117884</v>
      </c>
      <c r="CU7" s="249">
        <v>85.27679999999927</v>
      </c>
      <c r="CV7" s="250">
        <f>CU7/CU$27</f>
        <v>4.9905539571307195E-2</v>
      </c>
      <c r="CW7" s="261">
        <v>112718.14608428189</v>
      </c>
      <c r="CX7" s="261">
        <v>71303.958057026466</v>
      </c>
      <c r="CY7" s="261">
        <v>21277.366411497882</v>
      </c>
      <c r="CZ7" s="251">
        <f t="shared" ref="CZ7:CZ26" si="30">CW7-CX7-CY7</f>
        <v>20136.821615757544</v>
      </c>
      <c r="DA7" s="249">
        <v>78.831359999999322</v>
      </c>
      <c r="DB7" s="250">
        <f t="shared" si="3"/>
        <v>5.0316419489336468E-2</v>
      </c>
      <c r="DC7" s="261">
        <v>112676.24381971936</v>
      </c>
      <c r="DD7" s="261">
        <f>CX7+4681</f>
        <v>75984.958057026466</v>
      </c>
      <c r="DE7" s="261">
        <v>20744.782279539744</v>
      </c>
      <c r="DF7" s="251">
        <f t="shared" ref="DF7:DF26" si="31">DC7-DD7-DE7</f>
        <v>15946.503483153145</v>
      </c>
      <c r="DG7" s="249">
        <v>54.717119999999561</v>
      </c>
      <c r="DH7" s="250">
        <f t="shared" si="4"/>
        <v>5.5237571975923001E-2</v>
      </c>
      <c r="DI7" s="261">
        <v>112721.41187255537</v>
      </c>
      <c r="DJ7" s="261">
        <f t="shared" ref="DJ7:DJ16" si="32">DD7</f>
        <v>75984.958057026466</v>
      </c>
      <c r="DK7" s="261">
        <v>14640.936328520325</v>
      </c>
      <c r="DL7" s="251">
        <f t="shared" ref="DL7:DL26" si="33">DI7-DJ7-DK7</f>
        <v>22095.517487008579</v>
      </c>
      <c r="DM7" s="249">
        <v>64.825919999999527</v>
      </c>
      <c r="DN7" s="250">
        <f t="shared" si="5"/>
        <v>5.9362072181587962E-2</v>
      </c>
      <c r="DO7" s="261">
        <v>112612.47661429332</v>
      </c>
      <c r="DP7" s="261">
        <v>72891.104329571463</v>
      </c>
      <c r="DQ7" s="261">
        <v>14603.306054121676</v>
      </c>
      <c r="DR7" s="251">
        <f t="shared" ref="DR7:DR26" si="34">DO7-DP7-DQ7</f>
        <v>25118.066230600183</v>
      </c>
      <c r="DS7" s="249">
        <v>77.0428799999994</v>
      </c>
      <c r="DT7" s="250">
        <f t="shared" si="6"/>
        <v>5.5654777622054653E-2</v>
      </c>
      <c r="DU7" s="261">
        <v>112637.58442052106</v>
      </c>
      <c r="DV7" s="261">
        <f>DP7</f>
        <v>72891.104329571463</v>
      </c>
      <c r="DW7" s="261">
        <v>14712.282562645725</v>
      </c>
      <c r="DX7" s="251">
        <f t="shared" ref="DX7:DX26" si="35">DU7-DV7-DW7</f>
        <v>25034.19752830387</v>
      </c>
      <c r="DY7" s="249">
        <f>'Net NR'!DD7</f>
        <v>75.081599999999526</v>
      </c>
      <c r="DZ7" s="250">
        <f t="shared" si="7"/>
        <v>6.0743361695967925E-2</v>
      </c>
      <c r="EA7" s="261">
        <f>'Net NR'!DF7</f>
        <v>112650.58216660359</v>
      </c>
      <c r="EB7" s="261">
        <f t="shared" ref="EB7:EB16" si="36">EH7-1341</f>
        <v>74530</v>
      </c>
      <c r="EC7" s="261">
        <f>'Net NR'!DG7</f>
        <v>16398.307707880547</v>
      </c>
      <c r="ED7" s="251">
        <f t="shared" ref="ED7:ED26" si="37">EA7-EB7-EC7</f>
        <v>21722.274458723045</v>
      </c>
      <c r="EE7" s="249">
        <f>'Net NR'!DI7</f>
        <v>135.56735999999995</v>
      </c>
      <c r="EF7" s="250">
        <f t="shared" si="8"/>
        <v>9.8456349476634217E-2</v>
      </c>
      <c r="EG7" s="261">
        <f>'Net NR'!DK7</f>
        <v>112734.36673842363</v>
      </c>
      <c r="EH7" s="261">
        <f t="shared" ref="EH7:EH18" si="38">EN7-792</f>
        <v>75871</v>
      </c>
      <c r="EI7" s="261">
        <f>'Net NR'!DL7</f>
        <v>19697.527634970567</v>
      </c>
      <c r="EJ7" s="251">
        <f t="shared" ref="EJ7:EJ26" si="39">EG7-EH7-EI7</f>
        <v>17165.839103453065</v>
      </c>
      <c r="EK7" s="249">
        <v>107.26475999999899</v>
      </c>
      <c r="EL7" s="250">
        <f t="shared" si="9"/>
        <v>7.3272404465429708E-2</v>
      </c>
      <c r="EM7" s="261">
        <v>112587.15826148351</v>
      </c>
      <c r="EN7" s="261">
        <v>76663</v>
      </c>
      <c r="EO7" s="261">
        <v>18977.712717578725</v>
      </c>
      <c r="EP7" s="251">
        <f t="shared" ref="EP7:EP26" si="40">EM7-EN7-EO7</f>
        <v>16946.445543904782</v>
      </c>
      <c r="EQ7" s="94"/>
    </row>
    <row r="8" spans="1:148">
      <c r="A8" t="s">
        <v>237</v>
      </c>
      <c r="B8" s="249"/>
      <c r="C8" s="250"/>
      <c r="D8" s="261"/>
      <c r="E8" s="261"/>
      <c r="F8" s="261"/>
      <c r="G8" s="251"/>
      <c r="H8" s="249"/>
      <c r="I8" s="250"/>
      <c r="J8" s="261"/>
      <c r="K8" s="261"/>
      <c r="L8" s="261"/>
      <c r="M8" s="251"/>
      <c r="N8" s="249"/>
      <c r="O8" s="250"/>
      <c r="P8" s="261"/>
      <c r="Q8" s="261"/>
      <c r="R8" s="261"/>
      <c r="S8" s="251"/>
      <c r="T8" s="249"/>
      <c r="U8" s="250"/>
      <c r="V8" s="261"/>
      <c r="W8" s="261"/>
      <c r="X8" s="261"/>
      <c r="Y8" s="251"/>
      <c r="Z8" s="249"/>
      <c r="AA8" s="250"/>
      <c r="AB8" s="261"/>
      <c r="AC8" s="261"/>
      <c r="AD8" s="261"/>
      <c r="AE8" s="251"/>
      <c r="AF8" s="249"/>
      <c r="AG8" s="250"/>
      <c r="AH8" s="261"/>
      <c r="AI8" s="261"/>
      <c r="AJ8" s="261"/>
      <c r="AK8" s="251"/>
      <c r="AL8" s="249"/>
      <c r="AM8" s="250"/>
      <c r="AN8" s="261"/>
      <c r="AO8" s="261"/>
      <c r="AP8" s="261"/>
      <c r="AQ8" s="251"/>
      <c r="AR8" s="249"/>
      <c r="AS8" s="250"/>
      <c r="AT8" s="261"/>
      <c r="AU8" s="261"/>
      <c r="AV8" s="261"/>
      <c r="AW8" s="251"/>
      <c r="AX8" s="249"/>
      <c r="AY8" s="250"/>
      <c r="AZ8" s="261"/>
      <c r="BA8" s="261"/>
      <c r="BB8" s="261"/>
      <c r="BC8" s="251"/>
      <c r="BD8" s="249"/>
      <c r="BE8" s="250"/>
      <c r="BF8" s="261"/>
      <c r="BG8" s="261"/>
      <c r="BH8" s="261"/>
      <c r="BI8" s="251"/>
      <c r="BJ8" s="249"/>
      <c r="BK8" s="250"/>
      <c r="BL8" s="261"/>
      <c r="BM8" s="261"/>
      <c r="BN8" s="261"/>
      <c r="BO8" s="251"/>
      <c r="BP8" s="249"/>
      <c r="BQ8" s="250"/>
      <c r="BR8" s="261"/>
      <c r="BS8" s="261"/>
      <c r="BT8" s="261"/>
      <c r="BU8" s="251"/>
      <c r="BV8" s="94"/>
      <c r="BW8" s="249"/>
      <c r="BX8" s="250"/>
      <c r="BY8" s="261"/>
      <c r="BZ8" s="261"/>
      <c r="CA8" s="261"/>
      <c r="CB8" s="251"/>
      <c r="CC8" s="249"/>
      <c r="CD8" s="250"/>
      <c r="CE8" s="261"/>
      <c r="CF8" s="261"/>
      <c r="CG8" s="261"/>
      <c r="CH8" s="251"/>
      <c r="CI8" s="249"/>
      <c r="CJ8" s="250"/>
      <c r="CK8" s="261"/>
      <c r="CL8" s="261"/>
      <c r="CM8" s="261"/>
      <c r="CN8" s="251"/>
      <c r="CO8" s="249"/>
      <c r="CP8" s="250"/>
      <c r="CQ8" s="261"/>
      <c r="CR8" s="261"/>
      <c r="CS8" s="261"/>
      <c r="CT8" s="251"/>
      <c r="CU8" s="249"/>
      <c r="CV8" s="250"/>
      <c r="CW8" s="261"/>
      <c r="CX8" s="261"/>
      <c r="CY8" s="261"/>
      <c r="CZ8" s="251"/>
      <c r="DA8" s="249">
        <v>161.20000000000016</v>
      </c>
      <c r="DB8" s="250">
        <f t="shared" si="3"/>
        <v>0.10289061132119395</v>
      </c>
      <c r="DC8" s="261">
        <v>87342.156265508325</v>
      </c>
      <c r="DD8" s="261">
        <f>DD9</f>
        <v>76687.955323019938</v>
      </c>
      <c r="DE8" s="261">
        <v>3326.7178039702108</v>
      </c>
      <c r="DF8" s="251">
        <f t="shared" si="31"/>
        <v>7327.4831385181769</v>
      </c>
      <c r="DG8" s="249">
        <v>404.53749999999985</v>
      </c>
      <c r="DH8" s="250">
        <f t="shared" si="4"/>
        <v>0.40838533302209845</v>
      </c>
      <c r="DI8" s="261">
        <v>87309.930822235066</v>
      </c>
      <c r="DJ8" s="261">
        <f t="shared" si="32"/>
        <v>76687.955323019938</v>
      </c>
      <c r="DK8" s="261">
        <v>1214.6952260297289</v>
      </c>
      <c r="DL8" s="251">
        <f t="shared" si="33"/>
        <v>9407.280273185399</v>
      </c>
      <c r="DM8" s="249">
        <v>383.30974999999944</v>
      </c>
      <c r="DN8" s="250">
        <f t="shared" si="5"/>
        <v>0.35100251639169283</v>
      </c>
      <c r="DO8" s="261">
        <v>87283.079754688923</v>
      </c>
      <c r="DP8" s="261">
        <f t="shared" ref="DP8:DP16" si="41">DJ8</f>
        <v>76687.955323019938</v>
      </c>
      <c r="DQ8" s="261">
        <v>1138.964558036944</v>
      </c>
      <c r="DR8" s="251">
        <f t="shared" si="34"/>
        <v>9456.1598736320411</v>
      </c>
      <c r="DS8" s="249">
        <v>537.39499999999896</v>
      </c>
      <c r="DT8" s="250">
        <f t="shared" si="6"/>
        <v>0.38820718047150149</v>
      </c>
      <c r="DU8" s="261">
        <v>87341.153434624503</v>
      </c>
      <c r="DV8" s="261">
        <f>DP8</f>
        <v>76687.955323019938</v>
      </c>
      <c r="DW8" s="261">
        <v>1240.5879101964115</v>
      </c>
      <c r="DX8" s="251">
        <f t="shared" si="35"/>
        <v>9412.6102014081534</v>
      </c>
      <c r="DY8" s="249">
        <f>'Net NR'!DD8</f>
        <v>595.41150000000073</v>
      </c>
      <c r="DZ8" s="250">
        <f t="shared" si="7"/>
        <v>0.48170651800759545</v>
      </c>
      <c r="EA8" s="261">
        <f>'Net NR'!DF8</f>
        <v>89106.802035232118</v>
      </c>
      <c r="EB8" s="261">
        <f t="shared" si="36"/>
        <v>78215</v>
      </c>
      <c r="EC8" s="261">
        <f>'Net NR'!DG8</f>
        <v>2900.1835705222261</v>
      </c>
      <c r="ED8" s="251">
        <f t="shared" si="37"/>
        <v>7991.6184647098926</v>
      </c>
      <c r="EE8" s="249">
        <f>'Net NR'!DI8</f>
        <v>515.33749999999986</v>
      </c>
      <c r="EF8" s="250">
        <f t="shared" si="8"/>
        <v>0.37426596636841636</v>
      </c>
      <c r="EG8" s="261">
        <f>'Net NR'!DK8</f>
        <v>89084.284900672908</v>
      </c>
      <c r="EH8" s="261">
        <f t="shared" si="38"/>
        <v>79556</v>
      </c>
      <c r="EI8" s="261">
        <f>'Net NR'!DL8</f>
        <v>2984.8052198801843</v>
      </c>
      <c r="EJ8" s="251">
        <f t="shared" si="39"/>
        <v>6543.4796807927241</v>
      </c>
      <c r="EK8" s="249">
        <v>502.59974999999753</v>
      </c>
      <c r="EL8" s="250">
        <f t="shared" si="9"/>
        <v>0.34332517190383888</v>
      </c>
      <c r="EM8" s="261">
        <v>89095.243183071478</v>
      </c>
      <c r="EN8" s="261">
        <v>80348</v>
      </c>
      <c r="EO8" s="261">
        <v>3004.3910487420844</v>
      </c>
      <c r="EP8" s="251">
        <f t="shared" si="40"/>
        <v>5742.8521343293933</v>
      </c>
      <c r="EQ8" s="94"/>
    </row>
    <row r="9" spans="1:148">
      <c r="A9" s="103" t="s">
        <v>126</v>
      </c>
      <c r="B9" s="249">
        <v>378.05625000000055</v>
      </c>
      <c r="C9" s="250">
        <f t="shared" ref="C9:C14" si="42">B9/B$27</f>
        <v>0.30231942134948286</v>
      </c>
      <c r="D9" s="261">
        <v>78820.665906609502</v>
      </c>
      <c r="E9" s="261">
        <v>68960.228515844632</v>
      </c>
      <c r="F9" s="261">
        <v>3638.0613507193916</v>
      </c>
      <c r="G9" s="251">
        <f t="shared" si="10"/>
        <v>6222.3760400454776</v>
      </c>
      <c r="H9" s="249">
        <v>401.73237500000005</v>
      </c>
      <c r="I9" s="250">
        <f t="shared" ref="I9:I14" si="43">H9/H$27</f>
        <v>0.29726095190559987</v>
      </c>
      <c r="J9" s="261">
        <v>78492.78317053002</v>
      </c>
      <c r="K9" s="261">
        <v>67767.206299630721</v>
      </c>
      <c r="L9" s="261">
        <v>3205.2400690427262</v>
      </c>
      <c r="M9" s="251">
        <f t="shared" si="11"/>
        <v>7520.3368018565725</v>
      </c>
      <c r="N9" s="249">
        <v>448.27749999999872</v>
      </c>
      <c r="O9" s="250">
        <f t="shared" ref="O9:O14" si="44">N9/N$27</f>
        <v>0.29951489487834426</v>
      </c>
      <c r="P9" s="261">
        <v>78409.935395829554</v>
      </c>
      <c r="Q9" s="261">
        <f>K9-($K$7-$Q$7)</f>
        <v>67930.770886315237</v>
      </c>
      <c r="R9" s="261">
        <v>3373.2454620717517</v>
      </c>
      <c r="S9" s="251">
        <f t="shared" si="12"/>
        <v>7105.9190474425659</v>
      </c>
      <c r="T9" s="249">
        <v>446.18749999999955</v>
      </c>
      <c r="U9" s="250">
        <f t="shared" ref="U9:U14" si="45">T9/T$27</f>
        <v>0.31572200752253943</v>
      </c>
      <c r="V9" s="261">
        <v>76996.594794503791</v>
      </c>
      <c r="W9" s="261">
        <f>Q9-($Q$6-$W$6)</f>
        <v>68134.432631315241</v>
      </c>
      <c r="X9" s="261">
        <v>4034.624754662424</v>
      </c>
      <c r="Y9" s="251">
        <f t="shared" si="13"/>
        <v>4827.5374085261265</v>
      </c>
      <c r="Z9" s="249">
        <v>479.13222499999796</v>
      </c>
      <c r="AA9" s="250">
        <f t="shared" ref="AA9:AA14" si="46">Z9/Z$27</f>
        <v>0.32717705019280247</v>
      </c>
      <c r="AB9" s="261">
        <v>76985.321582219447</v>
      </c>
      <c r="AC9" s="261">
        <f t="shared" ref="AC9:AC18" si="47">W9-($W$6-$AC$6)</f>
        <v>68316.789279537159</v>
      </c>
      <c r="AD9" s="261">
        <v>2671.1208562864545</v>
      </c>
      <c r="AE9" s="251">
        <f t="shared" si="14"/>
        <v>5997.411446395834</v>
      </c>
      <c r="AF9" s="249">
        <v>488.87849999999935</v>
      </c>
      <c r="AG9" s="250">
        <f t="shared" ref="AG9:AG14" si="48">AF9/AF$27</f>
        <v>0.33726025883594102</v>
      </c>
      <c r="AH9" s="261">
        <v>76882.307587441086</v>
      </c>
      <c r="AI9" s="261">
        <f t="shared" ref="AI9:AI17" si="49">AC9-($AC$6-$AI$6)</f>
        <v>67233.581069537162</v>
      </c>
      <c r="AJ9" s="261">
        <v>2909.9836225442091</v>
      </c>
      <c r="AK9" s="251">
        <f t="shared" si="15"/>
        <v>6738.7428953597155</v>
      </c>
      <c r="AL9" s="249">
        <v>487.34124999999841</v>
      </c>
      <c r="AM9" s="250">
        <f t="shared" ref="AM9:AM14" si="50">AL9/AL$27</f>
        <v>0.32625939475388938</v>
      </c>
      <c r="AN9" s="261">
        <v>76911.834943781287</v>
      </c>
      <c r="AO9" s="261">
        <v>67059.955323019938</v>
      </c>
      <c r="AP9" s="261">
        <v>3945.7641785738269</v>
      </c>
      <c r="AQ9" s="251">
        <f t="shared" si="16"/>
        <v>5906.1154421875217</v>
      </c>
      <c r="AR9" s="249">
        <v>485.99264999999872</v>
      </c>
      <c r="AS9" s="250">
        <f t="shared" ref="AS9:AS14" si="51">AR9/AR$27</f>
        <v>0.36827597187926431</v>
      </c>
      <c r="AT9" s="261">
        <v>76924.178919288752</v>
      </c>
      <c r="AU9" s="261">
        <f t="shared" ref="AU9:AU17" si="52">AO9-2739</f>
        <v>64320.955323019938</v>
      </c>
      <c r="AV9" s="261">
        <v>3340.7558189753072</v>
      </c>
      <c r="AW9" s="251">
        <f t="shared" si="17"/>
        <v>9262.4677772935065</v>
      </c>
      <c r="AX9" s="249">
        <v>450.93069999999892</v>
      </c>
      <c r="AY9" s="250">
        <f t="shared" ref="AY9:AY14" si="53">AX9/AX$27</f>
        <v>0.3984126623785304</v>
      </c>
      <c r="AZ9" s="261">
        <v>76890.389764990832</v>
      </c>
      <c r="BA9" s="261">
        <f t="shared" si="18"/>
        <v>62545.955323019938</v>
      </c>
      <c r="BB9" s="261">
        <v>2030.2305875381739</v>
      </c>
      <c r="BC9" s="251">
        <f t="shared" si="19"/>
        <v>12314.203854432721</v>
      </c>
      <c r="BD9" s="249">
        <v>475.29982499999886</v>
      </c>
      <c r="BE9" s="250">
        <f t="shared" ref="BE9:BE14" si="54">BD9/BD$27</f>
        <v>0.3560772777577188</v>
      </c>
      <c r="BF9" s="261">
        <v>76736.451733387439</v>
      </c>
      <c r="BG9" s="261">
        <f t="shared" si="20"/>
        <v>63787.955323019938</v>
      </c>
      <c r="BH9" s="261">
        <v>2056.9657689228084</v>
      </c>
      <c r="BI9" s="251">
        <f t="shared" si="21"/>
        <v>10891.530641444693</v>
      </c>
      <c r="BJ9" s="249">
        <v>510.03122499999876</v>
      </c>
      <c r="BK9" s="250">
        <f t="shared" ref="BK9:BK14" si="55">BJ9/BJ$27</f>
        <v>0.36072259577667865</v>
      </c>
      <c r="BL9" s="261">
        <v>76695.000781569819</v>
      </c>
      <c r="BM9" s="261">
        <f t="shared" si="22"/>
        <v>63787.955323019938</v>
      </c>
      <c r="BN9" s="261">
        <v>2329.0786755261993</v>
      </c>
      <c r="BO9" s="251">
        <f t="shared" si="23"/>
        <v>10577.966783023681</v>
      </c>
      <c r="BP9" s="249">
        <v>520.61267499999963</v>
      </c>
      <c r="BQ9" s="250">
        <f t="shared" ref="BQ9:BQ14" si="56">BP9/BP$27</f>
        <v>0.32626676665344112</v>
      </c>
      <c r="BR9" s="261">
        <v>76719.237809567348</v>
      </c>
      <c r="BS9" s="261">
        <f t="shared" si="2"/>
        <v>65797.955323019938</v>
      </c>
      <c r="BT9" s="261">
        <v>2228.2317463745958</v>
      </c>
      <c r="BU9" s="251">
        <f t="shared" si="24"/>
        <v>8693.0507401728137</v>
      </c>
      <c r="BV9" s="94"/>
      <c r="BW9" s="249">
        <v>682.91245000000242</v>
      </c>
      <c r="BX9" s="250">
        <f t="shared" ref="BX9:BX14" si="57">BW9/BW$27</f>
        <v>0.34519416285063725</v>
      </c>
      <c r="BY9" s="261">
        <v>76724.601286739271</v>
      </c>
      <c r="BZ9" s="261">
        <f>BS9+1758</f>
        <v>67555.955323019938</v>
      </c>
      <c r="CA9" s="261">
        <v>2170.8401860296917</v>
      </c>
      <c r="CB9" s="251">
        <f t="shared" si="25"/>
        <v>6997.8057776896412</v>
      </c>
      <c r="CC9" s="249">
        <v>716.64560000000256</v>
      </c>
      <c r="CD9" s="250">
        <f t="shared" ref="CD9:CD14" si="58">CC9/CC$27</f>
        <v>0.3487643758794165</v>
      </c>
      <c r="CE9" s="261">
        <v>76656.097839712616</v>
      </c>
      <c r="CF9" s="261">
        <f t="shared" ref="CF9:CF10" si="59">BZ9</f>
        <v>67555.955323019938</v>
      </c>
      <c r="CG9" s="261">
        <v>2275.0840164231731</v>
      </c>
      <c r="CH9" s="251">
        <f t="shared" si="26"/>
        <v>6825.0585002695052</v>
      </c>
      <c r="CI9" s="249">
        <v>742.28165000000422</v>
      </c>
      <c r="CJ9" s="250">
        <f t="shared" ref="CJ9:CJ14" si="60">CI9/CI$27</f>
        <v>0.35130040763809633</v>
      </c>
      <c r="CK9" s="261">
        <v>76627.23809755969</v>
      </c>
      <c r="CL9" s="261">
        <f t="shared" si="27"/>
        <v>69315.955323019938</v>
      </c>
      <c r="CM9" s="261">
        <v>1235.6641309939334</v>
      </c>
      <c r="CN9" s="251">
        <f t="shared" si="28"/>
        <v>6075.6186435458185</v>
      </c>
      <c r="CO9" s="249">
        <v>534.10967500000015</v>
      </c>
      <c r="CP9" s="250">
        <f t="shared" ref="CP9:CP14" si="61">CO9/CO$27</f>
        <v>0.34951649319771599</v>
      </c>
      <c r="CQ9" s="261">
        <v>76619.232126809875</v>
      </c>
      <c r="CR9" s="261">
        <f>CL9+810</f>
        <v>70125.955323019938</v>
      </c>
      <c r="CS9" s="261">
        <v>8.617144035071183</v>
      </c>
      <c r="CT9" s="251">
        <f t="shared" si="29"/>
        <v>6484.659659754866</v>
      </c>
      <c r="CU9" s="249">
        <v>557.53499999999974</v>
      </c>
      <c r="CV9" s="250">
        <f t="shared" ref="CV9:CV14" si="62">CU9/CU$27</f>
        <v>0.32627965642342327</v>
      </c>
      <c r="CW9" s="261">
        <v>79572.686737155367</v>
      </c>
      <c r="CX9" s="261">
        <f>CR9+1881</f>
        <v>72006.955323019938</v>
      </c>
      <c r="CY9" s="261">
        <v>2947.7264386989109</v>
      </c>
      <c r="CZ9" s="251">
        <f t="shared" si="30"/>
        <v>4618.0049754365182</v>
      </c>
      <c r="DA9" s="249">
        <v>417.61197499999827</v>
      </c>
      <c r="DB9" s="250">
        <f t="shared" si="3"/>
        <v>0.26655304840447236</v>
      </c>
      <c r="DC9" s="261">
        <v>79431.87900682239</v>
      </c>
      <c r="DD9" s="261">
        <f>CX9+4681</f>
        <v>76687.955323019938</v>
      </c>
      <c r="DE9" s="261">
        <v>2667.2990639217301</v>
      </c>
      <c r="DF9" s="251">
        <f t="shared" si="31"/>
        <v>76.624619880721639</v>
      </c>
      <c r="DG9" s="249">
        <v>42.133850000000052</v>
      </c>
      <c r="DH9" s="250">
        <f t="shared" si="4"/>
        <v>4.2534613883145986E-2</v>
      </c>
      <c r="DI9" s="261">
        <v>79421.191749626523</v>
      </c>
      <c r="DJ9" s="261">
        <f t="shared" si="32"/>
        <v>76687.955323019938</v>
      </c>
      <c r="DK9" s="261">
        <v>1038.3406690819829</v>
      </c>
      <c r="DL9" s="251">
        <f t="shared" si="33"/>
        <v>1694.8957575246022</v>
      </c>
      <c r="DM9" s="249">
        <v>14.497999999999987</v>
      </c>
      <c r="DN9" s="250">
        <f t="shared" si="5"/>
        <v>1.32760371544078E-2</v>
      </c>
      <c r="DO9" s="261">
        <v>79553.00110360056</v>
      </c>
      <c r="DP9" s="261">
        <f t="shared" si="41"/>
        <v>76687.955323019938</v>
      </c>
      <c r="DQ9" s="261">
        <v>621.97751413988203</v>
      </c>
      <c r="DR9" s="251">
        <f t="shared" si="34"/>
        <v>2243.0682664407395</v>
      </c>
      <c r="DS9" s="249">
        <v>4.4354749999999949</v>
      </c>
      <c r="DT9" s="250">
        <f t="shared" si="6"/>
        <v>3.2041296323967183E-3</v>
      </c>
      <c r="DU9" s="261">
        <v>79646.781911745769</v>
      </c>
      <c r="DV9" s="261">
        <f>DP9</f>
        <v>76687.955323019938</v>
      </c>
      <c r="DW9" s="261">
        <v>2050.6732649828969</v>
      </c>
      <c r="DX9" s="251">
        <f t="shared" si="35"/>
        <v>908.15332374293439</v>
      </c>
      <c r="DY9" s="249">
        <f>'Net NR'!DD9</f>
        <v>0.91712500000000041</v>
      </c>
      <c r="DZ9" s="250">
        <f t="shared" si="7"/>
        <v>7.4198279732204647E-4</v>
      </c>
      <c r="EA9" s="261">
        <f>'Net NR'!DF9</f>
        <v>81250.963609104452</v>
      </c>
      <c r="EB9" s="261">
        <f t="shared" si="36"/>
        <v>79201</v>
      </c>
      <c r="EC9" s="261">
        <f>'Net NR'!DG9</f>
        <v>2177.3149788741985</v>
      </c>
      <c r="ED9" s="251">
        <f t="shared" si="37"/>
        <v>-127.35136976974627</v>
      </c>
      <c r="EE9" s="249">
        <f>'Net NR'!DI9</f>
        <v>0.16142500000000001</v>
      </c>
      <c r="EF9" s="250">
        <f t="shared" si="8"/>
        <v>1.1723556624740413E-4</v>
      </c>
      <c r="EG9" s="261">
        <f>'Net NR'!DK9</f>
        <v>81612.327706365177</v>
      </c>
      <c r="EH9" s="261">
        <f t="shared" si="38"/>
        <v>80542</v>
      </c>
      <c r="EI9" s="261">
        <f>'Net NR'!DL9</f>
        <v>1938.2995199008828</v>
      </c>
      <c r="EJ9" s="251">
        <f t="shared" si="39"/>
        <v>-867.97181353570613</v>
      </c>
      <c r="EK9" s="249">
        <v>0.16719999999999999</v>
      </c>
      <c r="EL9" s="250">
        <f t="shared" si="9"/>
        <v>1.1421408136856841E-4</v>
      </c>
      <c r="EM9" s="261">
        <v>81681.51913875599</v>
      </c>
      <c r="EN9" s="261">
        <v>81334</v>
      </c>
      <c r="EO9" s="261">
        <v>2004.904306220096</v>
      </c>
      <c r="EP9" s="251">
        <f t="shared" si="40"/>
        <v>-1657.3851674641062</v>
      </c>
      <c r="EQ9" s="94"/>
    </row>
    <row r="10" spans="1:148">
      <c r="A10" s="103" t="s">
        <v>148</v>
      </c>
      <c r="B10" s="249">
        <v>89.244539999999148</v>
      </c>
      <c r="C10" s="250">
        <f t="shared" si="42"/>
        <v>7.1365987710560214E-2</v>
      </c>
      <c r="D10" s="261">
        <v>97473.656051966842</v>
      </c>
      <c r="E10" s="261">
        <v>68698.842093186497</v>
      </c>
      <c r="F10" s="261">
        <v>19770.630746441424</v>
      </c>
      <c r="G10" s="251">
        <f t="shared" si="10"/>
        <v>9004.1832123389213</v>
      </c>
      <c r="H10" s="249">
        <v>199.34822000000088</v>
      </c>
      <c r="I10" s="250">
        <f t="shared" si="43"/>
        <v>0.14750725937357476</v>
      </c>
      <c r="J10" s="261">
        <v>87093.910221367172</v>
      </c>
      <c r="K10" s="261">
        <f>E10-($E$6-$K$6)</f>
        <v>67558.832406302769</v>
      </c>
      <c r="L10" s="261">
        <v>12726.00696143433</v>
      </c>
      <c r="M10" s="251">
        <f t="shared" si="11"/>
        <v>6809.0708536300735</v>
      </c>
      <c r="N10" s="249">
        <v>271.87625999999898</v>
      </c>
      <c r="O10" s="250">
        <f t="shared" si="44"/>
        <v>0.18165308192763929</v>
      </c>
      <c r="P10" s="261">
        <v>83269.538194716646</v>
      </c>
      <c r="Q10" s="261">
        <f>K10-($K$7-$Q$7)</f>
        <v>67722.396992987284</v>
      </c>
      <c r="R10" s="261">
        <v>8589.5496587550169</v>
      </c>
      <c r="S10" s="251">
        <f t="shared" si="12"/>
        <v>6957.5915429743454</v>
      </c>
      <c r="T10" s="249">
        <v>139.29351999999963</v>
      </c>
      <c r="U10" s="250">
        <f t="shared" si="45"/>
        <v>9.856401124926388E-2</v>
      </c>
      <c r="V10" s="261">
        <v>81318.132855622112</v>
      </c>
      <c r="W10" s="261">
        <f t="shared" ref="W10:W19" si="63">Q10-($Q$6-$W$6)</f>
        <v>67926.058737987289</v>
      </c>
      <c r="X10" s="261">
        <v>6091.5481997796087</v>
      </c>
      <c r="Y10" s="251">
        <f t="shared" si="13"/>
        <v>7300.5259178552151</v>
      </c>
      <c r="Z10" s="249">
        <v>151.16257999999823</v>
      </c>
      <c r="AA10" s="250">
        <f t="shared" si="46"/>
        <v>0.10322187580669022</v>
      </c>
      <c r="AB10" s="261">
        <v>81245.43059290848</v>
      </c>
      <c r="AC10" s="261">
        <f t="shared" si="47"/>
        <v>68108.415386209206</v>
      </c>
      <c r="AD10" s="261">
        <v>5501.074880004935</v>
      </c>
      <c r="AE10" s="251">
        <f t="shared" si="14"/>
        <v>7635.9403266943391</v>
      </c>
      <c r="AF10" s="249">
        <v>213.71175199999686</v>
      </c>
      <c r="AG10" s="250">
        <f t="shared" si="48"/>
        <v>0.14743229820047613</v>
      </c>
      <c r="AH10" s="261">
        <v>81153.945204668998</v>
      </c>
      <c r="AI10" s="261">
        <f t="shared" si="49"/>
        <v>67025.207176209209</v>
      </c>
      <c r="AJ10" s="261">
        <v>9049.3109681744045</v>
      </c>
      <c r="AK10" s="251">
        <f t="shared" si="15"/>
        <v>5079.4270602853849</v>
      </c>
      <c r="AL10" s="249">
        <v>231.57375999999721</v>
      </c>
      <c r="AM10" s="250">
        <f t="shared" si="50"/>
        <v>0.15503123279320552</v>
      </c>
      <c r="AN10" s="261">
        <v>81104.873902993233</v>
      </c>
      <c r="AO10" s="261">
        <v>67076.552327992249</v>
      </c>
      <c r="AP10" s="261">
        <v>10153.363248243717</v>
      </c>
      <c r="AQ10" s="251">
        <f t="shared" si="16"/>
        <v>3874.9583267572671</v>
      </c>
      <c r="AR10" s="249">
        <v>160.04111999999805</v>
      </c>
      <c r="AS10" s="250">
        <f t="shared" si="51"/>
        <v>0.1212761119096048</v>
      </c>
      <c r="AT10" s="261">
        <v>81057.246142995093</v>
      </c>
      <c r="AU10" s="261">
        <f t="shared" si="52"/>
        <v>64337.552327992249</v>
      </c>
      <c r="AV10" s="261">
        <v>6148.1909576761909</v>
      </c>
      <c r="AW10" s="251">
        <f t="shared" si="17"/>
        <v>10571.502857326654</v>
      </c>
      <c r="AX10" s="249">
        <v>134.69897999999867</v>
      </c>
      <c r="AY10" s="250">
        <f t="shared" si="53"/>
        <v>0.11901114570702775</v>
      </c>
      <c r="AZ10" s="261">
        <v>81059.668454803366</v>
      </c>
      <c r="BA10" s="261">
        <f t="shared" si="18"/>
        <v>62562.552327992249</v>
      </c>
      <c r="BB10" s="261">
        <v>5025.8138554575617</v>
      </c>
      <c r="BC10" s="251">
        <f t="shared" si="19"/>
        <v>13471.302271353556</v>
      </c>
      <c r="BD10" s="249">
        <v>144.95771999999829</v>
      </c>
      <c r="BE10" s="250">
        <f t="shared" si="54"/>
        <v>0.10859703204722439</v>
      </c>
      <c r="BF10" s="261">
        <v>81041.387999206112</v>
      </c>
      <c r="BG10" s="261">
        <f t="shared" si="20"/>
        <v>63804.552327992249</v>
      </c>
      <c r="BH10" s="261">
        <v>5033.3515179460619</v>
      </c>
      <c r="BI10" s="251">
        <f t="shared" si="21"/>
        <v>12203.4841532678</v>
      </c>
      <c r="BJ10" s="249">
        <v>178.60283999999723</v>
      </c>
      <c r="BK10" s="250">
        <f t="shared" si="55"/>
        <v>0.12631791329616332</v>
      </c>
      <c r="BL10" s="261">
        <v>81083.923861459392</v>
      </c>
      <c r="BM10" s="261">
        <f t="shared" si="22"/>
        <v>63804.552327992249</v>
      </c>
      <c r="BN10" s="261">
        <v>5487.2053546293373</v>
      </c>
      <c r="BO10" s="251">
        <f t="shared" si="23"/>
        <v>11792.166178837806</v>
      </c>
      <c r="BP10" s="249">
        <v>175.87175999999744</v>
      </c>
      <c r="BQ10" s="250">
        <f t="shared" si="56"/>
        <v>0.11021842770318491</v>
      </c>
      <c r="BR10" s="261">
        <v>81086.343879201377</v>
      </c>
      <c r="BS10" s="261">
        <f t="shared" si="2"/>
        <v>65814.552327992249</v>
      </c>
      <c r="BT10" s="261">
        <v>5336.7096002223789</v>
      </c>
      <c r="BU10" s="251">
        <f t="shared" si="24"/>
        <v>9935.0819509867488</v>
      </c>
      <c r="BV10" s="94"/>
      <c r="BW10" s="249">
        <v>222.05512743999751</v>
      </c>
      <c r="BX10" s="250">
        <f t="shared" si="57"/>
        <v>0.11224298784323121</v>
      </c>
      <c r="BY10" s="261">
        <v>81022.612931383788</v>
      </c>
      <c r="BZ10" s="261">
        <f>BS10+1758</f>
        <v>67572.552327992249</v>
      </c>
      <c r="CA10" s="261">
        <v>5309.705043035251</v>
      </c>
      <c r="CB10" s="251">
        <f t="shared" si="25"/>
        <v>8140.3555603562882</v>
      </c>
      <c r="CC10" s="293">
        <v>250.28639999999751</v>
      </c>
      <c r="CD10" s="250">
        <f t="shared" si="58"/>
        <v>0.12180494806234045</v>
      </c>
      <c r="CE10" s="261">
        <v>81048.175210478279</v>
      </c>
      <c r="CF10" s="261">
        <f t="shared" si="59"/>
        <v>67572.552327992249</v>
      </c>
      <c r="CG10" s="261">
        <v>5211.7678387639307</v>
      </c>
      <c r="CH10" s="251">
        <f t="shared" si="26"/>
        <v>8263.8550437220983</v>
      </c>
      <c r="CI10" s="293">
        <v>321.22116000000182</v>
      </c>
      <c r="CJ10" s="250">
        <f t="shared" si="60"/>
        <v>0.15202467210388693</v>
      </c>
      <c r="CK10" s="261">
        <v>80996.243086846865</v>
      </c>
      <c r="CL10" s="261">
        <f t="shared" si="27"/>
        <v>69332.552327992249</v>
      </c>
      <c r="CM10" s="261">
        <v>6189.8468021221552</v>
      </c>
      <c r="CN10" s="251">
        <f t="shared" si="28"/>
        <v>5473.8439567324613</v>
      </c>
      <c r="CO10" s="293">
        <v>199.76389999999662</v>
      </c>
      <c r="CP10" s="250">
        <f t="shared" si="61"/>
        <v>0.13072367167941307</v>
      </c>
      <c r="CQ10" s="261">
        <v>80979.371147642189</v>
      </c>
      <c r="CR10" s="261">
        <f>CL10+810</f>
        <v>70142.552327992249</v>
      </c>
      <c r="CS10" s="261">
        <v>7077.6338968152704</v>
      </c>
      <c r="CT10" s="251">
        <f t="shared" si="29"/>
        <v>3759.1849228346691</v>
      </c>
      <c r="CU10" s="249">
        <v>234.11621999999829</v>
      </c>
      <c r="CV10" s="250">
        <f t="shared" si="62"/>
        <v>0.13700908431712816</v>
      </c>
      <c r="CW10" s="261">
        <v>80973.031385864524</v>
      </c>
      <c r="CX10" s="261">
        <f>CR10+1881</f>
        <v>72023.552327992249</v>
      </c>
      <c r="CY10" s="261">
        <v>7291.7699593817615</v>
      </c>
      <c r="CZ10" s="251">
        <f t="shared" si="30"/>
        <v>1657.7090984905135</v>
      </c>
      <c r="DA10" s="249">
        <v>279.76037999999971</v>
      </c>
      <c r="DB10" s="250">
        <f t="shared" si="3"/>
        <v>0.1785652389680488</v>
      </c>
      <c r="DC10" s="261">
        <v>80974.707891086975</v>
      </c>
      <c r="DD10" s="261">
        <f>CX10+4681</f>
        <v>76704.552327992249</v>
      </c>
      <c r="DE10" s="261">
        <v>6941.4902853649264</v>
      </c>
      <c r="DF10" s="251">
        <f t="shared" si="31"/>
        <v>-2671.3347222702005</v>
      </c>
      <c r="DG10" s="249">
        <v>97.002355319999438</v>
      </c>
      <c r="DH10" s="250">
        <f t="shared" si="4"/>
        <v>9.7925011108453253E-2</v>
      </c>
      <c r="DI10" s="261">
        <v>80992.596355856193</v>
      </c>
      <c r="DJ10" s="261">
        <f t="shared" si="32"/>
        <v>76704.552327992249</v>
      </c>
      <c r="DK10" s="261">
        <v>779.45880541326619</v>
      </c>
      <c r="DL10" s="251">
        <f t="shared" si="33"/>
        <v>3508.5852224506771</v>
      </c>
      <c r="DM10" s="249">
        <v>152.98950051999816</v>
      </c>
      <c r="DN10" s="250">
        <f t="shared" si="5"/>
        <v>0.14009479191183535</v>
      </c>
      <c r="DO10" s="261">
        <v>81009.018709621087</v>
      </c>
      <c r="DP10" s="261">
        <f t="shared" si="41"/>
        <v>76704.552327992249</v>
      </c>
      <c r="DQ10" s="261">
        <v>678.97254155961969</v>
      </c>
      <c r="DR10" s="251">
        <f t="shared" si="34"/>
        <v>3625.4938400692181</v>
      </c>
      <c r="DS10" s="249">
        <v>84.946159999999693</v>
      </c>
      <c r="DT10" s="250">
        <f t="shared" si="6"/>
        <v>6.1364004625054175E-2</v>
      </c>
      <c r="DU10" s="261">
        <v>80932.343616239261</v>
      </c>
      <c r="DV10" s="261">
        <f>DP10</f>
        <v>76704.552327992249</v>
      </c>
      <c r="DW10" s="261">
        <v>817.84685735058827</v>
      </c>
      <c r="DX10" s="251">
        <f t="shared" si="35"/>
        <v>3409.9444308964235</v>
      </c>
      <c r="DY10" s="249">
        <f>'Net NR'!DD10</f>
        <v>6.1635542799999907</v>
      </c>
      <c r="DZ10" s="250">
        <f t="shared" si="7"/>
        <v>4.9865081053516837E-3</v>
      </c>
      <c r="EA10" s="261">
        <f>'Net NR'!DF10</f>
        <v>80989.930050555311</v>
      </c>
      <c r="EB10" s="261">
        <f t="shared" si="36"/>
        <v>78943</v>
      </c>
      <c r="EC10" s="261">
        <f>'Net NR'!DG10</f>
        <v>0</v>
      </c>
      <c r="ED10" s="251">
        <f t="shared" si="37"/>
        <v>2046.930050555311</v>
      </c>
      <c r="EE10" s="249">
        <f>'Net NR'!DI10</f>
        <v>93.956079999999872</v>
      </c>
      <c r="EF10" s="250">
        <f t="shared" si="8"/>
        <v>6.8235987246005186E-2</v>
      </c>
      <c r="EG10" s="261">
        <f>'Net NR'!DK10</f>
        <v>95481.174821256791</v>
      </c>
      <c r="EH10" s="261">
        <f t="shared" si="38"/>
        <v>80284</v>
      </c>
      <c r="EI10" s="261">
        <f>'Net NR'!DL10</f>
        <v>6291.098883648634</v>
      </c>
      <c r="EJ10" s="251">
        <f t="shared" si="39"/>
        <v>8906.0759376081569</v>
      </c>
      <c r="EK10" s="249">
        <v>290.15822000000026</v>
      </c>
      <c r="EL10" s="250">
        <f t="shared" si="9"/>
        <v>0.19820666596195577</v>
      </c>
      <c r="EM10" s="261">
        <v>95679.61169038745</v>
      </c>
      <c r="EN10" s="389">
        <v>81076</v>
      </c>
      <c r="EO10" s="261">
        <v>4293.9340712940566</v>
      </c>
      <c r="EP10" s="251">
        <f t="shared" si="40"/>
        <v>10309.677619093392</v>
      </c>
      <c r="EQ10" s="94"/>
    </row>
    <row r="11" spans="1:148">
      <c r="A11" s="103" t="s">
        <v>127</v>
      </c>
      <c r="B11" s="249">
        <v>104.616</v>
      </c>
      <c r="C11" s="250">
        <f t="shared" si="42"/>
        <v>8.3658049784648317E-2</v>
      </c>
      <c r="D11" s="261">
        <v>92408.506211143933</v>
      </c>
      <c r="E11" s="261">
        <v>69192.893183060849</v>
      </c>
      <c r="F11" s="261">
        <v>10566.691981007083</v>
      </c>
      <c r="G11" s="251">
        <f t="shared" si="10"/>
        <v>12648.921047076001</v>
      </c>
      <c r="H11" s="249">
        <v>33.638639999999974</v>
      </c>
      <c r="I11" s="250">
        <f t="shared" si="43"/>
        <v>2.4890834718535638E-2</v>
      </c>
      <c r="J11" s="261">
        <v>92400.690145312343</v>
      </c>
      <c r="K11" s="261">
        <f>E11-($E$6-$K$6)</f>
        <v>68052.883496177121</v>
      </c>
      <c r="L11" s="261">
        <v>9926.8255657691261</v>
      </c>
      <c r="M11" s="251">
        <f t="shared" si="11"/>
        <v>14420.981083366096</v>
      </c>
      <c r="N11" s="249">
        <v>2.15544</v>
      </c>
      <c r="O11" s="250">
        <f t="shared" si="44"/>
        <v>1.4401489814157085E-3</v>
      </c>
      <c r="P11" s="261">
        <v>92035.827321003264</v>
      </c>
      <c r="Q11" s="261">
        <f t="shared" ref="Q11:Q20" si="64">K11-($K$7-$Q$7)</f>
        <v>68216.448082861636</v>
      </c>
      <c r="R11" s="261">
        <v>11044.224678387378</v>
      </c>
      <c r="S11" s="251">
        <f t="shared" si="12"/>
        <v>12775.15455975425</v>
      </c>
      <c r="T11" s="249">
        <v>0.15840000000000001</v>
      </c>
      <c r="U11" s="250">
        <f t="shared" si="45"/>
        <v>1.1208374504344093E-4</v>
      </c>
      <c r="V11" s="261">
        <v>85331.632800141262</v>
      </c>
      <c r="W11" s="261">
        <f t="shared" si="63"/>
        <v>68420.109827861641</v>
      </c>
      <c r="X11" s="261"/>
      <c r="Y11" s="251">
        <f t="shared" si="13"/>
        <v>16911.522972279621</v>
      </c>
      <c r="Z11" s="249">
        <v>0.53184000000000009</v>
      </c>
      <c r="AA11" s="250">
        <f t="shared" si="46"/>
        <v>3.6316873150108163E-4</v>
      </c>
      <c r="AB11" s="261">
        <v>84818.29816971111</v>
      </c>
      <c r="AC11" s="261">
        <f t="shared" si="47"/>
        <v>68602.466476083559</v>
      </c>
      <c r="AD11" s="261"/>
      <c r="AE11" s="251">
        <f t="shared" si="14"/>
        <v>16215.831693627551</v>
      </c>
      <c r="AF11" s="249">
        <v>2.8799999999999999E-2</v>
      </c>
      <c r="AG11" s="250">
        <f t="shared" si="48"/>
        <v>1.9868117445285719E-5</v>
      </c>
      <c r="AH11" s="261">
        <v>85515.655904305779</v>
      </c>
      <c r="AI11" s="261">
        <f t="shared" si="49"/>
        <v>67519.258266083561</v>
      </c>
      <c r="AJ11" s="261"/>
      <c r="AK11" s="251">
        <f t="shared" si="15"/>
        <v>17996.397638222217</v>
      </c>
      <c r="AL11" s="249">
        <v>1.44E-2</v>
      </c>
      <c r="AM11" s="250">
        <f t="shared" si="50"/>
        <v>9.6403398736635207E-6</v>
      </c>
      <c r="AN11" s="261">
        <v>90051.73200722973</v>
      </c>
      <c r="AO11" s="261">
        <v>67517.651698326095</v>
      </c>
      <c r="AP11" s="261">
        <v>2537.8431183408325</v>
      </c>
      <c r="AQ11" s="251">
        <f t="shared" si="16"/>
        <v>19996.237190562802</v>
      </c>
      <c r="AR11" s="249">
        <v>2.1024000000000003</v>
      </c>
      <c r="AS11" s="250">
        <f t="shared" si="51"/>
        <v>1.5931586687143672E-3</v>
      </c>
      <c r="AT11" s="261">
        <v>90472.092607378712</v>
      </c>
      <c r="AU11" s="261">
        <f t="shared" si="52"/>
        <v>64778.651698326095</v>
      </c>
      <c r="AV11" s="261">
        <v>8792.4502938323021</v>
      </c>
      <c r="AW11" s="251">
        <f t="shared" si="17"/>
        <v>16900.990615220315</v>
      </c>
      <c r="AX11" s="249"/>
      <c r="AY11" s="250">
        <f t="shared" si="53"/>
        <v>0</v>
      </c>
      <c r="AZ11" s="261">
        <v>0</v>
      </c>
      <c r="BA11" s="261">
        <f t="shared" si="18"/>
        <v>63003.651698326095</v>
      </c>
      <c r="BB11" s="261"/>
      <c r="BC11" s="251">
        <f t="shared" si="19"/>
        <v>-63003.651698326095</v>
      </c>
      <c r="BD11" s="249"/>
      <c r="BE11" s="250">
        <f t="shared" si="54"/>
        <v>0</v>
      </c>
      <c r="BF11" s="261">
        <v>0</v>
      </c>
      <c r="BG11" s="261">
        <f t="shared" si="20"/>
        <v>64245.651698326095</v>
      </c>
      <c r="BH11" s="261"/>
      <c r="BI11" s="251">
        <f t="shared" si="21"/>
        <v>-64245.651698326095</v>
      </c>
      <c r="BJ11" s="249">
        <v>8.6400000000000005E-2</v>
      </c>
      <c r="BK11" s="250">
        <f t="shared" si="55"/>
        <v>6.1106910219281411E-5</v>
      </c>
      <c r="BL11" s="261">
        <v>84423.495370370365</v>
      </c>
      <c r="BM11" s="261">
        <f t="shared" si="22"/>
        <v>64245.651698326095</v>
      </c>
      <c r="BN11" s="261">
        <v>2379.6296296296296</v>
      </c>
      <c r="BO11" s="251">
        <f t="shared" si="23"/>
        <v>17798.214042414642</v>
      </c>
      <c r="BP11" s="249">
        <v>-0.15911999999999998</v>
      </c>
      <c r="BQ11" s="250">
        <f t="shared" si="56"/>
        <v>-9.9720138219638196E-5</v>
      </c>
      <c r="BR11" s="261">
        <v>85404.537456008024</v>
      </c>
      <c r="BS11" s="261">
        <f t="shared" si="2"/>
        <v>66255.651698326095</v>
      </c>
      <c r="BT11" s="261">
        <v>5770.1734539969857</v>
      </c>
      <c r="BU11" s="251">
        <f t="shared" si="24"/>
        <v>13378.712303684943</v>
      </c>
      <c r="BV11" s="94"/>
      <c r="BW11" s="249">
        <v>0</v>
      </c>
      <c r="BX11" s="250">
        <f t="shared" si="57"/>
        <v>0</v>
      </c>
      <c r="BY11" s="261">
        <v>0</v>
      </c>
      <c r="BZ11" s="261"/>
      <c r="CA11" s="261"/>
      <c r="CB11" s="251">
        <f t="shared" si="25"/>
        <v>0</v>
      </c>
      <c r="CC11" s="249"/>
      <c r="CD11" s="250">
        <f t="shared" si="58"/>
        <v>0</v>
      </c>
      <c r="CE11" s="261"/>
      <c r="CF11" s="261"/>
      <c r="CG11" s="261"/>
      <c r="CH11" s="251">
        <f t="shared" si="26"/>
        <v>0</v>
      </c>
      <c r="CI11" s="249"/>
      <c r="CJ11" s="250">
        <f t="shared" si="60"/>
        <v>0</v>
      </c>
      <c r="CK11" s="261"/>
      <c r="CL11" s="261"/>
      <c r="CM11" s="261"/>
      <c r="CN11" s="251">
        <f t="shared" si="28"/>
        <v>0</v>
      </c>
      <c r="CO11" s="249">
        <v>0</v>
      </c>
      <c r="CP11" s="250">
        <f t="shared" si="61"/>
        <v>0</v>
      </c>
      <c r="CQ11" s="261">
        <v>0</v>
      </c>
      <c r="CR11" s="261"/>
      <c r="CS11" s="261"/>
      <c r="CT11" s="251">
        <f t="shared" si="29"/>
        <v>0</v>
      </c>
      <c r="CU11" s="249">
        <v>-2.0160000000000001E-2</v>
      </c>
      <c r="CV11" s="250">
        <f t="shared" si="62"/>
        <v>-1.1797999898654284E-5</v>
      </c>
      <c r="CW11" s="261">
        <v>112564.48412698413</v>
      </c>
      <c r="CX11" s="261"/>
      <c r="CY11" s="261"/>
      <c r="CZ11" s="251">
        <f t="shared" si="30"/>
        <v>112564.48412698413</v>
      </c>
      <c r="DA11" s="249">
        <v>0</v>
      </c>
      <c r="DB11" s="250">
        <f t="shared" si="3"/>
        <v>0</v>
      </c>
      <c r="DC11" s="261">
        <v>0</v>
      </c>
      <c r="DD11" s="261"/>
      <c r="DE11" s="261"/>
      <c r="DF11" s="251">
        <f t="shared" si="31"/>
        <v>0</v>
      </c>
      <c r="DG11" s="249">
        <v>-1.464E-2</v>
      </c>
      <c r="DH11" s="250">
        <f t="shared" si="4"/>
        <v>-1.4779251059403698E-5</v>
      </c>
      <c r="DI11" s="261">
        <v>84423.497267759565</v>
      </c>
      <c r="DJ11" s="261">
        <f t="shared" si="32"/>
        <v>0</v>
      </c>
      <c r="DK11" s="261"/>
      <c r="DL11" s="251">
        <f t="shared" si="33"/>
        <v>84423.497267759565</v>
      </c>
      <c r="DM11" s="249">
        <v>-2.6400000000000009E-3</v>
      </c>
      <c r="DN11" s="250">
        <f t="shared" si="5"/>
        <v>-2.4174877974642459E-6</v>
      </c>
      <c r="DO11" s="261">
        <v>82886.363636363589</v>
      </c>
      <c r="DP11" s="261">
        <f t="shared" si="41"/>
        <v>0</v>
      </c>
      <c r="DQ11" s="261"/>
      <c r="DR11" s="251">
        <f t="shared" si="34"/>
        <v>82886.363636363589</v>
      </c>
      <c r="DS11" s="249">
        <v>0</v>
      </c>
      <c r="DT11" s="250">
        <f t="shared" si="6"/>
        <v>0</v>
      </c>
      <c r="DU11" s="261">
        <v>0</v>
      </c>
      <c r="DV11" s="261">
        <f t="shared" ref="DV11" si="65">DP11</f>
        <v>0</v>
      </c>
      <c r="DW11" s="261"/>
      <c r="DX11" s="251">
        <f t="shared" si="35"/>
        <v>0</v>
      </c>
      <c r="DY11" s="249">
        <f>'Net NR'!DD11</f>
        <v>0</v>
      </c>
      <c r="DZ11" s="250">
        <f t="shared" si="7"/>
        <v>0</v>
      </c>
      <c r="EA11" s="261">
        <f>'Net NR'!DF11</f>
        <v>0</v>
      </c>
      <c r="EB11" s="261">
        <f t="shared" ref="EB11:EB21" si="66">DV11</f>
        <v>0</v>
      </c>
      <c r="EC11" s="261">
        <f>'Net NR'!DG11</f>
        <v>0</v>
      </c>
      <c r="ED11" s="251">
        <f t="shared" si="37"/>
        <v>0</v>
      </c>
      <c r="EE11" s="249">
        <f>'Net NR'!DI11</f>
        <v>0</v>
      </c>
      <c r="EF11" s="250">
        <f t="shared" si="8"/>
        <v>0</v>
      </c>
      <c r="EG11" s="261">
        <f>'Net NR'!DK11</f>
        <v>0</v>
      </c>
      <c r="EH11" s="261">
        <f t="shared" ref="EH11:EH21" si="67">EB11</f>
        <v>0</v>
      </c>
      <c r="EI11" s="261">
        <f>'Net NR'!DL11</f>
        <v>0</v>
      </c>
      <c r="EJ11" s="251">
        <f t="shared" si="39"/>
        <v>0</v>
      </c>
      <c r="EK11" s="249"/>
      <c r="EL11" s="250">
        <f t="shared" si="9"/>
        <v>0</v>
      </c>
      <c r="EM11" s="261"/>
      <c r="EN11" s="261"/>
      <c r="EO11" s="261"/>
      <c r="EP11" s="251">
        <f t="shared" si="40"/>
        <v>0</v>
      </c>
      <c r="EQ11" s="94"/>
    </row>
    <row r="12" spans="1:148">
      <c r="A12" s="103" t="s">
        <v>128</v>
      </c>
      <c r="B12" s="249">
        <v>47.059199999999898</v>
      </c>
      <c r="C12" s="250">
        <f t="shared" si="42"/>
        <v>3.7631728382137665E-2</v>
      </c>
      <c r="D12" s="261">
        <v>92439.363559856793</v>
      </c>
      <c r="E12" s="261">
        <v>69270.606386394938</v>
      </c>
      <c r="F12" s="261">
        <v>18218.6026884436</v>
      </c>
      <c r="G12" s="251">
        <f t="shared" si="10"/>
        <v>4950.1544850182545</v>
      </c>
      <c r="H12" s="249">
        <v>43.76159999999993</v>
      </c>
      <c r="I12" s="250">
        <f t="shared" si="43"/>
        <v>3.2381295813941002E-2</v>
      </c>
      <c r="J12" s="261">
        <v>92297.320760497649</v>
      </c>
      <c r="K12" s="261">
        <f>E12-($E$6-$K$6)</f>
        <v>68130.59669951121</v>
      </c>
      <c r="L12" s="261">
        <v>18257.882303037</v>
      </c>
      <c r="M12" s="251">
        <f t="shared" si="11"/>
        <v>5908.841757949438</v>
      </c>
      <c r="N12" s="249">
        <v>63.763199999999934</v>
      </c>
      <c r="O12" s="250">
        <f t="shared" si="44"/>
        <v>4.260313788915767E-2</v>
      </c>
      <c r="P12" s="261">
        <v>92275.135117111611</v>
      </c>
      <c r="Q12" s="261">
        <f t="shared" si="64"/>
        <v>68294.161286195726</v>
      </c>
      <c r="R12" s="261">
        <v>18186.328250454942</v>
      </c>
      <c r="S12" s="251">
        <f t="shared" si="12"/>
        <v>5794.6455804609432</v>
      </c>
      <c r="T12" s="249">
        <v>60.134399999999964</v>
      </c>
      <c r="U12" s="250">
        <f t="shared" si="45"/>
        <v>4.2551065391037181E-2</v>
      </c>
      <c r="V12" s="261">
        <v>90338.522681191112</v>
      </c>
      <c r="W12" s="261">
        <f t="shared" si="63"/>
        <v>68497.82303119573</v>
      </c>
      <c r="X12" s="261">
        <v>15608.677700614227</v>
      </c>
      <c r="Y12" s="251">
        <f t="shared" si="13"/>
        <v>6232.0219493811546</v>
      </c>
      <c r="Z12" s="249">
        <v>54.777599999999943</v>
      </c>
      <c r="AA12" s="250">
        <f t="shared" si="46"/>
        <v>3.740506826615829E-2</v>
      </c>
      <c r="AB12" s="261">
        <v>90374.197866135946</v>
      </c>
      <c r="AC12" s="261">
        <f t="shared" si="47"/>
        <v>68680.179679417648</v>
      </c>
      <c r="AD12" s="261">
        <v>14771.437613770042</v>
      </c>
      <c r="AE12" s="251">
        <f t="shared" si="14"/>
        <v>6922.5805729482563</v>
      </c>
      <c r="AF12" s="249">
        <v>78.998399999999833</v>
      </c>
      <c r="AG12" s="250">
        <f t="shared" si="48"/>
        <v>5.4498246152418613E-2</v>
      </c>
      <c r="AH12" s="261">
        <v>90927.170588396097</v>
      </c>
      <c r="AI12" s="261">
        <f t="shared" si="49"/>
        <v>67596.971469417651</v>
      </c>
      <c r="AJ12" s="261">
        <v>14518.836115798906</v>
      </c>
      <c r="AK12" s="251">
        <f t="shared" si="15"/>
        <v>8811.3630031795401</v>
      </c>
      <c r="AL12" s="249">
        <v>61.761599999999937</v>
      </c>
      <c r="AM12" s="250">
        <f t="shared" si="50"/>
        <v>4.13474177181428E-2</v>
      </c>
      <c r="AN12" s="261">
        <v>90479.777781373312</v>
      </c>
      <c r="AO12" s="261">
        <v>67595.170715193788</v>
      </c>
      <c r="AP12" s="261">
        <v>11820.234958648371</v>
      </c>
      <c r="AQ12" s="251">
        <f t="shared" si="16"/>
        <v>11064.372107531153</v>
      </c>
      <c r="AR12" s="249">
        <v>39.369599999999977</v>
      </c>
      <c r="AS12" s="250">
        <f t="shared" si="51"/>
        <v>2.9833532878527923E-2</v>
      </c>
      <c r="AT12" s="261">
        <v>90537.31496397662</v>
      </c>
      <c r="AU12" s="261">
        <f t="shared" si="52"/>
        <v>64856.170715193788</v>
      </c>
      <c r="AV12" s="261">
        <v>8879.3496811186196</v>
      </c>
      <c r="AW12" s="251">
        <f t="shared" si="17"/>
        <v>16801.794567664212</v>
      </c>
      <c r="AX12" s="249">
        <v>41.630399999999895</v>
      </c>
      <c r="AY12" s="250">
        <f t="shared" si="53"/>
        <v>3.6781879122187E-2</v>
      </c>
      <c r="AZ12" s="261">
        <v>90131.018198240155</v>
      </c>
      <c r="BA12" s="261">
        <f t="shared" si="18"/>
        <v>63081.170715193788</v>
      </c>
      <c r="BB12" s="261">
        <v>8492.3601502748061</v>
      </c>
      <c r="BC12" s="251">
        <f t="shared" si="19"/>
        <v>18557.487332771561</v>
      </c>
      <c r="BD12" s="311">
        <v>90.230399999999719</v>
      </c>
      <c r="BE12" s="312">
        <f t="shared" si="54"/>
        <v>6.759732175998602E-2</v>
      </c>
      <c r="BF12" s="284">
        <v>90404.629814342465</v>
      </c>
      <c r="BG12" s="261">
        <f t="shared" si="20"/>
        <v>64323.170715193788</v>
      </c>
      <c r="BH12" s="284">
        <v>17836.431513104315</v>
      </c>
      <c r="BI12" s="285">
        <f t="shared" si="21"/>
        <v>8245.0275860443617</v>
      </c>
      <c r="BJ12" s="311">
        <v>68.428799999999882</v>
      </c>
      <c r="BK12" s="312">
        <f t="shared" si="55"/>
        <v>4.8396672893670785E-2</v>
      </c>
      <c r="BL12" s="284">
        <v>90254.058963477713</v>
      </c>
      <c r="BM12" s="261">
        <f t="shared" si="22"/>
        <v>64323.170715193788</v>
      </c>
      <c r="BN12" s="284">
        <v>17830.375368266054</v>
      </c>
      <c r="BO12" s="285">
        <f t="shared" si="23"/>
        <v>8100.5128800178718</v>
      </c>
      <c r="BP12" s="311">
        <v>78.304499999999777</v>
      </c>
      <c r="BQ12" s="312">
        <f t="shared" si="56"/>
        <v>4.9073250145925326E-2</v>
      </c>
      <c r="BR12" s="284">
        <v>90312.351652842786</v>
      </c>
      <c r="BS12" s="261">
        <f t="shared" si="2"/>
        <v>66333.170715193788</v>
      </c>
      <c r="BT12" s="284">
        <v>17313.620928554556</v>
      </c>
      <c r="BU12" s="285">
        <f t="shared" si="24"/>
        <v>6665.5600090944426</v>
      </c>
      <c r="BV12" s="94"/>
      <c r="BW12" s="249">
        <v>104.0255999999998</v>
      </c>
      <c r="BX12" s="250">
        <f t="shared" si="57"/>
        <v>5.2582186643449033E-2</v>
      </c>
      <c r="BY12" s="261">
        <v>90402.436707887813</v>
      </c>
      <c r="BZ12" s="261">
        <f>BS12+1758</f>
        <v>68091.170715193788</v>
      </c>
      <c r="CA12" s="261">
        <v>17266.589474129454</v>
      </c>
      <c r="CB12" s="251">
        <f t="shared" si="25"/>
        <v>5044.6765185645709</v>
      </c>
      <c r="CC12" s="249">
        <v>104.54399999999954</v>
      </c>
      <c r="CD12" s="250">
        <f t="shared" si="58"/>
        <v>5.0877620558805396E-2</v>
      </c>
      <c r="CE12" s="261">
        <v>90209.062500000771</v>
      </c>
      <c r="CF12" s="261">
        <f t="shared" ref="CF12:CF16" si="68">BZ12</f>
        <v>68091.170715193788</v>
      </c>
      <c r="CG12" s="261">
        <v>17040.626530456146</v>
      </c>
      <c r="CH12" s="251">
        <f t="shared" si="26"/>
        <v>5077.2652543508375</v>
      </c>
      <c r="CI12" s="249">
        <v>114.76799999999953</v>
      </c>
      <c r="CJ12" s="250">
        <f t="shared" si="60"/>
        <v>5.4316370590339454E-2</v>
      </c>
      <c r="CK12" s="261">
        <v>90211.346891120615</v>
      </c>
      <c r="CL12" s="261">
        <f t="shared" si="27"/>
        <v>69851.170715193788</v>
      </c>
      <c r="CM12" s="261">
        <v>17133.677331660503</v>
      </c>
      <c r="CN12" s="251">
        <f t="shared" si="28"/>
        <v>3226.4988442663234</v>
      </c>
      <c r="CO12" s="249">
        <v>83.001599999999854</v>
      </c>
      <c r="CP12" s="250">
        <f t="shared" si="61"/>
        <v>5.4315488971061018E-2</v>
      </c>
      <c r="CQ12" s="261">
        <v>90186.284360783742</v>
      </c>
      <c r="CR12" s="261">
        <f t="shared" ref="CR12:CR16" si="69">CL12+810</f>
        <v>70661.170715193788</v>
      </c>
      <c r="CS12" s="261">
        <v>16432.26889602124</v>
      </c>
      <c r="CT12" s="251">
        <f t="shared" si="29"/>
        <v>3092.8447495687142</v>
      </c>
      <c r="CU12" s="249">
        <v>104.44379999999957</v>
      </c>
      <c r="CV12" s="250">
        <f t="shared" si="62"/>
        <v>6.1122417748763057E-2</v>
      </c>
      <c r="CW12" s="261">
        <v>90191.575277805634</v>
      </c>
      <c r="CX12" s="261">
        <f>CR12+1881</f>
        <v>72542.170715193788</v>
      </c>
      <c r="CY12" s="261">
        <v>17089.802937082008</v>
      </c>
      <c r="CZ12" s="251">
        <f t="shared" si="30"/>
        <v>559.6016255298382</v>
      </c>
      <c r="DA12" s="249">
        <v>91.209599999999526</v>
      </c>
      <c r="DB12" s="250">
        <f t="shared" si="3"/>
        <v>5.8217192942689296E-2</v>
      </c>
      <c r="DC12" s="261">
        <v>90330.944549697218</v>
      </c>
      <c r="DD12" s="261">
        <f>CX12+4681</f>
        <v>77223.170715193788</v>
      </c>
      <c r="DE12" s="261">
        <v>16593.160478721624</v>
      </c>
      <c r="DF12" s="251">
        <f t="shared" si="31"/>
        <v>-3485.3866442181934</v>
      </c>
      <c r="DG12" s="249">
        <v>102.36960000000002</v>
      </c>
      <c r="DH12" s="250">
        <f t="shared" si="4"/>
        <v>0.10334330732586974</v>
      </c>
      <c r="DI12" s="261">
        <v>90309.58927259699</v>
      </c>
      <c r="DJ12" s="261">
        <f t="shared" si="32"/>
        <v>77223.170715193788</v>
      </c>
      <c r="DK12" s="261">
        <v>13414.963133586516</v>
      </c>
      <c r="DL12" s="251">
        <f t="shared" si="33"/>
        <v>-328.54457618331435</v>
      </c>
      <c r="DM12" s="249">
        <v>54.18719999999999</v>
      </c>
      <c r="DN12" s="250">
        <f t="shared" si="5"/>
        <v>4.9620035901043379E-2</v>
      </c>
      <c r="DO12" s="261">
        <v>90204.726762039863</v>
      </c>
      <c r="DP12" s="261">
        <f t="shared" si="41"/>
        <v>77223.170715193788</v>
      </c>
      <c r="DQ12" s="261">
        <v>12942.245954764216</v>
      </c>
      <c r="DR12" s="251">
        <f t="shared" si="34"/>
        <v>39.310092081859693</v>
      </c>
      <c r="DS12" s="249">
        <v>111.06719999999967</v>
      </c>
      <c r="DT12" s="250">
        <f t="shared" si="6"/>
        <v>8.0233505251936302E-2</v>
      </c>
      <c r="DU12" s="261">
        <v>90284.376485587782</v>
      </c>
      <c r="DV12" s="261">
        <f>DP12</f>
        <v>77223.170715193788</v>
      </c>
      <c r="DW12" s="261">
        <v>13157.947800970975</v>
      </c>
      <c r="DX12" s="251">
        <f t="shared" si="35"/>
        <v>-96.742030576981051</v>
      </c>
      <c r="DY12" s="249">
        <f>'Net NR'!DD12</f>
        <v>42.393599999999886</v>
      </c>
      <c r="DZ12" s="250">
        <f t="shared" si="7"/>
        <v>3.429774776235716E-2</v>
      </c>
      <c r="EA12" s="261">
        <f>'Net NR'!DF12</f>
        <v>90117.194104771086</v>
      </c>
      <c r="EB12" s="261">
        <f t="shared" si="36"/>
        <v>78971</v>
      </c>
      <c r="EC12" s="261">
        <f>'Net NR'!DG12</f>
        <v>7433.02880623493</v>
      </c>
      <c r="ED12" s="251">
        <f t="shared" si="37"/>
        <v>3713.1652985361561</v>
      </c>
      <c r="EE12" s="249">
        <f>'Net NR'!DI12</f>
        <v>44.899199999999858</v>
      </c>
      <c r="EF12" s="250">
        <f t="shared" si="8"/>
        <v>3.2608227573519784E-2</v>
      </c>
      <c r="EG12" s="261">
        <f>'Net NR'!DK12</f>
        <v>90194.627075761164</v>
      </c>
      <c r="EH12" s="261">
        <f t="shared" si="38"/>
        <v>80312</v>
      </c>
      <c r="EI12" s="261">
        <f>'Net NR'!DL12</f>
        <v>2930.8508837574027</v>
      </c>
      <c r="EJ12" s="251">
        <f t="shared" si="39"/>
        <v>6951.776192003761</v>
      </c>
      <c r="EK12" s="249">
        <v>51.695999999999927</v>
      </c>
      <c r="EL12" s="250">
        <f t="shared" si="9"/>
        <v>3.531346381835828E-2</v>
      </c>
      <c r="EM12" s="261">
        <v>90607.205586505937</v>
      </c>
      <c r="EN12" s="261">
        <v>81104</v>
      </c>
      <c r="EO12" s="261">
        <v>11584.651810584977</v>
      </c>
      <c r="EP12" s="251">
        <f t="shared" si="40"/>
        <v>-2081.4462240790399</v>
      </c>
      <c r="EQ12" s="94"/>
    </row>
    <row r="13" spans="1:148">
      <c r="A13" s="103" t="s">
        <v>129</v>
      </c>
      <c r="B13" s="249">
        <v>35.404799999999938</v>
      </c>
      <c r="C13" s="250">
        <f t="shared" si="42"/>
        <v>2.8312079615121125E-2</v>
      </c>
      <c r="D13" s="261">
        <v>146666.13061541138</v>
      </c>
      <c r="E13" s="261">
        <f>E6</f>
        <v>67977.34462517238</v>
      </c>
      <c r="F13" s="261">
        <v>63705.369645147075</v>
      </c>
      <c r="G13" s="251">
        <f t="shared" si="10"/>
        <v>14983.41634509193</v>
      </c>
      <c r="H13" s="249">
        <v>16.439200000000007</v>
      </c>
      <c r="I13" s="250">
        <f t="shared" si="43"/>
        <v>1.2164148434804485E-2</v>
      </c>
      <c r="J13" s="261">
        <v>86510.355259164644</v>
      </c>
      <c r="K13" s="261">
        <f t="shared" ref="K13:K19" si="70">E13-($E$6-$K$6)</f>
        <v>66837.334938288652</v>
      </c>
      <c r="L13" s="261">
        <v>3538.3785206372368</v>
      </c>
      <c r="M13" s="251">
        <f t="shared" si="11"/>
        <v>16134.641800238755</v>
      </c>
      <c r="N13" s="249">
        <v>9.5096000000000167</v>
      </c>
      <c r="O13" s="250">
        <f t="shared" si="44"/>
        <v>6.3538028215449488E-3</v>
      </c>
      <c r="P13" s="261">
        <v>119355.84275415825</v>
      </c>
      <c r="Q13" s="261">
        <f t="shared" si="64"/>
        <v>67000.899524973167</v>
      </c>
      <c r="R13" s="261">
        <v>35864.157509773519</v>
      </c>
      <c r="S13" s="251">
        <f t="shared" si="12"/>
        <v>16490.785719411564</v>
      </c>
      <c r="T13" s="249">
        <v>30.103999999999935</v>
      </c>
      <c r="U13" s="250">
        <f t="shared" si="45"/>
        <v>2.1301572353457945E-2</v>
      </c>
      <c r="V13" s="261">
        <v>115997.58975227571</v>
      </c>
      <c r="W13" s="261">
        <f t="shared" si="63"/>
        <v>67204.561269973172</v>
      </c>
      <c r="X13" s="261">
        <v>32616.396555358249</v>
      </c>
      <c r="Y13" s="251">
        <f t="shared" si="13"/>
        <v>16176.631926944294</v>
      </c>
      <c r="Z13" s="249">
        <v>43.959791999999972</v>
      </c>
      <c r="AA13" s="250">
        <f t="shared" si="46"/>
        <v>3.0018091714973272E-2</v>
      </c>
      <c r="AB13" s="261">
        <v>116420.81884302576</v>
      </c>
      <c r="AC13" s="261">
        <f t="shared" si="47"/>
        <v>67386.917918195089</v>
      </c>
      <c r="AD13" s="261">
        <v>31799.416858229997</v>
      </c>
      <c r="AE13" s="251">
        <f t="shared" si="14"/>
        <v>17234.484066600671</v>
      </c>
      <c r="AF13" s="249">
        <v>12.604142400000015</v>
      </c>
      <c r="AG13" s="250">
        <f t="shared" si="48"/>
        <v>8.6951590798717247E-3</v>
      </c>
      <c r="AH13" s="261">
        <v>84561.643905021236</v>
      </c>
      <c r="AI13" s="261">
        <f t="shared" si="49"/>
        <v>66303.709708195092</v>
      </c>
      <c r="AJ13" s="261">
        <v>-804.3814740635205</v>
      </c>
      <c r="AK13" s="251">
        <f t="shared" si="15"/>
        <v>19062.315670889664</v>
      </c>
      <c r="AL13" s="249">
        <v>19.635999999999989</v>
      </c>
      <c r="AM13" s="250">
        <f t="shared" si="50"/>
        <v>1.3145674566615055E-2</v>
      </c>
      <c r="AN13" s="261">
        <v>84349.481763233387</v>
      </c>
      <c r="AO13" s="261">
        <f>AI13</f>
        <v>66303.709708195092</v>
      </c>
      <c r="AP13" s="261">
        <v>-1330.5854602337315</v>
      </c>
      <c r="AQ13" s="251">
        <f t="shared" si="16"/>
        <v>19376.357515272026</v>
      </c>
      <c r="AR13" s="249">
        <v>12.438400000000021</v>
      </c>
      <c r="AS13" s="250">
        <f t="shared" si="51"/>
        <v>9.4255825651335685E-3</v>
      </c>
      <c r="AT13" s="261">
        <v>84329.913366894529</v>
      </c>
      <c r="AU13" s="261">
        <f t="shared" si="52"/>
        <v>63564.709708195092</v>
      </c>
      <c r="AV13" s="261">
        <v>-1974.7021785130642</v>
      </c>
      <c r="AW13" s="251">
        <f t="shared" si="17"/>
        <v>22739.9058372125</v>
      </c>
      <c r="AX13" s="249">
        <v>20.998400000000043</v>
      </c>
      <c r="AY13" s="250">
        <f t="shared" si="53"/>
        <v>1.85528030131667E-2</v>
      </c>
      <c r="AZ13" s="261">
        <v>84549.700929594532</v>
      </c>
      <c r="BA13" s="261">
        <f t="shared" si="18"/>
        <v>61789.709708195092</v>
      </c>
      <c r="BB13" s="261">
        <v>-1385.4960377933523</v>
      </c>
      <c r="BC13" s="251">
        <f t="shared" si="19"/>
        <v>24145.487259192792</v>
      </c>
      <c r="BD13" s="249">
        <v>58.204799999999956</v>
      </c>
      <c r="BE13" s="250">
        <f t="shared" si="54"/>
        <v>4.3604911355548059E-2</v>
      </c>
      <c r="BF13" s="261">
        <v>84456.374560173994</v>
      </c>
      <c r="BG13" s="261">
        <f t="shared" si="20"/>
        <v>63031.709708195092</v>
      </c>
      <c r="BH13" s="261">
        <v>244.15202869866371</v>
      </c>
      <c r="BI13" s="251">
        <f t="shared" si="21"/>
        <v>21180.512823280238</v>
      </c>
      <c r="BJ13" s="249">
        <v>6.2640000000000029</v>
      </c>
      <c r="BK13" s="250">
        <f t="shared" si="55"/>
        <v>4.4302509908979038E-3</v>
      </c>
      <c r="BL13" s="261">
        <v>84006.580459770077</v>
      </c>
      <c r="BM13" s="261">
        <f t="shared" si="22"/>
        <v>63031.709708195092</v>
      </c>
      <c r="BN13" s="261">
        <v>1063.6893358876123</v>
      </c>
      <c r="BO13" s="251">
        <f t="shared" si="23"/>
        <v>19911.181415687373</v>
      </c>
      <c r="BP13" s="249">
        <v>8.0380000000000162</v>
      </c>
      <c r="BQ13" s="250">
        <f t="shared" si="56"/>
        <v>5.0373961224827396E-3</v>
      </c>
      <c r="BR13" s="261">
        <v>83958.457327693235</v>
      </c>
      <c r="BS13" s="261">
        <f t="shared" si="2"/>
        <v>65041.709708195092</v>
      </c>
      <c r="BT13" s="261">
        <v>1157.892510574768</v>
      </c>
      <c r="BU13" s="251">
        <f t="shared" si="24"/>
        <v>17758.855108923373</v>
      </c>
      <c r="BV13" s="94"/>
      <c r="BW13" s="249">
        <v>17.18</v>
      </c>
      <c r="BX13" s="250">
        <f t="shared" si="57"/>
        <v>8.6840351464875579E-3</v>
      </c>
      <c r="BY13" s="261">
        <v>84178.525029103417</v>
      </c>
      <c r="BZ13" s="261">
        <f>BS13+1758</f>
        <v>66799.709708195092</v>
      </c>
      <c r="CA13" s="261">
        <v>2787.2380675203694</v>
      </c>
      <c r="CB13" s="251">
        <f t="shared" si="25"/>
        <v>14591.577253387955</v>
      </c>
      <c r="CC13" s="249">
        <v>7.5376000000000065</v>
      </c>
      <c r="CD13" s="250">
        <f t="shared" si="58"/>
        <v>3.6682655410549968E-3</v>
      </c>
      <c r="CE13" s="261">
        <v>84076.139620038142</v>
      </c>
      <c r="CF13" s="261">
        <f t="shared" si="68"/>
        <v>66799.709708195092</v>
      </c>
      <c r="CG13" s="261">
        <v>-3258.5451602632065</v>
      </c>
      <c r="CH13" s="251">
        <f t="shared" si="26"/>
        <v>20534.975072106256</v>
      </c>
      <c r="CI13" s="249">
        <v>15.76800000000001</v>
      </c>
      <c r="CJ13" s="250">
        <f t="shared" si="60"/>
        <v>7.4625377410818044E-3</v>
      </c>
      <c r="CK13" s="261">
        <v>84115.592338914183</v>
      </c>
      <c r="CL13" s="261">
        <f t="shared" si="27"/>
        <v>68559.709708195092</v>
      </c>
      <c r="CM13" s="261">
        <v>1621.4967021816333</v>
      </c>
      <c r="CN13" s="251">
        <f t="shared" si="28"/>
        <v>13934.385928537456</v>
      </c>
      <c r="CO13" s="249">
        <v>10.957600000000022</v>
      </c>
      <c r="CP13" s="250">
        <f t="shared" si="61"/>
        <v>7.1705533622159149E-3</v>
      </c>
      <c r="CQ13" s="261">
        <v>84286.089107103529</v>
      </c>
      <c r="CR13" s="261">
        <f t="shared" si="69"/>
        <v>69369.709708195092</v>
      </c>
      <c r="CS13" s="261">
        <v>824.08282835657371</v>
      </c>
      <c r="CT13" s="251">
        <f t="shared" si="29"/>
        <v>14092.296570551864</v>
      </c>
      <c r="CU13" s="249">
        <v>43.555200000000021</v>
      </c>
      <c r="CV13" s="250">
        <f t="shared" si="62"/>
        <v>2.5489297876283099E-2</v>
      </c>
      <c r="CW13" s="261">
        <v>84431.978500844925</v>
      </c>
      <c r="CX13" s="261">
        <f>CR13+1881</f>
        <v>71250.709708195092</v>
      </c>
      <c r="CY13" s="261">
        <v>613.00051428991014</v>
      </c>
      <c r="CZ13" s="251">
        <f t="shared" si="30"/>
        <v>12568.268278359923</v>
      </c>
      <c r="DA13" s="249">
        <v>16.193600000000004</v>
      </c>
      <c r="DB13" s="250">
        <f t="shared" si="3"/>
        <v>1.0336038483194077E-2</v>
      </c>
      <c r="DC13" s="261">
        <v>84029.335663471866</v>
      </c>
      <c r="DD13" s="261">
        <f>CX13+4681</f>
        <v>75931.709708195092</v>
      </c>
      <c r="DE13" s="261">
        <v>-312.93165201067023</v>
      </c>
      <c r="DF13" s="251">
        <f t="shared" si="31"/>
        <v>8410.5576072874428</v>
      </c>
      <c r="DG13" s="249">
        <v>14.972800000000015</v>
      </c>
      <c r="DH13" s="250">
        <f t="shared" si="4"/>
        <v>1.5115216547967207E-2</v>
      </c>
      <c r="DI13" s="261">
        <v>83802.111161572946</v>
      </c>
      <c r="DJ13" s="261">
        <f t="shared" si="32"/>
        <v>75931.709708195092</v>
      </c>
      <c r="DK13" s="261">
        <v>1266.4231139132291</v>
      </c>
      <c r="DL13" s="251">
        <f t="shared" si="33"/>
        <v>6603.9783394646247</v>
      </c>
      <c r="DM13" s="249">
        <v>9.9176096000000218</v>
      </c>
      <c r="DN13" s="250">
        <f t="shared" si="5"/>
        <v>9.0817046166720861E-3</v>
      </c>
      <c r="DO13" s="261">
        <v>83688.37486807286</v>
      </c>
      <c r="DP13" s="261">
        <f t="shared" si="41"/>
        <v>75931.709708195092</v>
      </c>
      <c r="DQ13" s="261">
        <v>1116.9536255994574</v>
      </c>
      <c r="DR13" s="251">
        <f t="shared" si="34"/>
        <v>6639.7115342783109</v>
      </c>
      <c r="DS13" s="249">
        <v>16.84800000000002</v>
      </c>
      <c r="DT13" s="250">
        <f t="shared" si="6"/>
        <v>1.2170776759336945E-2</v>
      </c>
      <c r="DU13" s="261">
        <v>83752.381885090144</v>
      </c>
      <c r="DV13" s="261">
        <f>DP13</f>
        <v>75931.709708195092</v>
      </c>
      <c r="DW13" s="261">
        <v>1034.2705365622037</v>
      </c>
      <c r="DX13" s="251">
        <f t="shared" si="35"/>
        <v>6786.4016403328478</v>
      </c>
      <c r="DY13" s="249">
        <f>'Net NR'!DD13</f>
        <v>25.772863999999945</v>
      </c>
      <c r="DZ13" s="250">
        <f t="shared" si="7"/>
        <v>2.0851052719880733E-2</v>
      </c>
      <c r="EA13" s="261">
        <f>'Net NR'!DF13</f>
        <v>84011.486267106608</v>
      </c>
      <c r="EB13" s="261">
        <f t="shared" si="36"/>
        <v>81803</v>
      </c>
      <c r="EC13" s="261">
        <f>'Net NR'!DG13</f>
        <v>-1513.034407041456</v>
      </c>
      <c r="ED13" s="251">
        <f t="shared" si="37"/>
        <v>3721.5206741480633</v>
      </c>
      <c r="EE13" s="249">
        <f>'Net NR'!DI13</f>
        <v>21.304800000000011</v>
      </c>
      <c r="EF13" s="250">
        <f t="shared" si="8"/>
        <v>1.5472698106165072E-2</v>
      </c>
      <c r="EG13" s="261">
        <f>'Net NR'!DK13</f>
        <v>84119.520953024592</v>
      </c>
      <c r="EH13" s="261">
        <f t="shared" si="38"/>
        <v>83144</v>
      </c>
      <c r="EI13" s="261">
        <f>'Net NR'!DL13</f>
        <v>2414.8844391874131</v>
      </c>
      <c r="EJ13" s="251">
        <f t="shared" si="39"/>
        <v>-1439.3634861628211</v>
      </c>
      <c r="EK13" s="249">
        <v>17.297587200000006</v>
      </c>
      <c r="EL13" s="250">
        <f t="shared" si="9"/>
        <v>1.1815957128831987E-2</v>
      </c>
      <c r="EM13" s="261">
        <v>84594.201669930029</v>
      </c>
      <c r="EN13" s="261">
        <v>83936</v>
      </c>
      <c r="EO13" s="261">
        <v>1515.791173464931</v>
      </c>
      <c r="EP13" s="251">
        <f t="shared" si="40"/>
        <v>-857.58950353490172</v>
      </c>
      <c r="EQ13" s="94"/>
    </row>
    <row r="14" spans="1:148">
      <c r="A14" s="103" t="s">
        <v>130</v>
      </c>
      <c r="B14" s="249">
        <v>40.059629999999956</v>
      </c>
      <c r="C14" s="250">
        <f t="shared" si="42"/>
        <v>3.2034397423860481E-2</v>
      </c>
      <c r="D14" s="261">
        <v>106018.28566692308</v>
      </c>
      <c r="E14" s="261">
        <v>68315.290380659586</v>
      </c>
      <c r="F14" s="261">
        <v>19373.971927629678</v>
      </c>
      <c r="G14" s="251">
        <f t="shared" si="10"/>
        <v>18329.023358633818</v>
      </c>
      <c r="H14" s="249">
        <v>35.461334999999977</v>
      </c>
      <c r="I14" s="250">
        <f t="shared" si="43"/>
        <v>2.6239533714312563E-2</v>
      </c>
      <c r="J14" s="261">
        <v>105937.19956270485</v>
      </c>
      <c r="K14" s="261">
        <f t="shared" si="70"/>
        <v>67175.280693775858</v>
      </c>
      <c r="L14" s="261">
        <v>20687.5776858069</v>
      </c>
      <c r="M14" s="251">
        <f t="shared" si="11"/>
        <v>18074.341183122087</v>
      </c>
      <c r="N14" s="249">
        <v>35.489999999999952</v>
      </c>
      <c r="O14" s="250">
        <f t="shared" si="44"/>
        <v>2.3712507585663914E-2</v>
      </c>
      <c r="P14" s="261">
        <v>105952.3312838852</v>
      </c>
      <c r="Q14" s="261">
        <f t="shared" si="64"/>
        <v>67338.845280460373</v>
      </c>
      <c r="R14" s="261">
        <v>20398.17123880182</v>
      </c>
      <c r="S14" s="251">
        <f t="shared" si="12"/>
        <v>18215.314764623006</v>
      </c>
      <c r="T14" s="249">
        <v>26.970839999999992</v>
      </c>
      <c r="U14" s="250">
        <f t="shared" si="45"/>
        <v>1.908455021570352E-2</v>
      </c>
      <c r="V14" s="261">
        <v>103763.9849072067</v>
      </c>
      <c r="W14" s="261">
        <f t="shared" si="63"/>
        <v>67542.507025460378</v>
      </c>
      <c r="X14" s="261">
        <v>17584.435438224453</v>
      </c>
      <c r="Y14" s="251">
        <f t="shared" si="13"/>
        <v>18637.04244352187</v>
      </c>
      <c r="Z14" s="249">
        <v>30.003479999999989</v>
      </c>
      <c r="AA14" s="250">
        <f t="shared" si="46"/>
        <v>2.0487977158953948E-2</v>
      </c>
      <c r="AB14" s="261">
        <v>103709.42795012238</v>
      </c>
      <c r="AC14" s="261">
        <f t="shared" si="47"/>
        <v>67724.863673682295</v>
      </c>
      <c r="AD14" s="261">
        <v>18676.891724324512</v>
      </c>
      <c r="AE14" s="251">
        <f t="shared" si="14"/>
        <v>17307.672552115571</v>
      </c>
      <c r="AF14" s="249">
        <v>32.069700000000005</v>
      </c>
      <c r="AG14" s="250">
        <f t="shared" si="48"/>
        <v>2.2123769653995814E-2</v>
      </c>
      <c r="AH14" s="261">
        <v>103745.1031489592</v>
      </c>
      <c r="AI14" s="261">
        <f t="shared" si="49"/>
        <v>66641.655463682298</v>
      </c>
      <c r="AJ14" s="261">
        <v>19398.272651636071</v>
      </c>
      <c r="AK14" s="251">
        <f t="shared" si="15"/>
        <v>17705.175033640829</v>
      </c>
      <c r="AL14" s="249">
        <v>37.248119999999993</v>
      </c>
      <c r="AM14" s="250">
        <f t="shared" si="50"/>
        <v>2.4936426142708586E-2</v>
      </c>
      <c r="AN14" s="261">
        <v>103683.00035570936</v>
      </c>
      <c r="AO14" s="261">
        <v>66591.598032317634</v>
      </c>
      <c r="AP14" s="261">
        <v>20566.166002727245</v>
      </c>
      <c r="AQ14" s="251">
        <f t="shared" si="16"/>
        <v>16525.23632066448</v>
      </c>
      <c r="AR14" s="249">
        <v>27.194829999999985</v>
      </c>
      <c r="AS14" s="250">
        <f t="shared" si="51"/>
        <v>2.0607724105171948E-2</v>
      </c>
      <c r="AT14" s="261">
        <v>103795.84103113295</v>
      </c>
      <c r="AU14" s="261">
        <f t="shared" si="52"/>
        <v>63852.598032317634</v>
      </c>
      <c r="AV14" s="261">
        <v>19208.753706078751</v>
      </c>
      <c r="AW14" s="251">
        <f t="shared" si="17"/>
        <v>20734.489292736565</v>
      </c>
      <c r="AX14" s="249">
        <v>33.99083999999997</v>
      </c>
      <c r="AY14" s="250">
        <f t="shared" si="53"/>
        <v>3.003206714664286E-2</v>
      </c>
      <c r="AZ14" s="261">
        <v>103740.58893513668</v>
      </c>
      <c r="BA14" s="261">
        <f t="shared" si="18"/>
        <v>62077.598032317634</v>
      </c>
      <c r="BB14" s="261">
        <v>20587.027269699742</v>
      </c>
      <c r="BC14" s="251">
        <f t="shared" si="19"/>
        <v>21075.963633119303</v>
      </c>
      <c r="BD14" s="249">
        <v>27.743039999999972</v>
      </c>
      <c r="BE14" s="250">
        <f t="shared" si="54"/>
        <v>2.0784072790103629E-2</v>
      </c>
      <c r="BF14" s="261">
        <v>103816.525514147</v>
      </c>
      <c r="BG14" s="261">
        <f t="shared" si="20"/>
        <v>63319.598032317634</v>
      </c>
      <c r="BH14" s="261">
        <v>19506.095582892151</v>
      </c>
      <c r="BI14" s="251">
        <f t="shared" si="21"/>
        <v>20990.831898937213</v>
      </c>
      <c r="BJ14" s="249">
        <v>32.993869999999966</v>
      </c>
      <c r="BK14" s="250">
        <f t="shared" si="55"/>
        <v>2.3335109396720368E-2</v>
      </c>
      <c r="BL14" s="261">
        <v>103763.02961731987</v>
      </c>
      <c r="BM14" s="261">
        <f t="shared" si="22"/>
        <v>63319.598032317634</v>
      </c>
      <c r="BN14" s="261">
        <v>19389.493866587956</v>
      </c>
      <c r="BO14" s="251">
        <f t="shared" si="23"/>
        <v>21053.937718414283</v>
      </c>
      <c r="BP14" s="249">
        <v>22.871809999999993</v>
      </c>
      <c r="BQ14" s="250">
        <f t="shared" si="56"/>
        <v>1.433371074995791E-2</v>
      </c>
      <c r="BR14" s="261">
        <v>103881.19130055736</v>
      </c>
      <c r="BS14" s="261">
        <f t="shared" si="2"/>
        <v>65329.598032317634</v>
      </c>
      <c r="BT14" s="261">
        <v>18330.376126769155</v>
      </c>
      <c r="BU14" s="251">
        <f t="shared" si="24"/>
        <v>20221.21714147057</v>
      </c>
      <c r="BV14" s="94"/>
      <c r="BW14" s="249">
        <v>46.556639999999987</v>
      </c>
      <c r="BX14" s="250">
        <f t="shared" si="57"/>
        <v>2.3533148897693153E-2</v>
      </c>
      <c r="BY14" s="261">
        <v>103780.5039195267</v>
      </c>
      <c r="BZ14" s="261">
        <f>BS14+1758</f>
        <v>67087.598032317634</v>
      </c>
      <c r="CA14" s="261">
        <v>19401.809280051144</v>
      </c>
      <c r="CB14" s="251">
        <f t="shared" si="25"/>
        <v>17291.096607157924</v>
      </c>
      <c r="CC14" s="249">
        <v>42.846569999999964</v>
      </c>
      <c r="CD14" s="250">
        <f t="shared" si="58"/>
        <v>2.0851809101491259E-2</v>
      </c>
      <c r="CE14" s="261">
        <v>103735.9391895314</v>
      </c>
      <c r="CF14" s="261">
        <f t="shared" si="68"/>
        <v>67087.598032317634</v>
      </c>
      <c r="CG14" s="261">
        <v>20069.993000606584</v>
      </c>
      <c r="CH14" s="251">
        <f t="shared" si="26"/>
        <v>16578.348156607186</v>
      </c>
      <c r="CI14" s="249">
        <v>37.599119999999957</v>
      </c>
      <c r="CJ14" s="250">
        <f t="shared" si="60"/>
        <v>1.7794574583426131E-2</v>
      </c>
      <c r="CK14" s="261">
        <v>103730.66577090106</v>
      </c>
      <c r="CL14" s="261">
        <f t="shared" si="27"/>
        <v>68847.598032317634</v>
      </c>
      <c r="CM14" s="261">
        <v>19724.167214551853</v>
      </c>
      <c r="CN14" s="251">
        <f t="shared" si="28"/>
        <v>15158.900524031575</v>
      </c>
      <c r="CO14" s="249">
        <v>20.367684999999991</v>
      </c>
      <c r="CP14" s="250">
        <f t="shared" si="61"/>
        <v>1.3328427042172035E-2</v>
      </c>
      <c r="CQ14" s="261">
        <v>103702.49932675219</v>
      </c>
      <c r="CR14" s="261">
        <f t="shared" si="69"/>
        <v>69657.598032317634</v>
      </c>
      <c r="CS14" s="261">
        <v>21713.303696517309</v>
      </c>
      <c r="CT14" s="251">
        <f t="shared" si="29"/>
        <v>12331.597597917251</v>
      </c>
      <c r="CU14" s="249">
        <v>41.909399999999991</v>
      </c>
      <c r="CV14" s="250">
        <f t="shared" si="62"/>
        <v>2.452614568217568E-2</v>
      </c>
      <c r="CW14" s="261">
        <v>103755.42193398131</v>
      </c>
      <c r="CX14" s="261">
        <f>CR14+1881</f>
        <v>71538.598032317634</v>
      </c>
      <c r="CY14" s="261">
        <v>21653.26919497774</v>
      </c>
      <c r="CZ14" s="251">
        <f t="shared" si="30"/>
        <v>10563.55470668594</v>
      </c>
      <c r="DA14" s="249">
        <v>44.675279999999972</v>
      </c>
      <c r="DB14" s="250">
        <f t="shared" si="3"/>
        <v>2.8515303164674332E-2</v>
      </c>
      <c r="DC14" s="261">
        <v>103679.66781629571</v>
      </c>
      <c r="DD14" s="261">
        <f>CX14+4681</f>
        <v>76219.598032317634</v>
      </c>
      <c r="DE14" s="261">
        <v>22508.933351956628</v>
      </c>
      <c r="DF14" s="251">
        <f t="shared" si="31"/>
        <v>4951.1364320214489</v>
      </c>
      <c r="DG14" s="249">
        <v>20.105279999999979</v>
      </c>
      <c r="DH14" s="250">
        <f t="shared" si="4"/>
        <v>2.0296515077842053E-2</v>
      </c>
      <c r="DI14" s="261">
        <v>103793.44928297443</v>
      </c>
      <c r="DJ14" s="261">
        <f t="shared" si="32"/>
        <v>76219.598032317634</v>
      </c>
      <c r="DK14" s="261">
        <v>15176.42281032646</v>
      </c>
      <c r="DL14" s="251">
        <f t="shared" si="33"/>
        <v>12397.428440330334</v>
      </c>
      <c r="DM14" s="249">
        <v>16.061755319999985</v>
      </c>
      <c r="DN14" s="250">
        <f t="shared" si="5"/>
        <v>1.4707991474225903E-2</v>
      </c>
      <c r="DO14" s="261">
        <v>103884.65935116733</v>
      </c>
      <c r="DP14" s="261">
        <f t="shared" si="41"/>
        <v>76219.598032317634</v>
      </c>
      <c r="DQ14" s="261">
        <v>13124.585439146156</v>
      </c>
      <c r="DR14" s="251">
        <f t="shared" si="34"/>
        <v>14540.475879703537</v>
      </c>
      <c r="DS14" s="249">
        <v>55.989959999999989</v>
      </c>
      <c r="DT14" s="250">
        <f t="shared" si="6"/>
        <v>4.0446421173089046E-2</v>
      </c>
      <c r="DU14" s="261">
        <v>103586.3097598212</v>
      </c>
      <c r="DV14" s="261">
        <f>DP14</f>
        <v>76219.598032317634</v>
      </c>
      <c r="DW14" s="261">
        <v>21319.516391867404</v>
      </c>
      <c r="DX14" s="251">
        <f t="shared" si="35"/>
        <v>6047.1953356361664</v>
      </c>
      <c r="DY14" s="249">
        <f>'Net NR'!DD14</f>
        <v>14.292719999999992</v>
      </c>
      <c r="DZ14" s="250">
        <f t="shared" si="7"/>
        <v>1.1563257317094996E-2</v>
      </c>
      <c r="EA14" s="261">
        <f>'Net NR'!DF14</f>
        <v>103858.68260205198</v>
      </c>
      <c r="EB14" s="261">
        <f t="shared" si="36"/>
        <v>78597</v>
      </c>
      <c r="EC14" s="261">
        <f>'Net NR'!DG14</f>
        <v>13276.135683061042</v>
      </c>
      <c r="ED14" s="251">
        <f t="shared" si="37"/>
        <v>11985.546918990938</v>
      </c>
      <c r="EE14" s="249">
        <f>'Net NR'!DI14</f>
        <v>14.138279999999996</v>
      </c>
      <c r="EF14" s="250">
        <f t="shared" si="8"/>
        <v>1.0267983655346745E-2</v>
      </c>
      <c r="EG14" s="261">
        <f>'Net NR'!DK14</f>
        <v>103905.84286065918</v>
      </c>
      <c r="EH14" s="261">
        <f t="shared" si="38"/>
        <v>79938</v>
      </c>
      <c r="EI14" s="261">
        <f>'Net NR'!DL14</f>
        <v>13264.634736332855</v>
      </c>
      <c r="EJ14" s="251">
        <f t="shared" si="39"/>
        <v>10703.208124326322</v>
      </c>
      <c r="EK14" s="249">
        <v>2.14812</v>
      </c>
      <c r="EL14" s="250">
        <f t="shared" si="9"/>
        <v>1.4673777061569927E-3</v>
      </c>
      <c r="EM14" s="261">
        <v>103905.83859374709</v>
      </c>
      <c r="EN14" s="261">
        <v>80730</v>
      </c>
      <c r="EO14" s="261">
        <v>12945.249799824962</v>
      </c>
      <c r="EP14" s="251">
        <f t="shared" si="40"/>
        <v>10230.588793922127</v>
      </c>
      <c r="EQ14" s="94"/>
    </row>
    <row r="15" spans="1:148">
      <c r="A15" s="103" t="s">
        <v>260</v>
      </c>
      <c r="B15" s="249"/>
      <c r="C15" s="250"/>
      <c r="D15" s="261"/>
      <c r="E15" s="261"/>
      <c r="F15" s="261"/>
      <c r="G15" s="251"/>
      <c r="H15" s="249"/>
      <c r="I15" s="250"/>
      <c r="J15" s="261"/>
      <c r="K15" s="261"/>
      <c r="L15" s="261"/>
      <c r="M15" s="251"/>
      <c r="N15" s="249"/>
      <c r="O15" s="250"/>
      <c r="P15" s="261"/>
      <c r="Q15" s="261"/>
      <c r="R15" s="261"/>
      <c r="S15" s="251"/>
      <c r="T15" s="249"/>
      <c r="U15" s="250"/>
      <c r="V15" s="261"/>
      <c r="W15" s="261"/>
      <c r="X15" s="261"/>
      <c r="Y15" s="251"/>
      <c r="Z15" s="249"/>
      <c r="AA15" s="250"/>
      <c r="AB15" s="261"/>
      <c r="AC15" s="261"/>
      <c r="AD15" s="261"/>
      <c r="AE15" s="251"/>
      <c r="AF15" s="249"/>
      <c r="AG15" s="250"/>
      <c r="AH15" s="261"/>
      <c r="AI15" s="261"/>
      <c r="AJ15" s="261"/>
      <c r="AK15" s="251"/>
      <c r="AL15" s="249"/>
      <c r="AM15" s="250"/>
      <c r="AN15" s="261"/>
      <c r="AO15" s="261"/>
      <c r="AP15" s="261"/>
      <c r="AQ15" s="251"/>
      <c r="AR15" s="249"/>
      <c r="AS15" s="250"/>
      <c r="AT15" s="261"/>
      <c r="AU15" s="261"/>
      <c r="AV15" s="261"/>
      <c r="AW15" s="251"/>
      <c r="AX15" s="249"/>
      <c r="AY15" s="250"/>
      <c r="AZ15" s="261"/>
      <c r="BA15" s="261"/>
      <c r="BB15" s="261"/>
      <c r="BC15" s="251"/>
      <c r="BD15" s="249"/>
      <c r="BE15" s="250"/>
      <c r="BF15" s="261"/>
      <c r="BG15" s="261"/>
      <c r="BH15" s="261"/>
      <c r="BI15" s="251"/>
      <c r="BJ15" s="249"/>
      <c r="BK15" s="250"/>
      <c r="BL15" s="261"/>
      <c r="BM15" s="261"/>
      <c r="BN15" s="261"/>
      <c r="BO15" s="251"/>
      <c r="BP15" s="249"/>
      <c r="BQ15" s="250"/>
      <c r="BR15" s="261"/>
      <c r="BS15" s="261"/>
      <c r="BT15" s="261"/>
      <c r="BU15" s="251"/>
      <c r="BV15" s="94"/>
      <c r="BW15" s="249"/>
      <c r="BX15" s="250"/>
      <c r="BY15" s="261"/>
      <c r="BZ15" s="261"/>
      <c r="CA15" s="261"/>
      <c r="CB15" s="251"/>
      <c r="CC15" s="249"/>
      <c r="CD15" s="250"/>
      <c r="CE15" s="261"/>
      <c r="CF15" s="261"/>
      <c r="CG15" s="261"/>
      <c r="CH15" s="251"/>
      <c r="CI15" s="249"/>
      <c r="CJ15" s="250"/>
      <c r="CK15" s="261"/>
      <c r="CL15" s="261"/>
      <c r="CM15" s="261"/>
      <c r="CN15" s="251"/>
      <c r="CO15" s="249"/>
      <c r="CP15" s="250"/>
      <c r="CQ15" s="261"/>
      <c r="CR15" s="261"/>
      <c r="CS15" s="261"/>
      <c r="CT15" s="251"/>
      <c r="CU15" s="249"/>
      <c r="CV15" s="250"/>
      <c r="CW15" s="261"/>
      <c r="CX15" s="261"/>
      <c r="CY15" s="261"/>
      <c r="CZ15" s="251"/>
      <c r="DA15" s="249"/>
      <c r="DB15" s="250"/>
      <c r="DC15" s="261"/>
      <c r="DD15" s="261"/>
      <c r="DE15" s="261"/>
      <c r="DF15" s="251"/>
      <c r="DG15" s="249"/>
      <c r="DH15" s="250"/>
      <c r="DI15" s="261"/>
      <c r="DJ15" s="261"/>
      <c r="DK15" s="261"/>
      <c r="DL15" s="251"/>
      <c r="DM15" s="249"/>
      <c r="DN15" s="250"/>
      <c r="DO15" s="261"/>
      <c r="DP15" s="261"/>
      <c r="DQ15" s="261"/>
      <c r="DR15" s="251"/>
      <c r="DS15" s="249"/>
      <c r="DT15" s="250"/>
      <c r="DU15" s="261"/>
      <c r="DV15" s="261"/>
      <c r="DW15" s="261"/>
      <c r="DX15" s="251"/>
      <c r="DY15" s="249">
        <f>'Net NR'!DD15</f>
        <v>8.6399999999999988</v>
      </c>
      <c r="DZ15" s="250">
        <f t="shared" si="7"/>
        <v>6.9900301146108516E-3</v>
      </c>
      <c r="EA15" s="261">
        <f>'Net NR'!DF15</f>
        <v>112564.66435185187</v>
      </c>
      <c r="EB15" s="261">
        <f t="shared" si="36"/>
        <v>78415</v>
      </c>
      <c r="EC15" s="261">
        <f>'Net NR'!DG15</f>
        <v>18137.622685185186</v>
      </c>
      <c r="ED15" s="251">
        <f t="shared" si="37"/>
        <v>16012.041666666682</v>
      </c>
      <c r="EE15" s="249">
        <f>'Net NR'!DI15</f>
        <v>17.092799999999997</v>
      </c>
      <c r="EF15" s="250">
        <f t="shared" si="8"/>
        <v>1.2413715885108433E-2</v>
      </c>
      <c r="EG15" s="261">
        <f>'Net NR'!DK15</f>
        <v>112340.15491903025</v>
      </c>
      <c r="EH15" s="261">
        <f t="shared" si="38"/>
        <v>79756</v>
      </c>
      <c r="EI15" s="261">
        <f>'Net NR'!DL15</f>
        <v>19810.497402415058</v>
      </c>
      <c r="EJ15" s="251">
        <f t="shared" si="39"/>
        <v>12773.657516615189</v>
      </c>
      <c r="EK15" s="249">
        <v>36.158399999999993</v>
      </c>
      <c r="EL15" s="250">
        <f t="shared" si="9"/>
        <v>2.4699751433954805E-2</v>
      </c>
      <c r="EM15" s="261">
        <v>112395.80346475515</v>
      </c>
      <c r="EN15" s="261">
        <v>80548</v>
      </c>
      <c r="EO15" s="261">
        <v>18964.593842647908</v>
      </c>
      <c r="EP15" s="251">
        <f t="shared" si="40"/>
        <v>12883.209622107246</v>
      </c>
      <c r="EQ15" s="94"/>
      <c r="ER15" s="94"/>
    </row>
    <row r="16" spans="1:148">
      <c r="A16" s="103" t="s">
        <v>131</v>
      </c>
      <c r="B16" s="249">
        <v>51.285000000000053</v>
      </c>
      <c r="C16" s="250">
        <f t="shared" ref="C16:C27" si="71">B16/B$27</f>
        <v>4.1010964701438536E-2</v>
      </c>
      <c r="D16" s="261">
        <v>103743.77075910596</v>
      </c>
      <c r="E16" s="261">
        <f>66646.5254719038+1140</f>
        <v>67786.525471903806</v>
      </c>
      <c r="F16" s="261">
        <v>28259.962823062375</v>
      </c>
      <c r="G16" s="251">
        <f t="shared" si="10"/>
        <v>7697.2824641397783</v>
      </c>
      <c r="H16" s="249">
        <v>102.63000000000025</v>
      </c>
      <c r="I16" s="250">
        <f t="shared" ref="I16:I27" si="72">H16/H$27</f>
        <v>7.5940833730594362E-2</v>
      </c>
      <c r="J16" s="261">
        <v>103960.06574178774</v>
      </c>
      <c r="K16" s="261">
        <f t="shared" si="70"/>
        <v>66646.515785020078</v>
      </c>
      <c r="L16" s="261">
        <v>27666.030079700791</v>
      </c>
      <c r="M16" s="251">
        <f t="shared" si="11"/>
        <v>9647.5198770668685</v>
      </c>
      <c r="N16" s="249">
        <v>150.13500000000022</v>
      </c>
      <c r="O16" s="250">
        <f t="shared" ref="O16:O27" si="73">N16/N$27</f>
        <v>0.10031212528525392</v>
      </c>
      <c r="P16" s="261">
        <v>104045.98356304754</v>
      </c>
      <c r="Q16" s="261">
        <f t="shared" si="64"/>
        <v>66810.080371704593</v>
      </c>
      <c r="R16" s="261">
        <v>27609.844554821615</v>
      </c>
      <c r="S16" s="251">
        <f t="shared" si="12"/>
        <v>9626.0586365213348</v>
      </c>
      <c r="T16" s="249">
        <v>272.20499999999623</v>
      </c>
      <c r="U16" s="250">
        <f t="shared" ref="U16:U27" si="74">T16/T$27</f>
        <v>0.19261209482038771</v>
      </c>
      <c r="V16" s="261">
        <v>101529.78574707059</v>
      </c>
      <c r="W16" s="261">
        <f t="shared" si="63"/>
        <v>67013.742116704598</v>
      </c>
      <c r="X16" s="261">
        <v>24685.641223642193</v>
      </c>
      <c r="Y16" s="251">
        <f t="shared" si="13"/>
        <v>9830.4024067238024</v>
      </c>
      <c r="Z16" s="249">
        <v>212.24999999999966</v>
      </c>
      <c r="AA16" s="250">
        <f t="shared" ref="AA16:AA27" si="75">Z16/Z$27</f>
        <v>0.14493562586699843</v>
      </c>
      <c r="AB16" s="261">
        <v>101493.42520933926</v>
      </c>
      <c r="AC16" s="261">
        <f t="shared" si="47"/>
        <v>67196.098764926515</v>
      </c>
      <c r="AD16" s="261">
        <v>21229.960709928215</v>
      </c>
      <c r="AE16" s="251">
        <f t="shared" si="14"/>
        <v>13067.365734484527</v>
      </c>
      <c r="AF16" s="249">
        <v>241.10999999999925</v>
      </c>
      <c r="AG16" s="250">
        <f t="shared" ref="AG16:AG27" si="76">AF16/AF$27</f>
        <v>0.16633339573725084</v>
      </c>
      <c r="AH16" s="261">
        <v>101448.97941758393</v>
      </c>
      <c r="AI16" s="261">
        <f t="shared" si="49"/>
        <v>66112.890554926518</v>
      </c>
      <c r="AJ16" s="261">
        <v>23166.000735654656</v>
      </c>
      <c r="AK16" s="251">
        <f t="shared" si="15"/>
        <v>12170.08812700276</v>
      </c>
      <c r="AL16" s="249">
        <v>281.29499999999933</v>
      </c>
      <c r="AM16" s="250">
        <f t="shared" ref="AM16:AM27" si="77">AL16/AL$27</f>
        <v>0.1883180142195954</v>
      </c>
      <c r="AN16" s="261">
        <v>101348.38841160903</v>
      </c>
      <c r="AO16" s="261">
        <v>66066.21484357302</v>
      </c>
      <c r="AP16" s="261">
        <v>24169.793164626648</v>
      </c>
      <c r="AQ16" s="251">
        <f t="shared" si="16"/>
        <v>11112.380403409366</v>
      </c>
      <c r="AR16" s="249">
        <v>214.43999999999951</v>
      </c>
      <c r="AS16" s="250">
        <f t="shared" ref="AS16:AS27" si="78">AR16/AR$27</f>
        <v>0.16249854686030635</v>
      </c>
      <c r="AT16" s="261">
        <v>101471.91203268946</v>
      </c>
      <c r="AU16" s="261">
        <f t="shared" si="52"/>
        <v>63327.21484357302</v>
      </c>
      <c r="AV16" s="261">
        <v>22626.178867234885</v>
      </c>
      <c r="AW16" s="251">
        <f t="shared" si="17"/>
        <v>15518.518321881558</v>
      </c>
      <c r="AX16" s="249">
        <v>154.06500000000051</v>
      </c>
      <c r="AY16" s="250">
        <f t="shared" ref="AY16:AY27" si="79">AX16/AX$27</f>
        <v>0.13612168528190394</v>
      </c>
      <c r="AZ16" s="261">
        <v>101497.08960503688</v>
      </c>
      <c r="BA16" s="261">
        <f t="shared" si="18"/>
        <v>61552.21484357302</v>
      </c>
      <c r="BB16" s="261">
        <v>18629.612436309348</v>
      </c>
      <c r="BC16" s="251">
        <f t="shared" si="19"/>
        <v>21315.262325154508</v>
      </c>
      <c r="BD16" s="249">
        <v>215.15999999999937</v>
      </c>
      <c r="BE16" s="250">
        <f t="shared" ref="BE16:BE27" si="80">BD16/BD$27</f>
        <v>0.16119001744288616</v>
      </c>
      <c r="BF16" s="261">
        <v>101325.28560141267</v>
      </c>
      <c r="BG16" s="261">
        <f t="shared" si="20"/>
        <v>62794.21484357302</v>
      </c>
      <c r="BH16" s="261">
        <v>21648.599321435329</v>
      </c>
      <c r="BI16" s="251">
        <f t="shared" si="21"/>
        <v>16882.471436404325</v>
      </c>
      <c r="BJ16" s="249">
        <v>228.92999999999884</v>
      </c>
      <c r="BK16" s="250">
        <f t="shared" ref="BK16:BK27" si="81">BJ16/BJ$27</f>
        <v>0.16191209440393542</v>
      </c>
      <c r="BL16" s="261">
        <v>101382.61036124588</v>
      </c>
      <c r="BM16" s="261">
        <f t="shared" si="22"/>
        <v>62794.21484357302</v>
      </c>
      <c r="BN16" s="261">
        <v>21882.851526667644</v>
      </c>
      <c r="BO16" s="251">
        <f t="shared" si="23"/>
        <v>16705.543991005219</v>
      </c>
      <c r="BP16" s="249">
        <v>267.73949999999763</v>
      </c>
      <c r="BQ16" s="250">
        <f t="shared" ref="BQ16:BQ27" si="82">BP16/BP$27</f>
        <v>0.16779172917833451</v>
      </c>
      <c r="BR16" s="261">
        <v>101389.89062129469</v>
      </c>
      <c r="BS16" s="261">
        <f t="shared" si="2"/>
        <v>64804.21484357302</v>
      </c>
      <c r="BT16" s="261">
        <v>21992.414641844323</v>
      </c>
      <c r="BU16" s="251">
        <f t="shared" si="24"/>
        <v>14593.261135877347</v>
      </c>
      <c r="BV16" s="94"/>
      <c r="BW16" s="249">
        <v>276.56999999999499</v>
      </c>
      <c r="BX16" s="250">
        <f t="shared" ref="BX16:BX27" si="83">BW16/BW$27</f>
        <v>0.13979881259976837</v>
      </c>
      <c r="BY16" s="261">
        <v>101427.90501500688</v>
      </c>
      <c r="BZ16" s="261">
        <f>BS16+1758</f>
        <v>66562.21484357302</v>
      </c>
      <c r="CA16" s="261">
        <v>22149.718660736944</v>
      </c>
      <c r="CB16" s="251">
        <f t="shared" si="25"/>
        <v>12715.971510696916</v>
      </c>
      <c r="CC16" s="249">
        <v>294.53999999999695</v>
      </c>
      <c r="CD16" s="250">
        <f t="shared" ref="CD16:CD27" si="84">CC16/CC$27</f>
        <v>0.14334150558033412</v>
      </c>
      <c r="CE16" s="261">
        <v>101379.12015346043</v>
      </c>
      <c r="CF16" s="261">
        <f t="shared" si="68"/>
        <v>66562.21484357302</v>
      </c>
      <c r="CG16" s="261">
        <v>22201.766008012437</v>
      </c>
      <c r="CH16" s="251">
        <f t="shared" si="26"/>
        <v>12615.139301874977</v>
      </c>
      <c r="CI16" s="249">
        <v>304.70999999999447</v>
      </c>
      <c r="CJ16" s="250">
        <f t="shared" ref="CJ16:CJ27" si="85">CI16/CI$27</f>
        <v>0.14421041825754655</v>
      </c>
      <c r="CK16" s="261">
        <v>101429.71300581085</v>
      </c>
      <c r="CL16" s="261">
        <f t="shared" si="27"/>
        <v>68322.21484357302</v>
      </c>
      <c r="CM16" s="261">
        <v>21387.577171737437</v>
      </c>
      <c r="CN16" s="251">
        <f t="shared" si="28"/>
        <v>11719.920990500388</v>
      </c>
      <c r="CO16" s="249">
        <v>248.26499999999825</v>
      </c>
      <c r="CP16" s="250">
        <f t="shared" ref="CP16:CP27" si="86">CO16/CO$27</f>
        <v>0.16246234854991221</v>
      </c>
      <c r="CQ16" s="261">
        <v>101325.84528628699</v>
      </c>
      <c r="CR16" s="261">
        <f t="shared" si="69"/>
        <v>69132.21484357302</v>
      </c>
      <c r="CS16" s="261">
        <v>21603.138178962243</v>
      </c>
      <c r="CT16" s="251">
        <f t="shared" si="29"/>
        <v>10590.492263751727</v>
      </c>
      <c r="CU16" s="249">
        <v>258.64049999999776</v>
      </c>
      <c r="CV16" s="250">
        <f t="shared" ref="CV16:CV27" si="87">CU16/CU$27</f>
        <v>0.15136114051527116</v>
      </c>
      <c r="CW16" s="261">
        <v>89261.141352572915</v>
      </c>
      <c r="CX16" s="261">
        <f>CR16+1881</f>
        <v>71013.21484357302</v>
      </c>
      <c r="CY16" s="261">
        <v>9481.2936489065905</v>
      </c>
      <c r="CZ16" s="251">
        <f t="shared" si="30"/>
        <v>8766.6328600933048</v>
      </c>
      <c r="DA16" s="249">
        <v>244.42149499999837</v>
      </c>
      <c r="DB16" s="250">
        <f t="shared" ref="DB16:DB27" si="88">DA16/DA$27</f>
        <v>0.15600916278281612</v>
      </c>
      <c r="DC16" s="261">
        <v>90143.761087788516</v>
      </c>
      <c r="DD16" s="261">
        <f>CX16+4681</f>
        <v>75694.21484357302</v>
      </c>
      <c r="DE16" s="261">
        <v>9361.1400666705595</v>
      </c>
      <c r="DF16" s="251">
        <f t="shared" si="31"/>
        <v>5088.4061775449372</v>
      </c>
      <c r="DG16" s="249">
        <v>67.42500000000048</v>
      </c>
      <c r="DH16" s="250">
        <f t="shared" ref="DH16:DH27" si="89">DG16/DG$27</f>
        <v>6.8066325319692728E-2</v>
      </c>
      <c r="DI16" s="261">
        <v>93710.415572857761</v>
      </c>
      <c r="DJ16" s="261">
        <f t="shared" si="32"/>
        <v>75694.21484357302</v>
      </c>
      <c r="DK16" s="261">
        <v>2018.2154987022464</v>
      </c>
      <c r="DL16" s="251">
        <f t="shared" si="33"/>
        <v>15997.985230582495</v>
      </c>
      <c r="DM16" s="249">
        <v>171.67500000000015</v>
      </c>
      <c r="DN16" s="250">
        <f t="shared" ref="DN16:DN27" si="90">DM16/DM$27</f>
        <v>0.15720538546578586</v>
      </c>
      <c r="DO16" s="261">
        <v>95152.063026066069</v>
      </c>
      <c r="DP16" s="261">
        <f t="shared" si="41"/>
        <v>75694.21484357302</v>
      </c>
      <c r="DQ16" s="261">
        <v>6206.0195136158363</v>
      </c>
      <c r="DR16" s="251">
        <f t="shared" si="34"/>
        <v>13251.828668877213</v>
      </c>
      <c r="DS16" s="249">
        <v>269.66999999999643</v>
      </c>
      <c r="DT16" s="250">
        <f t="shared" ref="DT16:DT27" si="91">DS16/DS$27</f>
        <v>0.19480611162691994</v>
      </c>
      <c r="DU16" s="261">
        <v>95129.805985093815</v>
      </c>
      <c r="DV16" s="261">
        <f>DP16</f>
        <v>75694.21484357302</v>
      </c>
      <c r="DW16" s="261">
        <f>16981.0256609934-5667</f>
        <v>11314.0256609934</v>
      </c>
      <c r="DX16" s="251">
        <f t="shared" si="35"/>
        <v>8121.5654805273953</v>
      </c>
      <c r="DY16" s="249">
        <f>'Net NR'!DD16</f>
        <v>246.83999999999824</v>
      </c>
      <c r="DZ16" s="250">
        <f t="shared" si="7"/>
        <v>0.19970127702436696</v>
      </c>
      <c r="EA16" s="261">
        <f>'Net NR'!DF16</f>
        <v>108063.23630692009</v>
      </c>
      <c r="EB16" s="261">
        <f t="shared" si="36"/>
        <v>79295</v>
      </c>
      <c r="EC16" s="261">
        <f>'Net NR'!DG16</f>
        <v>26795.830213903908</v>
      </c>
      <c r="ED16" s="251">
        <f t="shared" si="37"/>
        <v>1972.4060930161868</v>
      </c>
      <c r="EE16" s="249">
        <f>'Net NR'!DI16</f>
        <v>290.09099999999688</v>
      </c>
      <c r="EF16" s="250">
        <f t="shared" si="8"/>
        <v>0.21067977480734301</v>
      </c>
      <c r="EG16" s="261">
        <f>'Net NR'!DK16</f>
        <v>108064.09009586704</v>
      </c>
      <c r="EH16" s="261">
        <f t="shared" si="38"/>
        <v>80636</v>
      </c>
      <c r="EI16" s="261">
        <f>'Net NR'!DL16</f>
        <v>24384.694733721743</v>
      </c>
      <c r="EJ16" s="251">
        <f t="shared" si="39"/>
        <v>3043.3953621452965</v>
      </c>
      <c r="EK16" s="249">
        <v>220.22249999999923</v>
      </c>
      <c r="EL16" s="250">
        <f t="shared" si="9"/>
        <v>0.15043367544371691</v>
      </c>
      <c r="EM16" s="261">
        <v>98734.694229699831</v>
      </c>
      <c r="EN16" s="261">
        <v>81428</v>
      </c>
      <c r="EO16" s="261">
        <v>5114.3201534811506</v>
      </c>
      <c r="EP16" s="251">
        <f t="shared" si="40"/>
        <v>12192.374076218681</v>
      </c>
      <c r="EQ16" s="94"/>
    </row>
    <row r="17" spans="1:148">
      <c r="A17" s="103" t="s">
        <v>132</v>
      </c>
      <c r="B17" s="249">
        <v>16.777799999999964</v>
      </c>
      <c r="C17" s="250">
        <f t="shared" si="71"/>
        <v>1.3416666931223422E-2</v>
      </c>
      <c r="D17" s="261">
        <v>106148.01038007515</v>
      </c>
      <c r="E17" s="261">
        <v>68743.26384390649</v>
      </c>
      <c r="F17" s="261">
        <v>16593.983034415873</v>
      </c>
      <c r="G17" s="251">
        <f t="shared" si="10"/>
        <v>20810.76350175279</v>
      </c>
      <c r="H17" s="249">
        <v>7.7650949999999961</v>
      </c>
      <c r="I17" s="250">
        <f t="shared" si="72"/>
        <v>5.7457642823469544E-3</v>
      </c>
      <c r="J17" s="261">
        <v>106262.40492214652</v>
      </c>
      <c r="K17" s="261">
        <f t="shared" si="70"/>
        <v>67603.254157022762</v>
      </c>
      <c r="L17" s="261">
        <v>15436.031258978086</v>
      </c>
      <c r="M17" s="251">
        <f t="shared" si="11"/>
        <v>23223.119506145675</v>
      </c>
      <c r="N17" s="249">
        <v>1.0615800000000004</v>
      </c>
      <c r="O17" s="250">
        <f t="shared" si="73"/>
        <v>7.0929061151843171E-4</v>
      </c>
      <c r="P17" s="261">
        <v>106372.64572040706</v>
      </c>
      <c r="Q17" s="261">
        <f t="shared" si="64"/>
        <v>67766.818743707277</v>
      </c>
      <c r="R17" s="261"/>
      <c r="S17" s="251">
        <f t="shared" si="12"/>
        <v>38605.826976699784</v>
      </c>
      <c r="T17" s="249">
        <v>0.96876000000000007</v>
      </c>
      <c r="U17" s="250">
        <f t="shared" si="74"/>
        <v>6.8549399525431713E-4</v>
      </c>
      <c r="V17" s="261">
        <v>104067.52177763004</v>
      </c>
      <c r="W17" s="261">
        <f t="shared" si="63"/>
        <v>67970.480488707282</v>
      </c>
      <c r="X17" s="261"/>
      <c r="Y17" s="251">
        <f t="shared" si="13"/>
        <v>36097.041288922759</v>
      </c>
      <c r="Z17" s="249">
        <v>0.23868</v>
      </c>
      <c r="AA17" s="250">
        <f t="shared" si="75"/>
        <v>1.6298344019757474E-4</v>
      </c>
      <c r="AB17" s="261">
        <v>103905.8446237266</v>
      </c>
      <c r="AC17" s="261">
        <f t="shared" si="47"/>
        <v>68152.8371369292</v>
      </c>
      <c r="AD17" s="261"/>
      <c r="AE17" s="251">
        <f t="shared" si="14"/>
        <v>35753.007486797404</v>
      </c>
      <c r="AF17" s="249">
        <v>0.51948000000000005</v>
      </c>
      <c r="AG17" s="250">
        <f t="shared" si="76"/>
        <v>3.5837116841934115E-4</v>
      </c>
      <c r="AH17" s="261">
        <v>103905.84462372659</v>
      </c>
      <c r="AI17" s="261">
        <f t="shared" si="49"/>
        <v>67069.628926929203</v>
      </c>
      <c r="AJ17" s="261"/>
      <c r="AK17" s="251">
        <f t="shared" si="15"/>
        <v>36836.215696797386</v>
      </c>
      <c r="AL17" s="249"/>
      <c r="AM17" s="250">
        <f t="shared" si="77"/>
        <v>0</v>
      </c>
      <c r="AN17" s="261">
        <v>0</v>
      </c>
      <c r="AO17" s="261">
        <f>AI17</f>
        <v>67069.628926929203</v>
      </c>
      <c r="AP17" s="261"/>
      <c r="AQ17" s="251">
        <f t="shared" si="16"/>
        <v>-67069.628926929203</v>
      </c>
      <c r="AR17" s="249">
        <v>2.8080000000000001E-2</v>
      </c>
      <c r="AS17" s="250">
        <f t="shared" si="78"/>
        <v>2.1278489068445313E-5</v>
      </c>
      <c r="AT17" s="261">
        <v>105871.93895688678</v>
      </c>
      <c r="AU17" s="261">
        <f t="shared" si="52"/>
        <v>64330.628926929203</v>
      </c>
      <c r="AV17" s="261"/>
      <c r="AW17" s="251">
        <f t="shared" si="17"/>
        <v>41541.310029957574</v>
      </c>
      <c r="AX17" s="249"/>
      <c r="AY17" s="250">
        <f t="shared" si="79"/>
        <v>0</v>
      </c>
      <c r="AZ17" s="261">
        <v>0</v>
      </c>
      <c r="BA17" s="261">
        <f t="shared" si="18"/>
        <v>62555.628926929203</v>
      </c>
      <c r="BB17" s="261"/>
      <c r="BC17" s="251">
        <f t="shared" si="19"/>
        <v>-62555.628926929203</v>
      </c>
      <c r="BD17" s="249">
        <v>0.25272</v>
      </c>
      <c r="BE17" s="250">
        <f t="shared" si="80"/>
        <v>1.8932859829041786E-4</v>
      </c>
      <c r="BF17" s="261">
        <v>103905.86419753087</v>
      </c>
      <c r="BG17" s="261">
        <f t="shared" si="20"/>
        <v>63797.628926929203</v>
      </c>
      <c r="BH17" s="261"/>
      <c r="BI17" s="251">
        <f t="shared" si="21"/>
        <v>40108.235270601668</v>
      </c>
      <c r="BJ17" s="249">
        <v>0.46332000000000001</v>
      </c>
      <c r="BK17" s="250">
        <f t="shared" si="81"/>
        <v>3.2768580605089652E-4</v>
      </c>
      <c r="BL17" s="261">
        <v>103905.85340585341</v>
      </c>
      <c r="BM17" s="261">
        <f t="shared" si="22"/>
        <v>63797.628926929203</v>
      </c>
      <c r="BN17" s="261">
        <v>2928.8612621945954</v>
      </c>
      <c r="BO17" s="251">
        <f t="shared" si="23"/>
        <v>37179.363216729616</v>
      </c>
      <c r="BP17" s="249">
        <v>0.15365999999999999</v>
      </c>
      <c r="BQ17" s="250">
        <f t="shared" si="82"/>
        <v>9.6298368770925125E-5</v>
      </c>
      <c r="BR17" s="261">
        <v>104399.5834960302</v>
      </c>
      <c r="BS17" s="261">
        <f t="shared" si="2"/>
        <v>65807.628926929203</v>
      </c>
      <c r="BT17" s="261">
        <v>26087.530912404003</v>
      </c>
      <c r="BU17" s="251">
        <f t="shared" si="24"/>
        <v>12504.423656696996</v>
      </c>
      <c r="BV17" s="94"/>
      <c r="BW17" s="249">
        <v>0</v>
      </c>
      <c r="BX17" s="250">
        <f t="shared" si="83"/>
        <v>0</v>
      </c>
      <c r="BY17" s="261">
        <v>0</v>
      </c>
      <c r="BZ17" s="261"/>
      <c r="CA17" s="261"/>
      <c r="CB17" s="251">
        <f t="shared" si="25"/>
        <v>0</v>
      </c>
      <c r="CC17" s="249"/>
      <c r="CD17" s="250">
        <f t="shared" si="84"/>
        <v>0</v>
      </c>
      <c r="CE17" s="261"/>
      <c r="CF17" s="261"/>
      <c r="CG17" s="261"/>
      <c r="CH17" s="251">
        <f t="shared" si="26"/>
        <v>0</v>
      </c>
      <c r="CI17" s="249"/>
      <c r="CJ17" s="250">
        <f t="shared" si="85"/>
        <v>0</v>
      </c>
      <c r="CK17" s="261"/>
      <c r="CL17" s="261"/>
      <c r="CM17" s="261"/>
      <c r="CN17" s="251">
        <f t="shared" si="28"/>
        <v>0</v>
      </c>
      <c r="CO17" s="249">
        <v>0</v>
      </c>
      <c r="CP17" s="250">
        <f t="shared" si="86"/>
        <v>0</v>
      </c>
      <c r="CQ17" s="261">
        <v>0</v>
      </c>
      <c r="CR17" s="261"/>
      <c r="CS17" s="261">
        <v>0</v>
      </c>
      <c r="CT17" s="251">
        <f t="shared" si="29"/>
        <v>0</v>
      </c>
      <c r="CU17" s="249">
        <v>0</v>
      </c>
      <c r="CV17" s="250">
        <f t="shared" si="87"/>
        <v>0</v>
      </c>
      <c r="CW17" s="261">
        <v>0</v>
      </c>
      <c r="CX17" s="261"/>
      <c r="CY17" s="261"/>
      <c r="CZ17" s="251">
        <f t="shared" si="30"/>
        <v>0</v>
      </c>
      <c r="DA17" s="249">
        <v>0</v>
      </c>
      <c r="DB17" s="250">
        <f t="shared" si="88"/>
        <v>0</v>
      </c>
      <c r="DC17" s="261">
        <v>0</v>
      </c>
      <c r="DD17" s="261"/>
      <c r="DE17" s="261"/>
      <c r="DF17" s="251">
        <f t="shared" si="31"/>
        <v>0</v>
      </c>
      <c r="DG17" s="249">
        <v>0</v>
      </c>
      <c r="DH17" s="250">
        <f t="shared" si="89"/>
        <v>0</v>
      </c>
      <c r="DI17" s="261">
        <v>0</v>
      </c>
      <c r="DJ17" s="261"/>
      <c r="DK17" s="261"/>
      <c r="DL17" s="251">
        <f t="shared" si="33"/>
        <v>0</v>
      </c>
      <c r="DM17" s="249">
        <v>0</v>
      </c>
      <c r="DN17" s="250">
        <f t="shared" si="90"/>
        <v>0</v>
      </c>
      <c r="DO17" s="261">
        <v>0</v>
      </c>
      <c r="DP17" s="261"/>
      <c r="DQ17" s="261"/>
      <c r="DR17" s="251">
        <f t="shared" si="34"/>
        <v>0</v>
      </c>
      <c r="DS17" s="249">
        <v>0</v>
      </c>
      <c r="DT17" s="250">
        <f t="shared" si="91"/>
        <v>0</v>
      </c>
      <c r="DU17" s="261">
        <v>0</v>
      </c>
      <c r="DV17" s="261"/>
      <c r="DW17" s="261"/>
      <c r="DX17" s="251">
        <f t="shared" si="35"/>
        <v>0</v>
      </c>
      <c r="DY17" s="249">
        <f>'Net NR'!DD17</f>
        <v>0</v>
      </c>
      <c r="DZ17" s="250">
        <f t="shared" si="7"/>
        <v>0</v>
      </c>
      <c r="EA17" s="261">
        <f>'Net NR'!DF17</f>
        <v>0</v>
      </c>
      <c r="EB17" s="261">
        <f t="shared" si="66"/>
        <v>0</v>
      </c>
      <c r="EC17" s="261">
        <f>'Net NR'!DG17</f>
        <v>0</v>
      </c>
      <c r="ED17" s="251">
        <f t="shared" si="37"/>
        <v>0</v>
      </c>
      <c r="EE17" s="249">
        <f>'Net NR'!DI17</f>
        <v>2.8080000000000001E-2</v>
      </c>
      <c r="EF17" s="250">
        <f t="shared" si="8"/>
        <v>2.0393214807044188E-5</v>
      </c>
      <c r="EG17" s="261">
        <f>'Net NR'!DK17</f>
        <v>103425.21367521367</v>
      </c>
      <c r="EH17" s="261">
        <f t="shared" si="67"/>
        <v>0</v>
      </c>
      <c r="EI17" s="261">
        <f>'Net NR'!DL17</f>
        <v>0</v>
      </c>
      <c r="EJ17" s="251">
        <f t="shared" si="39"/>
        <v>103425.21367521367</v>
      </c>
      <c r="EK17" s="249"/>
      <c r="EL17" s="250">
        <f t="shared" si="9"/>
        <v>0</v>
      </c>
      <c r="EM17" s="261"/>
      <c r="EN17" s="261"/>
      <c r="EO17" s="261"/>
      <c r="EP17" s="251">
        <f t="shared" si="40"/>
        <v>0</v>
      </c>
      <c r="EQ17" s="94"/>
    </row>
    <row r="18" spans="1:148">
      <c r="A18" s="103" t="s">
        <v>133</v>
      </c>
      <c r="B18" s="249">
        <v>5.1386399999999988</v>
      </c>
      <c r="C18" s="250">
        <f t="shared" si="71"/>
        <v>4.1092051019479348E-3</v>
      </c>
      <c r="D18" s="261">
        <v>85302.502465535625</v>
      </c>
      <c r="E18" s="261">
        <f>E11</f>
        <v>69192.893183060849</v>
      </c>
      <c r="F18" s="261">
        <v>9838.1617061128418</v>
      </c>
      <c r="G18" s="251">
        <f t="shared" si="10"/>
        <v>6271.4475763619339</v>
      </c>
      <c r="H18" s="249">
        <v>4.7853000000000012</v>
      </c>
      <c r="I18" s="250">
        <f t="shared" si="72"/>
        <v>3.5408717884732772E-3</v>
      </c>
      <c r="J18" s="261">
        <v>85305.109510231909</v>
      </c>
      <c r="K18" s="261">
        <f t="shared" si="70"/>
        <v>68052.883496177121</v>
      </c>
      <c r="L18" s="261">
        <v>9349.0440597899651</v>
      </c>
      <c r="M18" s="251">
        <f t="shared" si="11"/>
        <v>7903.1819542648227</v>
      </c>
      <c r="N18" s="249">
        <v>0.58733999999999997</v>
      </c>
      <c r="O18" s="250">
        <f t="shared" si="73"/>
        <v>3.9242897169241647E-4</v>
      </c>
      <c r="P18" s="261">
        <v>85386.353565350742</v>
      </c>
      <c r="Q18" s="261">
        <f t="shared" si="64"/>
        <v>68216.448082861636</v>
      </c>
      <c r="R18" s="261"/>
      <c r="S18" s="251">
        <f t="shared" si="12"/>
        <v>17169.905482489106</v>
      </c>
      <c r="T18" s="249">
        <v>5.6160000000000002E-2</v>
      </c>
      <c r="U18" s="250">
        <f t="shared" si="74"/>
        <v>3.9738782333583601E-5</v>
      </c>
      <c r="V18" s="261">
        <v>83512.700868349595</v>
      </c>
      <c r="W18" s="261">
        <f t="shared" si="63"/>
        <v>68420.109827861641</v>
      </c>
      <c r="X18" s="261"/>
      <c r="Y18" s="251">
        <f t="shared" si="13"/>
        <v>15092.591040487954</v>
      </c>
      <c r="Z18" s="249">
        <v>1.3780000000000001E-2</v>
      </c>
      <c r="AA18" s="250">
        <f t="shared" si="75"/>
        <v>9.4097193142390652E-6</v>
      </c>
      <c r="AB18" s="261">
        <v>82147.68075387337</v>
      </c>
      <c r="AC18" s="261">
        <f t="shared" si="47"/>
        <v>68602.466476083559</v>
      </c>
      <c r="AD18" s="261"/>
      <c r="AE18" s="251">
        <f t="shared" si="14"/>
        <v>13545.214277789812</v>
      </c>
      <c r="AF18" s="249"/>
      <c r="AG18" s="250">
        <f t="shared" si="76"/>
        <v>0</v>
      </c>
      <c r="AH18" s="261">
        <v>0</v>
      </c>
      <c r="AI18" s="261"/>
      <c r="AJ18" s="261"/>
      <c r="AK18" s="251">
        <f t="shared" si="15"/>
        <v>0</v>
      </c>
      <c r="AL18" s="249"/>
      <c r="AM18" s="250">
        <f t="shared" si="77"/>
        <v>0</v>
      </c>
      <c r="AN18" s="261">
        <v>0</v>
      </c>
      <c r="AO18" s="261"/>
      <c r="AP18" s="261"/>
      <c r="AQ18" s="251">
        <f t="shared" si="16"/>
        <v>0</v>
      </c>
      <c r="AR18" s="249"/>
      <c r="AS18" s="250">
        <f t="shared" si="78"/>
        <v>0</v>
      </c>
      <c r="AT18" s="261"/>
      <c r="AU18" s="261"/>
      <c r="AV18" s="261"/>
      <c r="AW18" s="251">
        <f t="shared" si="17"/>
        <v>0</v>
      </c>
      <c r="AX18" s="249">
        <v>1.2740000000000001E-2</v>
      </c>
      <c r="AY18" s="250">
        <f t="shared" si="79"/>
        <v>1.1256224778447087E-5</v>
      </c>
      <c r="AZ18" s="261">
        <v>84877.551020408151</v>
      </c>
      <c r="BA18" s="261"/>
      <c r="BB18" s="261"/>
      <c r="BC18" s="251">
        <f t="shared" si="19"/>
        <v>84877.551020408151</v>
      </c>
      <c r="BD18" s="249">
        <v>7.0199999999999999E-2</v>
      </c>
      <c r="BE18" s="250">
        <f t="shared" si="80"/>
        <v>5.2591277302893848E-5</v>
      </c>
      <c r="BF18" s="261">
        <v>83512.820512820515</v>
      </c>
      <c r="BG18" s="261">
        <f t="shared" ref="BG18:BG22" si="92">BA18</f>
        <v>0</v>
      </c>
      <c r="BH18" s="261"/>
      <c r="BI18" s="251">
        <f t="shared" si="21"/>
        <v>83512.820512820515</v>
      </c>
      <c r="BJ18" s="249"/>
      <c r="BK18" s="250">
        <f t="shared" si="81"/>
        <v>0</v>
      </c>
      <c r="BL18" s="261">
        <v>0</v>
      </c>
      <c r="BM18" s="261">
        <f t="shared" si="22"/>
        <v>0</v>
      </c>
      <c r="BN18" s="261"/>
      <c r="BO18" s="251">
        <f t="shared" si="23"/>
        <v>0</v>
      </c>
      <c r="BP18" s="249">
        <v>0.29302</v>
      </c>
      <c r="BQ18" s="250">
        <f t="shared" si="82"/>
        <v>1.8363496041426839E-4</v>
      </c>
      <c r="BR18" s="261">
        <v>84387.482083134251</v>
      </c>
      <c r="BS18" s="261">
        <f t="shared" ref="BS18:BS26" si="93">BM18</f>
        <v>0</v>
      </c>
      <c r="BT18" s="261">
        <v>19223.090574022241</v>
      </c>
      <c r="BU18" s="251">
        <f t="shared" si="24"/>
        <v>65164.391509112014</v>
      </c>
      <c r="BV18" s="94"/>
      <c r="BW18" s="249">
        <v>0</v>
      </c>
      <c r="BX18" s="250">
        <f t="shared" si="83"/>
        <v>0</v>
      </c>
      <c r="BY18" s="261">
        <v>0</v>
      </c>
      <c r="BZ18" s="261"/>
      <c r="CA18" s="261"/>
      <c r="CB18" s="251">
        <f t="shared" si="25"/>
        <v>0</v>
      </c>
      <c r="CC18" s="249"/>
      <c r="CD18" s="250">
        <f t="shared" si="84"/>
        <v>0</v>
      </c>
      <c r="CE18" s="261"/>
      <c r="CF18" s="261"/>
      <c r="CG18" s="261"/>
      <c r="CH18" s="251">
        <f t="shared" si="26"/>
        <v>0</v>
      </c>
      <c r="CI18" s="249"/>
      <c r="CJ18" s="250">
        <f t="shared" si="85"/>
        <v>0</v>
      </c>
      <c r="CK18" s="261"/>
      <c r="CL18" s="261"/>
      <c r="CM18" s="261"/>
      <c r="CN18" s="251">
        <f t="shared" si="28"/>
        <v>0</v>
      </c>
      <c r="CO18" s="249">
        <v>0</v>
      </c>
      <c r="CP18" s="250">
        <f t="shared" si="86"/>
        <v>0</v>
      </c>
      <c r="CQ18" s="261">
        <v>0</v>
      </c>
      <c r="CR18" s="261"/>
      <c r="CS18" s="261"/>
      <c r="CT18" s="251">
        <f t="shared" si="29"/>
        <v>0</v>
      </c>
      <c r="CU18" s="249">
        <v>-3.6659999999999998E-2</v>
      </c>
      <c r="CV18" s="250">
        <f t="shared" si="87"/>
        <v>-2.145410100618383E-5</v>
      </c>
      <c r="CW18" s="261">
        <v>77929.350791052915</v>
      </c>
      <c r="CX18" s="261"/>
      <c r="CY18" s="261"/>
      <c r="CZ18" s="251">
        <f t="shared" si="30"/>
        <v>77929.350791052915</v>
      </c>
      <c r="DA18" s="249">
        <v>0</v>
      </c>
      <c r="DB18" s="250">
        <f t="shared" si="88"/>
        <v>0</v>
      </c>
      <c r="DC18" s="261">
        <v>0</v>
      </c>
      <c r="DD18" s="261"/>
      <c r="DE18" s="261"/>
      <c r="DF18" s="251">
        <f t="shared" si="31"/>
        <v>0</v>
      </c>
      <c r="DG18" s="249">
        <v>0</v>
      </c>
      <c r="DH18" s="250">
        <f t="shared" si="89"/>
        <v>0</v>
      </c>
      <c r="DI18" s="261">
        <v>0</v>
      </c>
      <c r="DJ18" s="261"/>
      <c r="DK18" s="261"/>
      <c r="DL18" s="251">
        <f t="shared" si="33"/>
        <v>0</v>
      </c>
      <c r="DM18" s="249">
        <v>0</v>
      </c>
      <c r="DN18" s="250">
        <f t="shared" si="90"/>
        <v>0</v>
      </c>
      <c r="DO18" s="261">
        <v>0</v>
      </c>
      <c r="DP18" s="261"/>
      <c r="DQ18" s="261"/>
      <c r="DR18" s="251">
        <f t="shared" si="34"/>
        <v>0</v>
      </c>
      <c r="DS18" s="249">
        <v>0</v>
      </c>
      <c r="DT18" s="250">
        <f t="shared" si="91"/>
        <v>0</v>
      </c>
      <c r="DU18" s="261">
        <v>0</v>
      </c>
      <c r="DV18" s="261"/>
      <c r="DW18" s="261"/>
      <c r="DX18" s="251">
        <f t="shared" si="35"/>
        <v>0</v>
      </c>
      <c r="DY18" s="249">
        <f>'Net NR'!DD18</f>
        <v>0</v>
      </c>
      <c r="DZ18" s="250">
        <f t="shared" si="7"/>
        <v>0</v>
      </c>
      <c r="EA18" s="261">
        <f>'Net NR'!DF18</f>
        <v>0</v>
      </c>
      <c r="EB18" s="261">
        <f t="shared" si="66"/>
        <v>0</v>
      </c>
      <c r="EC18" s="261">
        <f>'Net NR'!DG18</f>
        <v>0</v>
      </c>
      <c r="ED18" s="251">
        <f t="shared" si="37"/>
        <v>0</v>
      </c>
      <c r="EE18" s="249">
        <f>'Net NR'!DI18</f>
        <v>11.653200000000005</v>
      </c>
      <c r="EF18" s="250">
        <f t="shared" si="8"/>
        <v>8.463184144923341E-3</v>
      </c>
      <c r="EG18" s="261">
        <f>'Net NR'!DK18</f>
        <v>91416.050526893814</v>
      </c>
      <c r="EH18" s="261">
        <f t="shared" si="38"/>
        <v>80284</v>
      </c>
      <c r="EI18" s="261">
        <f>'Net NR'!DL18</f>
        <v>3396.3228984313309</v>
      </c>
      <c r="EJ18" s="251">
        <f t="shared" si="39"/>
        <v>7735.7276284624832</v>
      </c>
      <c r="EK18" s="249">
        <v>21.504599999999986</v>
      </c>
      <c r="EL18" s="250">
        <f t="shared" si="9"/>
        <v>1.4689761568172935E-2</v>
      </c>
      <c r="EM18" s="261">
        <v>91653.454609711407</v>
      </c>
      <c r="EN18" s="261">
        <v>81076</v>
      </c>
      <c r="EO18" s="261">
        <v>1154.17306064749</v>
      </c>
      <c r="EP18" s="251">
        <f t="shared" si="40"/>
        <v>9423.2815490639168</v>
      </c>
      <c r="EQ18" s="94"/>
    </row>
    <row r="19" spans="1:148">
      <c r="A19" s="103" t="s">
        <v>134</v>
      </c>
      <c r="B19" s="249">
        <v>0.82691000000000014</v>
      </c>
      <c r="C19" s="250">
        <f t="shared" si="71"/>
        <v>6.6125332594845485E-4</v>
      </c>
      <c r="D19" s="261">
        <v>108585.44572992179</v>
      </c>
      <c r="E19" s="261">
        <f>E7</f>
        <v>70662.437633186462</v>
      </c>
      <c r="F19" s="261"/>
      <c r="G19" s="251">
        <f t="shared" si="10"/>
        <v>37923.008096735328</v>
      </c>
      <c r="H19" s="249">
        <v>3.0080000000000107E-3</v>
      </c>
      <c r="I19" s="250">
        <f t="shared" si="72"/>
        <v>2.22576271910385E-6</v>
      </c>
      <c r="J19" s="261">
        <v>97502.856716400056</v>
      </c>
      <c r="K19" s="261">
        <f t="shared" si="70"/>
        <v>69522.427946302734</v>
      </c>
      <c r="L19" s="261"/>
      <c r="M19" s="251">
        <f t="shared" si="11"/>
        <v>27980.428770097322</v>
      </c>
      <c r="N19" s="249">
        <v>0.22060800000000003</v>
      </c>
      <c r="O19" s="250">
        <f t="shared" si="73"/>
        <v>1.4739839034821504E-4</v>
      </c>
      <c r="P19" s="261">
        <v>107960.12260211496</v>
      </c>
      <c r="Q19" s="261">
        <f t="shared" si="64"/>
        <v>69685.992532987249</v>
      </c>
      <c r="R19" s="261"/>
      <c r="S19" s="251">
        <f t="shared" si="12"/>
        <v>38274.130069127714</v>
      </c>
      <c r="T19" s="249">
        <v>9.216000000000002E-3</v>
      </c>
      <c r="U19" s="250">
        <f t="shared" si="74"/>
        <v>6.521236075254746E-6</v>
      </c>
      <c r="V19" s="261">
        <v>105529.37344597284</v>
      </c>
      <c r="W19" s="261">
        <f t="shared" si="63"/>
        <v>69889.654277987254</v>
      </c>
      <c r="X19" s="261"/>
      <c r="Y19" s="251">
        <f t="shared" si="13"/>
        <v>35639.71916798559</v>
      </c>
      <c r="Z19" s="249"/>
      <c r="AA19" s="250">
        <f t="shared" si="75"/>
        <v>0</v>
      </c>
      <c r="AB19" s="261">
        <v>0</v>
      </c>
      <c r="AC19" s="261"/>
      <c r="AD19" s="261"/>
      <c r="AE19" s="251">
        <f t="shared" si="14"/>
        <v>0</v>
      </c>
      <c r="AF19" s="249"/>
      <c r="AG19" s="250">
        <f t="shared" si="76"/>
        <v>0</v>
      </c>
      <c r="AH19" s="261">
        <v>0</v>
      </c>
      <c r="AI19" s="261"/>
      <c r="AJ19" s="261"/>
      <c r="AK19" s="251">
        <f t="shared" si="15"/>
        <v>0</v>
      </c>
      <c r="AL19" s="249"/>
      <c r="AM19" s="250">
        <f t="shared" si="77"/>
        <v>0</v>
      </c>
      <c r="AN19" s="261">
        <v>0</v>
      </c>
      <c r="AO19" s="261"/>
      <c r="AP19" s="261"/>
      <c r="AQ19" s="251">
        <f t="shared" si="16"/>
        <v>0</v>
      </c>
      <c r="AR19" s="249"/>
      <c r="AS19" s="250">
        <f t="shared" si="78"/>
        <v>0</v>
      </c>
      <c r="AT19" s="261"/>
      <c r="AU19" s="261"/>
      <c r="AV19" s="261"/>
      <c r="AW19" s="251">
        <f t="shared" si="17"/>
        <v>0</v>
      </c>
      <c r="AX19" s="249">
        <v>-1.5300000000000001E-2</v>
      </c>
      <c r="AY19" s="250">
        <f t="shared" si="79"/>
        <v>-1.3518072143660944E-5</v>
      </c>
      <c r="AZ19" s="261">
        <v>92920.915032679739</v>
      </c>
      <c r="BA19" s="261"/>
      <c r="BB19" s="261"/>
      <c r="BC19" s="251">
        <f t="shared" si="19"/>
        <v>92920.915032679739</v>
      </c>
      <c r="BD19" s="249"/>
      <c r="BE19" s="250">
        <f t="shared" si="80"/>
        <v>0</v>
      </c>
      <c r="BF19" s="261">
        <v>0</v>
      </c>
      <c r="BG19" s="261">
        <f t="shared" si="92"/>
        <v>0</v>
      </c>
      <c r="BH19" s="261"/>
      <c r="BI19" s="251">
        <f t="shared" si="21"/>
        <v>0</v>
      </c>
      <c r="BJ19" s="249">
        <v>6.9119999999999997E-3</v>
      </c>
      <c r="BK19" s="250">
        <f t="shared" si="81"/>
        <v>4.8885528175425122E-6</v>
      </c>
      <c r="BL19" s="261">
        <v>105529.51388888889</v>
      </c>
      <c r="BM19" s="261">
        <f t="shared" si="22"/>
        <v>0</v>
      </c>
      <c r="BN19" s="261"/>
      <c r="BO19" s="251">
        <f t="shared" si="23"/>
        <v>105529.51388888889</v>
      </c>
      <c r="BP19" s="249">
        <v>-2.1068000000000003E-2</v>
      </c>
      <c r="BQ19" s="250">
        <f t="shared" si="82"/>
        <v>-1.320326716950313E-5</v>
      </c>
      <c r="BR19" s="261">
        <v>104312.22707423578</v>
      </c>
      <c r="BS19" s="261">
        <f t="shared" si="93"/>
        <v>0</v>
      </c>
      <c r="BT19" s="261">
        <v>3941.9973419403855</v>
      </c>
      <c r="BU19" s="251">
        <f t="shared" si="24"/>
        <v>100370.2297322954</v>
      </c>
      <c r="BV19" s="94"/>
      <c r="BW19" s="249">
        <v>0</v>
      </c>
      <c r="BX19" s="250">
        <f t="shared" si="83"/>
        <v>0</v>
      </c>
      <c r="BY19" s="261">
        <v>0</v>
      </c>
      <c r="BZ19" s="261"/>
      <c r="CA19" s="261"/>
      <c r="CB19" s="251">
        <f t="shared" si="25"/>
        <v>0</v>
      </c>
      <c r="CC19" s="249"/>
      <c r="CD19" s="250">
        <f t="shared" si="84"/>
        <v>0</v>
      </c>
      <c r="CE19" s="261"/>
      <c r="CF19" s="261"/>
      <c r="CG19" s="261"/>
      <c r="CH19" s="251">
        <f t="shared" si="26"/>
        <v>0</v>
      </c>
      <c r="CI19" s="249"/>
      <c r="CJ19" s="250">
        <f t="shared" si="85"/>
        <v>0</v>
      </c>
      <c r="CK19" s="261"/>
      <c r="CL19" s="261"/>
      <c r="CM19" s="261"/>
      <c r="CN19" s="251">
        <f t="shared" si="28"/>
        <v>0</v>
      </c>
      <c r="CO19" s="249">
        <v>0</v>
      </c>
      <c r="CP19" s="250">
        <f t="shared" si="86"/>
        <v>0</v>
      </c>
      <c r="CQ19" s="261">
        <v>0</v>
      </c>
      <c r="CR19" s="261"/>
      <c r="CS19" s="261"/>
      <c r="CT19" s="251">
        <f t="shared" si="29"/>
        <v>0</v>
      </c>
      <c r="CU19" s="249">
        <v>-1.0880000000000001E-2</v>
      </c>
      <c r="CV19" s="250">
        <f t="shared" si="87"/>
        <v>-6.36717454848009E-6</v>
      </c>
      <c r="CW19" s="261">
        <v>63318.01470588235</v>
      </c>
      <c r="CX19" s="261"/>
      <c r="CY19" s="261"/>
      <c r="CZ19" s="251">
        <f t="shared" si="30"/>
        <v>63318.01470588235</v>
      </c>
      <c r="DA19" s="249">
        <v>0</v>
      </c>
      <c r="DB19" s="250">
        <f t="shared" si="88"/>
        <v>0</v>
      </c>
      <c r="DC19" s="261">
        <v>0</v>
      </c>
      <c r="DD19" s="261"/>
      <c r="DE19" s="261"/>
      <c r="DF19" s="251">
        <f t="shared" si="31"/>
        <v>0</v>
      </c>
      <c r="DG19" s="249">
        <v>0</v>
      </c>
      <c r="DH19" s="250">
        <f t="shared" si="89"/>
        <v>0</v>
      </c>
      <c r="DI19" s="261">
        <v>0</v>
      </c>
      <c r="DJ19" s="261"/>
      <c r="DK19" s="261"/>
      <c r="DL19" s="251">
        <f t="shared" si="33"/>
        <v>0</v>
      </c>
      <c r="DM19" s="249">
        <v>0</v>
      </c>
      <c r="DN19" s="250">
        <f t="shared" si="90"/>
        <v>0</v>
      </c>
      <c r="DO19" s="261">
        <v>0</v>
      </c>
      <c r="DP19" s="261"/>
      <c r="DQ19" s="261"/>
      <c r="DR19" s="251">
        <f t="shared" si="34"/>
        <v>0</v>
      </c>
      <c r="DS19" s="249">
        <v>0</v>
      </c>
      <c r="DT19" s="250">
        <f t="shared" si="91"/>
        <v>0</v>
      </c>
      <c r="DU19" s="261">
        <v>0</v>
      </c>
      <c r="DV19" s="261"/>
      <c r="DW19" s="261"/>
      <c r="DX19" s="251">
        <f t="shared" si="35"/>
        <v>0</v>
      </c>
      <c r="DY19" s="249">
        <f>'Net NR'!DD19</f>
        <v>0</v>
      </c>
      <c r="DZ19" s="250">
        <f t="shared" si="7"/>
        <v>0</v>
      </c>
      <c r="EA19" s="261">
        <f>'Net NR'!DF19</f>
        <v>0</v>
      </c>
      <c r="EB19" s="261">
        <f t="shared" si="66"/>
        <v>0</v>
      </c>
      <c r="EC19" s="261">
        <f>'Net NR'!DG19</f>
        <v>0</v>
      </c>
      <c r="ED19" s="251">
        <f t="shared" si="37"/>
        <v>0</v>
      </c>
      <c r="EE19" s="249">
        <f>'Net NR'!DI19</f>
        <v>0</v>
      </c>
      <c r="EF19" s="250">
        <f t="shared" si="8"/>
        <v>0</v>
      </c>
      <c r="EG19" s="261">
        <f>'Net NR'!DK19</f>
        <v>0</v>
      </c>
      <c r="EH19" s="261">
        <f t="shared" si="67"/>
        <v>0</v>
      </c>
      <c r="EI19" s="261">
        <f>'Net NR'!DL19</f>
        <v>0</v>
      </c>
      <c r="EJ19" s="251">
        <f t="shared" si="39"/>
        <v>0</v>
      </c>
      <c r="EK19" s="249"/>
      <c r="EL19" s="250"/>
      <c r="EM19" s="261"/>
      <c r="EN19" s="261"/>
      <c r="EO19" s="261"/>
      <c r="EP19" s="251">
        <f t="shared" si="40"/>
        <v>0</v>
      </c>
      <c r="EQ19" s="94"/>
    </row>
    <row r="20" spans="1:148">
      <c r="A20" s="103" t="s">
        <v>135</v>
      </c>
      <c r="B20" s="249">
        <v>0.49728000000000006</v>
      </c>
      <c r="C20" s="250">
        <f t="shared" si="71"/>
        <v>3.976588188891749E-4</v>
      </c>
      <c r="D20" s="261">
        <v>98776.903800766915</v>
      </c>
      <c r="E20" s="261"/>
      <c r="F20" s="261"/>
      <c r="G20" s="251">
        <f t="shared" si="10"/>
        <v>98776.903800766915</v>
      </c>
      <c r="H20" s="249">
        <v>0.33117000000000008</v>
      </c>
      <c r="I20" s="250">
        <f t="shared" si="72"/>
        <v>2.4504848393803839E-4</v>
      </c>
      <c r="J20" s="261">
        <v>99273.008166720479</v>
      </c>
      <c r="K20" s="261"/>
      <c r="L20" s="261"/>
      <c r="M20" s="251">
        <f t="shared" si="11"/>
        <v>99273.008166720479</v>
      </c>
      <c r="N20" s="249">
        <v>0.2016</v>
      </c>
      <c r="O20" s="250">
        <f t="shared" si="73"/>
        <v>1.3469826794223306E-4</v>
      </c>
      <c r="P20" s="261">
        <v>99260.171100532185</v>
      </c>
      <c r="Q20" s="261">
        <f t="shared" si="64"/>
        <v>163.56458668451523</v>
      </c>
      <c r="R20" s="261"/>
      <c r="S20" s="251">
        <f t="shared" si="12"/>
        <v>99096.60651384767</v>
      </c>
      <c r="T20" s="249">
        <v>0.12096</v>
      </c>
      <c r="U20" s="250">
        <f t="shared" si="74"/>
        <v>8.5591223487718526E-5</v>
      </c>
      <c r="V20" s="261">
        <v>97388.754808460799</v>
      </c>
      <c r="W20" s="261"/>
      <c r="X20" s="261"/>
      <c r="Y20" s="251">
        <f t="shared" si="13"/>
        <v>97388.754808460799</v>
      </c>
      <c r="Z20" s="249">
        <v>0.12096000000000001</v>
      </c>
      <c r="AA20" s="250">
        <f t="shared" si="75"/>
        <v>8.2597942543567306E-5</v>
      </c>
      <c r="AB20" s="261">
        <v>96834.299079298857</v>
      </c>
      <c r="AC20" s="261"/>
      <c r="AD20" s="261"/>
      <c r="AE20" s="251">
        <f t="shared" si="14"/>
        <v>96834.299079298857</v>
      </c>
      <c r="AF20" s="249"/>
      <c r="AG20" s="250">
        <f t="shared" si="76"/>
        <v>0</v>
      </c>
      <c r="AH20" s="261">
        <v>0</v>
      </c>
      <c r="AI20" s="261"/>
      <c r="AJ20" s="261"/>
      <c r="AK20" s="251">
        <f t="shared" si="15"/>
        <v>0</v>
      </c>
      <c r="AL20" s="249"/>
      <c r="AM20" s="250">
        <f t="shared" si="77"/>
        <v>0</v>
      </c>
      <c r="AN20" s="261">
        <v>0</v>
      </c>
      <c r="AO20" s="261"/>
      <c r="AP20" s="261"/>
      <c r="AQ20" s="251">
        <f t="shared" si="16"/>
        <v>0</v>
      </c>
      <c r="AR20" s="249">
        <v>4.0320000000000002E-2</v>
      </c>
      <c r="AS20" s="250">
        <f t="shared" si="78"/>
        <v>3.0553727893152244E-5</v>
      </c>
      <c r="AT20" s="261">
        <v>98309.657602823441</v>
      </c>
      <c r="AU20" s="261"/>
      <c r="AV20" s="261"/>
      <c r="AW20" s="251">
        <f t="shared" si="17"/>
        <v>98309.657602823441</v>
      </c>
      <c r="AX20" s="249"/>
      <c r="AY20" s="250">
        <f t="shared" si="79"/>
        <v>0</v>
      </c>
      <c r="AZ20" s="261">
        <v>0</v>
      </c>
      <c r="BA20" s="261"/>
      <c r="BB20" s="261"/>
      <c r="BC20" s="251">
        <f t="shared" si="19"/>
        <v>0</v>
      </c>
      <c r="BD20" s="249"/>
      <c r="BE20" s="250">
        <f t="shared" si="80"/>
        <v>0</v>
      </c>
      <c r="BF20" s="261">
        <v>0</v>
      </c>
      <c r="BG20" s="261">
        <f t="shared" si="92"/>
        <v>0</v>
      </c>
      <c r="BH20" s="261"/>
      <c r="BI20" s="251">
        <f t="shared" si="21"/>
        <v>0</v>
      </c>
      <c r="BJ20" s="249"/>
      <c r="BK20" s="250">
        <f t="shared" si="81"/>
        <v>0</v>
      </c>
      <c r="BL20" s="261">
        <v>0</v>
      </c>
      <c r="BM20" s="261">
        <f t="shared" si="22"/>
        <v>0</v>
      </c>
      <c r="BN20" s="261"/>
      <c r="BO20" s="251">
        <f t="shared" si="23"/>
        <v>0</v>
      </c>
      <c r="BP20" s="249">
        <v>-6.0899999999999996E-2</v>
      </c>
      <c r="BQ20" s="250">
        <f t="shared" si="82"/>
        <v>-3.8165890004876612E-5</v>
      </c>
      <c r="BR20" s="261">
        <v>96774.548440065686</v>
      </c>
      <c r="BS20" s="261">
        <f t="shared" si="93"/>
        <v>0</v>
      </c>
      <c r="BT20" s="261">
        <v>7868.3087027914617</v>
      </c>
      <c r="BU20" s="251">
        <f t="shared" si="24"/>
        <v>88906.239737274227</v>
      </c>
      <c r="BV20" s="94"/>
      <c r="BW20" s="249">
        <v>0</v>
      </c>
      <c r="BX20" s="250">
        <f t="shared" si="83"/>
        <v>0</v>
      </c>
      <c r="BY20" s="261">
        <v>0</v>
      </c>
      <c r="BZ20" s="261"/>
      <c r="CA20" s="261"/>
      <c r="CB20" s="251">
        <f t="shared" si="25"/>
        <v>0</v>
      </c>
      <c r="CC20" s="249"/>
      <c r="CD20" s="250">
        <f t="shared" si="84"/>
        <v>0</v>
      </c>
      <c r="CE20" s="261"/>
      <c r="CF20" s="261"/>
      <c r="CG20" s="261"/>
      <c r="CH20" s="251">
        <f t="shared" si="26"/>
        <v>0</v>
      </c>
      <c r="CI20" s="249"/>
      <c r="CJ20" s="250">
        <f t="shared" si="85"/>
        <v>0</v>
      </c>
      <c r="CK20" s="261"/>
      <c r="CL20" s="261"/>
      <c r="CM20" s="261"/>
      <c r="CN20" s="251">
        <f t="shared" si="28"/>
        <v>0</v>
      </c>
      <c r="CO20" s="249">
        <v>0</v>
      </c>
      <c r="CP20" s="250">
        <f t="shared" si="86"/>
        <v>0</v>
      </c>
      <c r="CQ20" s="261">
        <v>0</v>
      </c>
      <c r="CR20" s="261"/>
      <c r="CS20" s="261"/>
      <c r="CT20" s="251">
        <f t="shared" si="29"/>
        <v>0</v>
      </c>
      <c r="CU20" s="249">
        <v>0</v>
      </c>
      <c r="CV20" s="250">
        <f t="shared" si="87"/>
        <v>0</v>
      </c>
      <c r="CW20" s="261">
        <v>0</v>
      </c>
      <c r="CX20" s="261"/>
      <c r="CY20" s="261"/>
      <c r="CZ20" s="251">
        <f t="shared" si="30"/>
        <v>0</v>
      </c>
      <c r="DA20" s="249">
        <v>0</v>
      </c>
      <c r="DB20" s="250">
        <f t="shared" si="88"/>
        <v>0</v>
      </c>
      <c r="DC20" s="261">
        <v>0</v>
      </c>
      <c r="DD20" s="261"/>
      <c r="DE20" s="261"/>
      <c r="DF20" s="251">
        <f t="shared" si="31"/>
        <v>0</v>
      </c>
      <c r="DG20" s="249">
        <v>0</v>
      </c>
      <c r="DH20" s="250">
        <f t="shared" si="89"/>
        <v>0</v>
      </c>
      <c r="DI20" s="261">
        <v>0</v>
      </c>
      <c r="DJ20" s="261"/>
      <c r="DK20" s="261"/>
      <c r="DL20" s="251">
        <f t="shared" si="33"/>
        <v>0</v>
      </c>
      <c r="DM20" s="249">
        <v>0</v>
      </c>
      <c r="DN20" s="250">
        <f t="shared" si="90"/>
        <v>0</v>
      </c>
      <c r="DO20" s="261">
        <v>0</v>
      </c>
      <c r="DP20" s="261"/>
      <c r="DQ20" s="261"/>
      <c r="DR20" s="251">
        <f t="shared" si="34"/>
        <v>0</v>
      </c>
      <c r="DS20" s="249">
        <v>0</v>
      </c>
      <c r="DT20" s="250">
        <f t="shared" si="91"/>
        <v>0</v>
      </c>
      <c r="DU20" s="261">
        <v>0</v>
      </c>
      <c r="DV20" s="261"/>
      <c r="DW20" s="261"/>
      <c r="DX20" s="251">
        <f t="shared" si="35"/>
        <v>0</v>
      </c>
      <c r="DY20" s="249">
        <f>'Net NR'!DD20</f>
        <v>0</v>
      </c>
      <c r="DZ20" s="250">
        <f t="shared" si="7"/>
        <v>0</v>
      </c>
      <c r="EA20" s="261">
        <f>'Net NR'!DF20</f>
        <v>0</v>
      </c>
      <c r="EB20" s="261">
        <f t="shared" si="66"/>
        <v>0</v>
      </c>
      <c r="EC20" s="261">
        <f>'Net NR'!DG20</f>
        <v>0</v>
      </c>
      <c r="ED20" s="251">
        <f t="shared" si="37"/>
        <v>0</v>
      </c>
      <c r="EE20" s="249">
        <f>'Net NR'!DI20</f>
        <v>0</v>
      </c>
      <c r="EF20" s="250">
        <f t="shared" si="8"/>
        <v>0</v>
      </c>
      <c r="EG20" s="261">
        <f>'Net NR'!DK20</f>
        <v>0</v>
      </c>
      <c r="EH20" s="261">
        <f t="shared" si="67"/>
        <v>0</v>
      </c>
      <c r="EI20" s="261">
        <f>'Net NR'!DL20</f>
        <v>0</v>
      </c>
      <c r="EJ20" s="251">
        <f t="shared" si="39"/>
        <v>0</v>
      </c>
      <c r="EK20" s="249"/>
      <c r="EL20" s="250"/>
      <c r="EM20" s="261"/>
      <c r="EN20" s="261"/>
      <c r="EO20" s="261"/>
      <c r="EP20" s="251">
        <f t="shared" si="40"/>
        <v>0</v>
      </c>
      <c r="EQ20" s="94"/>
    </row>
    <row r="21" spans="1:148">
      <c r="A21" s="103" t="s">
        <v>136</v>
      </c>
      <c r="B21" s="249"/>
      <c r="C21" s="250">
        <f t="shared" si="71"/>
        <v>0</v>
      </c>
      <c r="D21" s="261">
        <v>0</v>
      </c>
      <c r="E21" s="261"/>
      <c r="F21" s="261"/>
      <c r="G21" s="251">
        <f t="shared" si="10"/>
        <v>0</v>
      </c>
      <c r="H21" s="249">
        <v>-4.0499999999999998E-3</v>
      </c>
      <c r="I21" s="250">
        <f t="shared" si="72"/>
        <v>-2.9967882354955317E-6</v>
      </c>
      <c r="J21" s="261">
        <v>92411.044337663508</v>
      </c>
      <c r="K21" s="261"/>
      <c r="L21" s="261"/>
      <c r="M21" s="251">
        <f t="shared" si="11"/>
        <v>92411.044337663508</v>
      </c>
      <c r="N21" s="249"/>
      <c r="O21" s="250">
        <f t="shared" si="73"/>
        <v>0</v>
      </c>
      <c r="P21" s="261">
        <v>0</v>
      </c>
      <c r="Q21" s="261"/>
      <c r="R21" s="261"/>
      <c r="S21" s="251">
        <f t="shared" si="12"/>
        <v>0</v>
      </c>
      <c r="T21" s="249"/>
      <c r="U21" s="250">
        <f t="shared" si="74"/>
        <v>0</v>
      </c>
      <c r="V21" s="261">
        <v>0</v>
      </c>
      <c r="W21" s="261"/>
      <c r="X21" s="261"/>
      <c r="Y21" s="251">
        <f t="shared" si="13"/>
        <v>0</v>
      </c>
      <c r="Z21" s="249"/>
      <c r="AA21" s="250">
        <f t="shared" si="75"/>
        <v>0</v>
      </c>
      <c r="AB21" s="261">
        <v>0</v>
      </c>
      <c r="AC21" s="261"/>
      <c r="AD21" s="261"/>
      <c r="AE21" s="251">
        <f t="shared" si="14"/>
        <v>0</v>
      </c>
      <c r="AF21" s="249"/>
      <c r="AG21" s="250">
        <f t="shared" si="76"/>
        <v>0</v>
      </c>
      <c r="AH21" s="261">
        <v>0</v>
      </c>
      <c r="AI21" s="261"/>
      <c r="AJ21" s="261"/>
      <c r="AK21" s="251">
        <f t="shared" si="15"/>
        <v>0</v>
      </c>
      <c r="AL21" s="249"/>
      <c r="AM21" s="250">
        <f t="shared" si="77"/>
        <v>0</v>
      </c>
      <c r="AN21" s="261">
        <v>0</v>
      </c>
      <c r="AO21" s="261"/>
      <c r="AP21" s="261"/>
      <c r="AQ21" s="251">
        <f t="shared" si="16"/>
        <v>0</v>
      </c>
      <c r="AR21" s="249"/>
      <c r="AS21" s="250">
        <f t="shared" si="78"/>
        <v>0</v>
      </c>
      <c r="AT21" s="261"/>
      <c r="AU21" s="261"/>
      <c r="AV21" s="261"/>
      <c r="AW21" s="251">
        <f t="shared" si="17"/>
        <v>0</v>
      </c>
      <c r="AX21" s="249"/>
      <c r="AY21" s="250">
        <f t="shared" si="79"/>
        <v>0</v>
      </c>
      <c r="AZ21" s="261">
        <v>0</v>
      </c>
      <c r="BA21" s="261"/>
      <c r="BB21" s="261"/>
      <c r="BC21" s="251">
        <f t="shared" si="19"/>
        <v>0</v>
      </c>
      <c r="BD21" s="249"/>
      <c r="BE21" s="250">
        <f t="shared" si="80"/>
        <v>0</v>
      </c>
      <c r="BF21" s="261">
        <v>0</v>
      </c>
      <c r="BG21" s="261">
        <f t="shared" si="92"/>
        <v>0</v>
      </c>
      <c r="BH21" s="261"/>
      <c r="BI21" s="251">
        <f t="shared" si="21"/>
        <v>0</v>
      </c>
      <c r="BJ21" s="249"/>
      <c r="BK21" s="250">
        <f t="shared" si="81"/>
        <v>0</v>
      </c>
      <c r="BL21" s="261">
        <v>0</v>
      </c>
      <c r="BM21" s="261">
        <f t="shared" si="22"/>
        <v>0</v>
      </c>
      <c r="BN21" s="261"/>
      <c r="BO21" s="251">
        <f t="shared" si="23"/>
        <v>0</v>
      </c>
      <c r="BP21" s="249">
        <v>-4.725E-3</v>
      </c>
      <c r="BQ21" s="250">
        <f t="shared" si="82"/>
        <v>-2.9611466383093927E-6</v>
      </c>
      <c r="BR21" s="261">
        <v>90471.957671957673</v>
      </c>
      <c r="BS21" s="261">
        <f t="shared" si="93"/>
        <v>0</v>
      </c>
      <c r="BT21" s="261">
        <v>6471.9576719576735</v>
      </c>
      <c r="BU21" s="251">
        <f t="shared" si="24"/>
        <v>84000</v>
      </c>
      <c r="BV21" s="94"/>
      <c r="BW21" s="249">
        <v>0</v>
      </c>
      <c r="BX21" s="250">
        <f t="shared" si="83"/>
        <v>0</v>
      </c>
      <c r="BY21" s="261">
        <v>0</v>
      </c>
      <c r="BZ21" s="261"/>
      <c r="CA21" s="261"/>
      <c r="CB21" s="251">
        <f t="shared" si="25"/>
        <v>0</v>
      </c>
      <c r="CC21" s="249"/>
      <c r="CD21" s="250">
        <f t="shared" si="84"/>
        <v>0</v>
      </c>
      <c r="CE21" s="261"/>
      <c r="CF21" s="261"/>
      <c r="CG21" s="261"/>
      <c r="CH21" s="251">
        <f t="shared" si="26"/>
        <v>0</v>
      </c>
      <c r="CI21" s="249"/>
      <c r="CJ21" s="250">
        <f t="shared" si="85"/>
        <v>0</v>
      </c>
      <c r="CK21" s="261"/>
      <c r="CL21" s="261"/>
      <c r="CM21" s="261"/>
      <c r="CN21" s="251">
        <f t="shared" si="28"/>
        <v>0</v>
      </c>
      <c r="CO21" s="249">
        <v>0</v>
      </c>
      <c r="CP21" s="250">
        <f t="shared" si="86"/>
        <v>0</v>
      </c>
      <c r="CQ21" s="261">
        <v>0</v>
      </c>
      <c r="CR21" s="261"/>
      <c r="CS21" s="261"/>
      <c r="CT21" s="251">
        <f t="shared" si="29"/>
        <v>0</v>
      </c>
      <c r="CU21" s="249">
        <v>0</v>
      </c>
      <c r="CV21" s="250">
        <f t="shared" si="87"/>
        <v>0</v>
      </c>
      <c r="CW21" s="261">
        <v>0</v>
      </c>
      <c r="CX21" s="261"/>
      <c r="CY21" s="261"/>
      <c r="CZ21" s="251">
        <f t="shared" si="30"/>
        <v>0</v>
      </c>
      <c r="DA21" s="249">
        <v>0</v>
      </c>
      <c r="DB21" s="250">
        <f t="shared" si="88"/>
        <v>0</v>
      </c>
      <c r="DC21" s="261">
        <v>0</v>
      </c>
      <c r="DD21" s="261"/>
      <c r="DE21" s="261"/>
      <c r="DF21" s="251">
        <f t="shared" si="31"/>
        <v>0</v>
      </c>
      <c r="DG21" s="249">
        <v>0</v>
      </c>
      <c r="DH21" s="250">
        <f t="shared" si="89"/>
        <v>0</v>
      </c>
      <c r="DI21" s="261">
        <v>0</v>
      </c>
      <c r="DJ21" s="261"/>
      <c r="DK21" s="261"/>
      <c r="DL21" s="251">
        <f t="shared" si="33"/>
        <v>0</v>
      </c>
      <c r="DM21" s="249">
        <v>0</v>
      </c>
      <c r="DN21" s="250">
        <f t="shared" si="90"/>
        <v>0</v>
      </c>
      <c r="DO21" s="261">
        <v>0</v>
      </c>
      <c r="DP21" s="261"/>
      <c r="DQ21" s="261"/>
      <c r="DR21" s="251">
        <f t="shared" si="34"/>
        <v>0</v>
      </c>
      <c r="DS21" s="249">
        <v>0</v>
      </c>
      <c r="DT21" s="250">
        <f t="shared" si="91"/>
        <v>0</v>
      </c>
      <c r="DU21" s="261">
        <v>0</v>
      </c>
      <c r="DV21" s="261"/>
      <c r="DW21" s="261"/>
      <c r="DX21" s="251">
        <f t="shared" si="35"/>
        <v>0</v>
      </c>
      <c r="DY21" s="249">
        <f>'Net NR'!DD21</f>
        <v>0</v>
      </c>
      <c r="DZ21" s="250">
        <f t="shared" si="7"/>
        <v>0</v>
      </c>
      <c r="EA21" s="261">
        <f>'Net NR'!DF21</f>
        <v>0</v>
      </c>
      <c r="EB21" s="261">
        <f t="shared" si="66"/>
        <v>0</v>
      </c>
      <c r="EC21" s="261">
        <f>'Net NR'!DG21</f>
        <v>0</v>
      </c>
      <c r="ED21" s="251">
        <f t="shared" si="37"/>
        <v>0</v>
      </c>
      <c r="EE21" s="249">
        <f>'Net NR'!DI21</f>
        <v>0</v>
      </c>
      <c r="EF21" s="250">
        <f t="shared" si="8"/>
        <v>0</v>
      </c>
      <c r="EG21" s="261">
        <f>'Net NR'!DK21</f>
        <v>0</v>
      </c>
      <c r="EH21" s="261">
        <f t="shared" si="67"/>
        <v>0</v>
      </c>
      <c r="EI21" s="261">
        <f>'Net NR'!DL21</f>
        <v>0</v>
      </c>
      <c r="EJ21" s="251">
        <f t="shared" si="39"/>
        <v>0</v>
      </c>
      <c r="EK21" s="249"/>
      <c r="EL21" s="250"/>
      <c r="EM21" s="261"/>
      <c r="EN21" s="261"/>
      <c r="EO21" s="261"/>
      <c r="EP21" s="251">
        <f t="shared" si="40"/>
        <v>0</v>
      </c>
      <c r="EQ21" s="94"/>
    </row>
    <row r="22" spans="1:148">
      <c r="A22" t="s">
        <v>216</v>
      </c>
      <c r="B22" s="249"/>
      <c r="C22" s="250">
        <f t="shared" si="71"/>
        <v>0</v>
      </c>
      <c r="D22" s="261">
        <v>0</v>
      </c>
      <c r="E22" s="261"/>
      <c r="F22" s="261"/>
      <c r="G22" s="251">
        <f t="shared" si="10"/>
        <v>0</v>
      </c>
      <c r="H22" s="249">
        <v>-3.7400000000000003E-3</v>
      </c>
      <c r="I22" s="250">
        <f t="shared" si="72"/>
        <v>-2.767404444630442E-6</v>
      </c>
      <c r="J22" s="261">
        <v>101923.94596065827</v>
      </c>
      <c r="K22" s="261"/>
      <c r="L22" s="261"/>
      <c r="M22" s="251">
        <f t="shared" si="11"/>
        <v>101923.94596065827</v>
      </c>
      <c r="N22" s="249"/>
      <c r="O22" s="250">
        <f t="shared" si="73"/>
        <v>0</v>
      </c>
      <c r="P22" s="261">
        <v>0</v>
      </c>
      <c r="Q22" s="261"/>
      <c r="R22" s="261"/>
      <c r="S22" s="251">
        <f t="shared" si="12"/>
        <v>0</v>
      </c>
      <c r="T22" s="249"/>
      <c r="U22" s="250">
        <f t="shared" si="74"/>
        <v>0</v>
      </c>
      <c r="V22" s="261">
        <v>0</v>
      </c>
      <c r="W22" s="261"/>
      <c r="X22" s="261"/>
      <c r="Y22" s="251">
        <f t="shared" si="13"/>
        <v>0</v>
      </c>
      <c r="Z22" s="249"/>
      <c r="AA22" s="250">
        <f t="shared" si="75"/>
        <v>0</v>
      </c>
      <c r="AB22" s="261">
        <v>0</v>
      </c>
      <c r="AC22" s="261"/>
      <c r="AD22" s="261"/>
      <c r="AE22" s="251">
        <f t="shared" si="14"/>
        <v>0</v>
      </c>
      <c r="AF22" s="249"/>
      <c r="AG22" s="250">
        <f t="shared" si="76"/>
        <v>0</v>
      </c>
      <c r="AH22" s="261">
        <v>0</v>
      </c>
      <c r="AI22" s="261"/>
      <c r="AJ22" s="261"/>
      <c r="AK22" s="251">
        <f t="shared" si="15"/>
        <v>0</v>
      </c>
      <c r="AL22" s="249"/>
      <c r="AM22" s="250">
        <f t="shared" si="77"/>
        <v>0</v>
      </c>
      <c r="AN22" s="261">
        <v>0</v>
      </c>
      <c r="AO22" s="261"/>
      <c r="AP22" s="261"/>
      <c r="AQ22" s="251">
        <f t="shared" si="16"/>
        <v>0</v>
      </c>
      <c r="AR22" s="249"/>
      <c r="AS22" s="250">
        <f t="shared" si="78"/>
        <v>0</v>
      </c>
      <c r="AT22" s="261"/>
      <c r="AU22" s="261"/>
      <c r="AV22" s="261"/>
      <c r="AW22" s="251">
        <f t="shared" si="17"/>
        <v>0</v>
      </c>
      <c r="AX22" s="249"/>
      <c r="AY22" s="250">
        <f t="shared" si="79"/>
        <v>0</v>
      </c>
      <c r="AZ22" s="261">
        <v>0</v>
      </c>
      <c r="BA22" s="261"/>
      <c r="BB22" s="261"/>
      <c r="BC22" s="251">
        <f t="shared" si="19"/>
        <v>0</v>
      </c>
      <c r="BD22" s="249"/>
      <c r="BE22" s="250">
        <f t="shared" si="80"/>
        <v>0</v>
      </c>
      <c r="BF22" s="261">
        <v>0</v>
      </c>
      <c r="BG22" s="261">
        <f t="shared" si="92"/>
        <v>0</v>
      </c>
      <c r="BH22" s="261"/>
      <c r="BI22" s="251">
        <f t="shared" si="21"/>
        <v>0</v>
      </c>
      <c r="BJ22" s="249"/>
      <c r="BK22" s="250">
        <f t="shared" si="81"/>
        <v>0</v>
      </c>
      <c r="BL22" s="261">
        <v>0</v>
      </c>
      <c r="BM22" s="261">
        <f t="shared" si="22"/>
        <v>0</v>
      </c>
      <c r="BN22" s="261"/>
      <c r="BO22" s="251">
        <f t="shared" si="23"/>
        <v>0</v>
      </c>
      <c r="BP22" s="249">
        <v>-5.1680000000000004E-2</v>
      </c>
      <c r="BQ22" s="250">
        <f t="shared" si="82"/>
        <v>-3.2387737199540616E-5</v>
      </c>
      <c r="BR22" s="261">
        <v>100124.80650154798</v>
      </c>
      <c r="BS22" s="261">
        <f t="shared" si="93"/>
        <v>0</v>
      </c>
      <c r="BT22" s="261"/>
      <c r="BU22" s="251">
        <f t="shared" si="24"/>
        <v>100124.80650154798</v>
      </c>
      <c r="BV22" s="94"/>
      <c r="BW22" s="249">
        <v>0</v>
      </c>
      <c r="BX22" s="250">
        <f t="shared" si="83"/>
        <v>0</v>
      </c>
      <c r="BY22" s="261">
        <v>0</v>
      </c>
      <c r="BZ22" s="261"/>
      <c r="CA22" s="261"/>
      <c r="CB22" s="251">
        <f t="shared" si="25"/>
        <v>0</v>
      </c>
      <c r="CC22" s="249"/>
      <c r="CD22" s="250">
        <f t="shared" si="84"/>
        <v>0</v>
      </c>
      <c r="CE22" s="261"/>
      <c r="CF22" s="261"/>
      <c r="CG22" s="261"/>
      <c r="CH22" s="251">
        <f t="shared" si="26"/>
        <v>0</v>
      </c>
      <c r="CI22" s="249"/>
      <c r="CJ22" s="250">
        <f t="shared" si="85"/>
        <v>0</v>
      </c>
      <c r="CK22" s="261"/>
      <c r="CL22" s="261"/>
      <c r="CM22" s="261"/>
      <c r="CN22" s="251">
        <f t="shared" si="28"/>
        <v>0</v>
      </c>
      <c r="CO22" s="249">
        <v>4.7484000000000011</v>
      </c>
      <c r="CP22" s="250">
        <f t="shared" si="86"/>
        <v>3.1073095919860179E-3</v>
      </c>
      <c r="CQ22" s="261">
        <v>84638.017016258091</v>
      </c>
      <c r="CR22" s="261">
        <f>CR25</f>
        <v>69119.593167233208</v>
      </c>
      <c r="CS22" s="261">
        <v>3290.8505774783439</v>
      </c>
      <c r="CT22" s="251">
        <f t="shared" si="29"/>
        <v>12227.573271546538</v>
      </c>
      <c r="CU22" s="249">
        <v>14.961599999999997</v>
      </c>
      <c r="CV22" s="250">
        <f t="shared" si="87"/>
        <v>8.7558013533584264E-3</v>
      </c>
      <c r="CW22" s="261">
        <v>83954.405945888153</v>
      </c>
      <c r="CX22" s="261">
        <f>CR22+1881</f>
        <v>71000.593167233208</v>
      </c>
      <c r="CY22" s="261">
        <v>3290.8505774783439</v>
      </c>
      <c r="CZ22" s="251">
        <f t="shared" si="30"/>
        <v>9662.9622011766005</v>
      </c>
      <c r="DA22" s="249">
        <v>1.5875964</v>
      </c>
      <c r="DB22" s="250">
        <f t="shared" si="88"/>
        <v>1.013329802278701E-3</v>
      </c>
      <c r="DC22" s="261">
        <v>84354.247716863028</v>
      </c>
      <c r="DD22" s="261">
        <f>CX22+4681</f>
        <v>75681.593167233208</v>
      </c>
      <c r="DE22" s="261">
        <v>1279.3994745767884</v>
      </c>
      <c r="DF22" s="251">
        <f t="shared" si="31"/>
        <v>7393.2550750530318</v>
      </c>
      <c r="DG22" s="249">
        <v>2.7971999999999992</v>
      </c>
      <c r="DH22" s="250">
        <f t="shared" si="89"/>
        <v>2.8238060835631155E-3</v>
      </c>
      <c r="DI22" s="261">
        <v>83948.652223652243</v>
      </c>
      <c r="DJ22" s="261">
        <f t="shared" ref="DJ22:DJ26" si="94">DD22</f>
        <v>75681.593167233208</v>
      </c>
      <c r="DK22" s="261">
        <v>2118.243243243242</v>
      </c>
      <c r="DL22" s="251">
        <f t="shared" si="33"/>
        <v>6148.8158131757937</v>
      </c>
      <c r="DM22" s="249">
        <v>0.89640000000000009</v>
      </c>
      <c r="DN22" s="250">
        <f t="shared" si="90"/>
        <v>8.2084699304808698E-4</v>
      </c>
      <c r="DO22" s="261">
        <v>84212.025881303009</v>
      </c>
      <c r="DP22" s="261">
        <f t="shared" ref="DP22:DP26" si="95">DJ22</f>
        <v>75681.593167233208</v>
      </c>
      <c r="DQ22" s="261">
        <v>2179.4288264167794</v>
      </c>
      <c r="DR22" s="251">
        <f t="shared" si="34"/>
        <v>6351.0038876530216</v>
      </c>
      <c r="DS22" s="249">
        <v>3.4667999999999992</v>
      </c>
      <c r="DT22" s="250">
        <f t="shared" si="91"/>
        <v>2.504371371632791E-3</v>
      </c>
      <c r="DU22" s="261">
        <v>84041.308988115852</v>
      </c>
      <c r="DV22" s="261">
        <f>DP22</f>
        <v>75681.593167233208</v>
      </c>
      <c r="DW22" s="261">
        <v>3262.0370370370356</v>
      </c>
      <c r="DX22" s="251">
        <f t="shared" si="35"/>
        <v>5097.6787838456085</v>
      </c>
      <c r="DY22" s="249">
        <f>'Net NR'!DD22</f>
        <v>4.1148000000000007</v>
      </c>
      <c r="DZ22" s="250">
        <f t="shared" si="7"/>
        <v>3.3290018420834189E-3</v>
      </c>
      <c r="EA22" s="261">
        <f>'Net NR'!DF22</f>
        <v>84047.110430640576</v>
      </c>
      <c r="EB22" s="261">
        <f t="shared" ref="EB22:EB26" si="96">EH22-1341</f>
        <v>81119</v>
      </c>
      <c r="EC22" s="261">
        <f>'Net NR'!DG22</f>
        <v>3724.1275396131064</v>
      </c>
      <c r="ED22" s="251">
        <f t="shared" si="37"/>
        <v>-796.01710897253042</v>
      </c>
      <c r="EE22" s="249">
        <f>'Net NR'!DI22</f>
        <v>4.2228000000000003</v>
      </c>
      <c r="EF22" s="250">
        <f t="shared" si="8"/>
        <v>3.0668257652131836E-3</v>
      </c>
      <c r="EG22" s="261">
        <f>'Net NR'!DK22</f>
        <v>84107.971014492738</v>
      </c>
      <c r="EH22" s="261">
        <f t="shared" ref="EH22:EH26" si="97">EN22-792</f>
        <v>82460</v>
      </c>
      <c r="EI22" s="261">
        <f>'Net NR'!DL22</f>
        <v>3802.3065264753218</v>
      </c>
      <c r="EJ22" s="251">
        <f t="shared" si="39"/>
        <v>-2154.3355119825842</v>
      </c>
      <c r="EK22" s="249">
        <v>3.9828000000000006</v>
      </c>
      <c r="EL22" s="250">
        <f t="shared" ref="EL22:EL27" si="98">EK22/EK$27</f>
        <v>2.7206449956622865E-3</v>
      </c>
      <c r="EM22" s="261">
        <v>84022.521843928902</v>
      </c>
      <c r="EN22" s="261">
        <v>83252</v>
      </c>
      <c r="EO22" s="261">
        <v>3717.954705232497</v>
      </c>
      <c r="EP22" s="251">
        <f t="shared" si="40"/>
        <v>-2947.432861303595</v>
      </c>
      <c r="EQ22" s="94"/>
    </row>
    <row r="23" spans="1:148">
      <c r="A23" s="103" t="s">
        <v>137</v>
      </c>
      <c r="B23" s="249"/>
      <c r="C23" s="250">
        <f t="shared" si="71"/>
        <v>0</v>
      </c>
      <c r="D23" s="261">
        <v>0</v>
      </c>
      <c r="E23" s="261"/>
      <c r="F23" s="261"/>
      <c r="G23" s="251">
        <f t="shared" si="10"/>
        <v>0</v>
      </c>
      <c r="H23" s="249"/>
      <c r="I23" s="250">
        <f t="shared" si="72"/>
        <v>0</v>
      </c>
      <c r="J23" s="261">
        <v>0</v>
      </c>
      <c r="K23" s="261"/>
      <c r="L23" s="261"/>
      <c r="M23" s="251">
        <f t="shared" si="11"/>
        <v>0</v>
      </c>
      <c r="N23" s="249">
        <v>25.228800000000028</v>
      </c>
      <c r="O23" s="250">
        <f t="shared" si="73"/>
        <v>1.6856526102485184E-2</v>
      </c>
      <c r="P23" s="261">
        <v>86635.354066559463</v>
      </c>
      <c r="Q23" s="261">
        <v>67152.302151507247</v>
      </c>
      <c r="R23" s="261">
        <v>5260.0151681577281</v>
      </c>
      <c r="S23" s="251">
        <f t="shared" si="12"/>
        <v>14223.036746894488</v>
      </c>
      <c r="T23" s="249">
        <v>12.038400000000001</v>
      </c>
      <c r="U23" s="250">
        <f t="shared" si="74"/>
        <v>8.5183646233015116E-3</v>
      </c>
      <c r="V23" s="261">
        <v>84817.586819417527</v>
      </c>
      <c r="W23" s="261">
        <f t="shared" ref="W23:W25" si="99">Q23-($Q$6-$W$6)</f>
        <v>67355.963896507252</v>
      </c>
      <c r="X23" s="261">
        <v>3253.9820214377587</v>
      </c>
      <c r="Y23" s="251">
        <f t="shared" si="13"/>
        <v>14207.640901472518</v>
      </c>
      <c r="Z23" s="249">
        <v>49.259520000000002</v>
      </c>
      <c r="AA23" s="250">
        <f t="shared" si="75"/>
        <v>3.3637028792027977E-2</v>
      </c>
      <c r="AB23" s="261">
        <v>84817.586819417542</v>
      </c>
      <c r="AC23" s="261">
        <f t="shared" ref="AC23:AC25" si="100">W23-($W$6-$AC$6)</f>
        <v>67538.320544729169</v>
      </c>
      <c r="AD23" s="261">
        <v>18829.776341361739</v>
      </c>
      <c r="AE23" s="251">
        <f t="shared" si="14"/>
        <v>-1550.510066673367</v>
      </c>
      <c r="AF23" s="249">
        <v>23.833280000000002</v>
      </c>
      <c r="AG23" s="250">
        <f t="shared" si="76"/>
        <v>1.6441750213415946E-2</v>
      </c>
      <c r="AH23" s="261">
        <v>84817.586819417527</v>
      </c>
      <c r="AI23" s="261">
        <f t="shared" ref="AI23:AI25" si="101">AC23-($AC$6-$AI$6)</f>
        <v>66455.112334729172</v>
      </c>
      <c r="AJ23" s="261">
        <v>19294.837118159478</v>
      </c>
      <c r="AK23" s="251">
        <f t="shared" si="15"/>
        <v>-932.36263347112254</v>
      </c>
      <c r="AL23" s="249">
        <v>14.353920000000006</v>
      </c>
      <c r="AM23" s="250">
        <f t="shared" si="77"/>
        <v>9.6094907860678012E-3</v>
      </c>
      <c r="AN23" s="261">
        <v>84760.655959646116</v>
      </c>
      <c r="AO23" s="261">
        <f>AI23</f>
        <v>66455.112334729172</v>
      </c>
      <c r="AP23" s="261">
        <v>16271.798560413063</v>
      </c>
      <c r="AQ23" s="251">
        <f t="shared" si="16"/>
        <v>2033.7450645038807</v>
      </c>
      <c r="AR23" s="249">
        <v>29.214720000000014</v>
      </c>
      <c r="AS23" s="250">
        <f t="shared" si="78"/>
        <v>2.2138358267724038E-2</v>
      </c>
      <c r="AT23" s="261">
        <v>84791.169244240547</v>
      </c>
      <c r="AU23" s="261">
        <f t="shared" ref="AU23:AU25" si="102">AO23-2739</f>
        <v>63716.112334729172</v>
      </c>
      <c r="AV23" s="261">
        <v>17817.641515753035</v>
      </c>
      <c r="AW23" s="251">
        <f t="shared" si="17"/>
        <v>3257.4153937583396</v>
      </c>
      <c r="AX23" s="249">
        <v>26.26560000000001</v>
      </c>
      <c r="AY23" s="250">
        <f t="shared" si="79"/>
        <v>2.3206553967094184E-2</v>
      </c>
      <c r="AZ23" s="261">
        <v>84799.438048245574</v>
      </c>
      <c r="BA23" s="261">
        <f t="shared" si="18"/>
        <v>61941.112334729172</v>
      </c>
      <c r="BB23" s="261">
        <v>19110.123126827486</v>
      </c>
      <c r="BC23" s="251">
        <f t="shared" si="19"/>
        <v>3748.2025866889162</v>
      </c>
      <c r="BD23" s="249">
        <v>37.082879999999996</v>
      </c>
      <c r="BE23" s="250">
        <f t="shared" si="80"/>
        <v>2.7781139961110202E-2</v>
      </c>
      <c r="BF23" s="261">
        <v>84792.857512685136</v>
      </c>
      <c r="BG23" s="261">
        <f t="shared" ref="BG23:BG25" si="103">BA23+1242</f>
        <v>63183.112334729172</v>
      </c>
      <c r="BH23" s="261">
        <v>18495.380348020437</v>
      </c>
      <c r="BI23" s="251">
        <f t="shared" si="21"/>
        <v>3114.3648299355264</v>
      </c>
      <c r="BJ23" s="249">
        <v>47.946240000000024</v>
      </c>
      <c r="BK23" s="250">
        <f t="shared" si="81"/>
        <v>3.3910261377686574E-2</v>
      </c>
      <c r="BL23" s="261">
        <v>84814.366882575137</v>
      </c>
      <c r="BM23" s="261">
        <f t="shared" si="22"/>
        <v>63183.112334729172</v>
      </c>
      <c r="BN23" s="261">
        <v>18746.452902250508</v>
      </c>
      <c r="BO23" s="251">
        <f t="shared" si="23"/>
        <v>2884.8016455954566</v>
      </c>
      <c r="BP23" s="249">
        <v>52.738560000000014</v>
      </c>
      <c r="BQ23" s="250">
        <f t="shared" si="82"/>
        <v>3.3051134318154124E-2</v>
      </c>
      <c r="BR23" s="261">
        <v>84774.546366074486</v>
      </c>
      <c r="BS23" s="261">
        <f t="shared" ref="BS23:BS25" si="104">BM23+2010</f>
        <v>65193.112334729172</v>
      </c>
      <c r="BT23" s="261">
        <v>18675.42932533615</v>
      </c>
      <c r="BU23" s="251">
        <f t="shared" si="24"/>
        <v>906.00470600916378</v>
      </c>
      <c r="BV23" s="94"/>
      <c r="BW23" s="249">
        <v>99.475199999999958</v>
      </c>
      <c r="BX23" s="250">
        <f t="shared" si="83"/>
        <v>5.0282079918735664E-2</v>
      </c>
      <c r="BY23" s="261">
        <v>84446.500936917015</v>
      </c>
      <c r="BZ23" s="261">
        <f>BS23+1758</f>
        <v>66951.112334729172</v>
      </c>
      <c r="CA23" s="261">
        <v>18200.047951650264</v>
      </c>
      <c r="CB23" s="251">
        <f t="shared" si="25"/>
        <v>-704.65934946242123</v>
      </c>
      <c r="CC23" s="249">
        <v>186.31295999999983</v>
      </c>
      <c r="CD23" s="250">
        <f t="shared" si="84"/>
        <v>9.0671488407444906E-2</v>
      </c>
      <c r="CE23" s="261">
        <v>84469.602168308586</v>
      </c>
      <c r="CF23" s="261">
        <f t="shared" ref="CF23:CF25" si="105">BZ23</f>
        <v>66951.112334729172</v>
      </c>
      <c r="CG23" s="261">
        <v>18011.309465535851</v>
      </c>
      <c r="CH23" s="251">
        <f t="shared" si="26"/>
        <v>-492.81963195643766</v>
      </c>
      <c r="CI23" s="249">
        <v>41.333759999999998</v>
      </c>
      <c r="CJ23" s="250">
        <f t="shared" si="85"/>
        <v>1.9562071536074154E-2</v>
      </c>
      <c r="CK23" s="261">
        <v>84485.557568438147</v>
      </c>
      <c r="CL23" s="261">
        <f t="shared" ref="CL23:CL25" si="106">CF23+1760</f>
        <v>68711.112334729172</v>
      </c>
      <c r="CM23" s="261">
        <v>12272.735410473178</v>
      </c>
      <c r="CN23" s="251">
        <f t="shared" si="28"/>
        <v>3501.7098232357966</v>
      </c>
      <c r="CO23" s="249">
        <v>22.014720000000029</v>
      </c>
      <c r="CP23" s="250">
        <f t="shared" si="86"/>
        <v>1.4406231703497283E-2</v>
      </c>
      <c r="CQ23" s="261">
        <v>84448.041583086146</v>
      </c>
      <c r="CR23" s="261">
        <f t="shared" ref="CR23:CR26" si="107">CL23+810</f>
        <v>69521.112334729172</v>
      </c>
      <c r="CS23" s="261">
        <v>11706.527269027252</v>
      </c>
      <c r="CT23" s="251">
        <f t="shared" si="29"/>
        <v>3220.4019793297211</v>
      </c>
      <c r="CU23" s="249">
        <v>28.21672000000002</v>
      </c>
      <c r="CV23" s="250">
        <f t="shared" si="87"/>
        <v>1.6512939469263715E-2</v>
      </c>
      <c r="CW23" s="261">
        <v>84446.024555653581</v>
      </c>
      <c r="CX23" s="261">
        <f>CR23+1881</f>
        <v>71402.112334729172</v>
      </c>
      <c r="CY23" s="261">
        <v>11898.911709085945</v>
      </c>
      <c r="CZ23" s="251">
        <f t="shared" si="30"/>
        <v>1145.0005118384634</v>
      </c>
      <c r="DA23" s="249">
        <v>25.20576000000003</v>
      </c>
      <c r="DB23" s="250">
        <f t="shared" si="88"/>
        <v>1.6088312997613513E-2</v>
      </c>
      <c r="DC23" s="261">
        <v>84475.371502386668</v>
      </c>
      <c r="DD23" s="261">
        <f t="shared" ref="DD23:DD26" si="108">CX23+4681</f>
        <v>76083.112334729172</v>
      </c>
      <c r="DE23" s="261">
        <v>11520.047005128976</v>
      </c>
      <c r="DF23" s="251">
        <f t="shared" si="31"/>
        <v>-3127.7878374714801</v>
      </c>
      <c r="DG23" s="249">
        <v>13.121280000000008</v>
      </c>
      <c r="DH23" s="250">
        <f t="shared" si="89"/>
        <v>1.3246085474093762E-2</v>
      </c>
      <c r="DI23" s="261">
        <v>84476.781990781354</v>
      </c>
      <c r="DJ23" s="261">
        <f t="shared" si="94"/>
        <v>76083.112334729172</v>
      </c>
      <c r="DK23" s="261">
        <v>7258.8040191200826</v>
      </c>
      <c r="DL23" s="251">
        <f t="shared" si="33"/>
        <v>1134.8656369320988</v>
      </c>
      <c r="DM23" s="249">
        <v>38.436720000000008</v>
      </c>
      <c r="DN23" s="250">
        <f t="shared" si="90"/>
        <v>3.5197083929753757E-2</v>
      </c>
      <c r="DO23" s="261">
        <v>84451.728971670876</v>
      </c>
      <c r="DP23" s="261">
        <f t="shared" si="95"/>
        <v>76083.112334729172</v>
      </c>
      <c r="DQ23" s="261">
        <v>7356.176853800217</v>
      </c>
      <c r="DR23" s="251">
        <f t="shared" si="34"/>
        <v>1012.4397831414872</v>
      </c>
      <c r="DS23" s="249">
        <v>2.1439999999999997</v>
      </c>
      <c r="DT23" s="250">
        <f t="shared" si="91"/>
        <v>1.5487978022328097E-3</v>
      </c>
      <c r="DU23" s="261">
        <v>84491.263992537337</v>
      </c>
      <c r="DV23" s="261">
        <f>DP23</f>
        <v>76083.112334729172</v>
      </c>
      <c r="DW23" s="261">
        <v>5236.7957089552237</v>
      </c>
      <c r="DX23" s="251">
        <f t="shared" si="35"/>
        <v>3171.3559488529409</v>
      </c>
      <c r="DY23" s="249">
        <f>'Net NR'!DD23</f>
        <v>0.46079999999999999</v>
      </c>
      <c r="DZ23" s="250">
        <f t="shared" si="7"/>
        <v>3.7280160611257877E-4</v>
      </c>
      <c r="EA23" s="261">
        <f>'Net NR'!DF23</f>
        <v>84817.599826388891</v>
      </c>
      <c r="EB23" s="261">
        <f t="shared" si="96"/>
        <v>76136</v>
      </c>
      <c r="EC23" s="261">
        <f>'Net NR'!DG23</f>
        <v>48.220486111111114</v>
      </c>
      <c r="ED23" s="251">
        <f t="shared" si="37"/>
        <v>8633.3793402777792</v>
      </c>
      <c r="EE23" s="249">
        <f>'Net NR'!DI23</f>
        <v>0.39167999999999997</v>
      </c>
      <c r="EF23" s="250">
        <f t="shared" si="8"/>
        <v>2.8445920141107785E-4</v>
      </c>
      <c r="EG23" s="261">
        <f>'Net NR'!DK23</f>
        <v>84817.63174019607</v>
      </c>
      <c r="EH23" s="261">
        <f t="shared" si="97"/>
        <v>77477</v>
      </c>
      <c r="EI23" s="261">
        <f>'Net NR'!DL23</f>
        <v>283.59885620915037</v>
      </c>
      <c r="EJ23" s="251">
        <f t="shared" si="39"/>
        <v>7057.0328839869189</v>
      </c>
      <c r="EK23" s="249">
        <v>0.20735999999999999</v>
      </c>
      <c r="EL23" s="250">
        <f t="shared" si="98"/>
        <v>1.4164732005135373E-4</v>
      </c>
      <c r="EM23" s="261">
        <v>84817.563657407401</v>
      </c>
      <c r="EN23" s="261">
        <v>78269</v>
      </c>
      <c r="EO23" s="261">
        <v>0</v>
      </c>
      <c r="EP23" s="251">
        <f t="shared" si="40"/>
        <v>6548.5636574074015</v>
      </c>
      <c r="EQ23" s="94"/>
    </row>
    <row r="24" spans="1:148">
      <c r="A24" s="103" t="s">
        <v>138</v>
      </c>
      <c r="B24" s="249"/>
      <c r="C24" s="250">
        <f t="shared" si="71"/>
        <v>0</v>
      </c>
      <c r="D24" s="261">
        <v>0</v>
      </c>
      <c r="E24" s="261"/>
      <c r="F24" s="261"/>
      <c r="G24" s="251">
        <f t="shared" si="10"/>
        <v>0</v>
      </c>
      <c r="H24" s="249"/>
      <c r="I24" s="250">
        <f t="shared" si="72"/>
        <v>0</v>
      </c>
      <c r="J24" s="261">
        <v>0</v>
      </c>
      <c r="K24" s="261"/>
      <c r="L24" s="261"/>
      <c r="M24" s="251">
        <f t="shared" si="11"/>
        <v>0</v>
      </c>
      <c r="N24" s="249">
        <v>16.309999999999999</v>
      </c>
      <c r="O24" s="250">
        <f t="shared" si="73"/>
        <v>1.0897464038382048E-2</v>
      </c>
      <c r="P24" s="261">
        <v>94489.995792051894</v>
      </c>
      <c r="Q24" s="261">
        <v>67207.210991294734</v>
      </c>
      <c r="R24" s="261">
        <v>4427.8026590047311</v>
      </c>
      <c r="S24" s="251">
        <f t="shared" si="12"/>
        <v>22854.982141752429</v>
      </c>
      <c r="T24" s="249">
        <v>158.97</v>
      </c>
      <c r="U24" s="250">
        <f t="shared" si="74"/>
        <v>0.11248707670174118</v>
      </c>
      <c r="V24" s="261">
        <v>92308.745446756235</v>
      </c>
      <c r="W24" s="261">
        <f t="shared" si="99"/>
        <v>67410.872736294739</v>
      </c>
      <c r="X24" s="261">
        <v>10000.462741501284</v>
      </c>
      <c r="Y24" s="251">
        <f t="shared" si="13"/>
        <v>14897.409968960212</v>
      </c>
      <c r="Z24" s="249">
        <v>156.78049999999973</v>
      </c>
      <c r="AA24" s="250">
        <f t="shared" si="75"/>
        <v>0.10705809136038137</v>
      </c>
      <c r="AB24" s="261">
        <v>92276.536579555061</v>
      </c>
      <c r="AC24" s="261">
        <f t="shared" si="100"/>
        <v>67593.229384516657</v>
      </c>
      <c r="AD24" s="261">
        <v>9394.3829015686169</v>
      </c>
      <c r="AE24" s="251">
        <f t="shared" si="14"/>
        <v>15288.924293469787</v>
      </c>
      <c r="AF24" s="249">
        <v>157.72399999999939</v>
      </c>
      <c r="AG24" s="250">
        <f t="shared" si="76"/>
        <v>0.10880829708125807</v>
      </c>
      <c r="AH24" s="261">
        <v>92204.191530074444</v>
      </c>
      <c r="AI24" s="261">
        <f t="shared" si="101"/>
        <v>66510.02117451666</v>
      </c>
      <c r="AJ24" s="261">
        <v>9358.2583979707979</v>
      </c>
      <c r="AK24" s="251">
        <f t="shared" si="15"/>
        <v>16335.911957586986</v>
      </c>
      <c r="AL24" s="249">
        <v>185.90199999999928</v>
      </c>
      <c r="AM24" s="250">
        <f t="shared" si="77"/>
        <v>0.12445544883290201</v>
      </c>
      <c r="AN24" s="261">
        <v>92300.286988520835</v>
      </c>
      <c r="AO24" s="261">
        <v>66469.458042647049</v>
      </c>
      <c r="AP24" s="261">
        <v>9680.6066956580398</v>
      </c>
      <c r="AQ24" s="251">
        <f t="shared" si="16"/>
        <v>16150.222250215746</v>
      </c>
      <c r="AR24" s="249">
        <v>192.6279999999995</v>
      </c>
      <c r="AS24" s="250">
        <f t="shared" si="78"/>
        <v>0.14596982878477469</v>
      </c>
      <c r="AT24" s="261">
        <v>92320.20368155271</v>
      </c>
      <c r="AU24" s="261">
        <f t="shared" si="102"/>
        <v>63730.458042647049</v>
      </c>
      <c r="AV24" s="261">
        <v>7410.4684325142416</v>
      </c>
      <c r="AW24" s="251">
        <f t="shared" si="17"/>
        <v>21179.27720639142</v>
      </c>
      <c r="AX24" s="249">
        <v>170.84799399999986</v>
      </c>
      <c r="AY24" s="250">
        <f t="shared" si="79"/>
        <v>0.15095003323475492</v>
      </c>
      <c r="AZ24" s="261">
        <v>92285.230401944311</v>
      </c>
      <c r="BA24" s="261">
        <f t="shared" si="18"/>
        <v>61955.458042647049</v>
      </c>
      <c r="BB24" s="261">
        <v>6553.694742239717</v>
      </c>
      <c r="BC24" s="251">
        <f t="shared" si="19"/>
        <v>23776.077617057545</v>
      </c>
      <c r="BD24" s="249">
        <v>170.1244999999997</v>
      </c>
      <c r="BE24" s="250">
        <f t="shared" si="80"/>
        <v>0.12745106489339245</v>
      </c>
      <c r="BF24" s="261">
        <v>92332.52670838144</v>
      </c>
      <c r="BG24" s="261">
        <f t="shared" si="103"/>
        <v>63197.458042647049</v>
      </c>
      <c r="BH24" s="261">
        <v>6204.1432597891844</v>
      </c>
      <c r="BI24" s="251">
        <f t="shared" si="21"/>
        <v>22930.925405945207</v>
      </c>
      <c r="BJ24" s="249">
        <v>175.08248999999941</v>
      </c>
      <c r="BK24" s="250">
        <f t="shared" si="81"/>
        <v>0.12382812496988654</v>
      </c>
      <c r="BL24" s="261">
        <v>92274.909101418423</v>
      </c>
      <c r="BM24" s="261">
        <f t="shared" si="22"/>
        <v>63197.458042647049</v>
      </c>
      <c r="BN24" s="261">
        <v>6481.7543433384262</v>
      </c>
      <c r="BO24" s="251">
        <f t="shared" si="23"/>
        <v>22595.696715432947</v>
      </c>
      <c r="BP24" s="249">
        <v>245.07800999999949</v>
      </c>
      <c r="BQ24" s="250">
        <f t="shared" si="82"/>
        <v>0.15358982548890035</v>
      </c>
      <c r="BR24" s="261">
        <v>92675.014824871701</v>
      </c>
      <c r="BS24" s="261">
        <f t="shared" si="104"/>
        <v>65207.458042647049</v>
      </c>
      <c r="BT24" s="261">
        <v>9631.8169467754869</v>
      </c>
      <c r="BU24" s="251">
        <f t="shared" si="24"/>
        <v>17835.739835449167</v>
      </c>
      <c r="BV24" s="94"/>
      <c r="BW24" s="249">
        <v>292.08949400000091</v>
      </c>
      <c r="BX24" s="250">
        <f t="shared" si="83"/>
        <v>0.14764350592641295</v>
      </c>
      <c r="BY24" s="261">
        <v>92215.286558713356</v>
      </c>
      <c r="BZ24" s="261">
        <f>BS24+1758</f>
        <v>66965.458042647049</v>
      </c>
      <c r="CA24" s="261">
        <v>8832.5855339564332</v>
      </c>
      <c r="CB24" s="251">
        <f t="shared" si="25"/>
        <v>16417.242982109874</v>
      </c>
      <c r="CC24" s="249">
        <v>267.87799799999999</v>
      </c>
      <c r="CD24" s="250">
        <f t="shared" si="84"/>
        <v>0.13036611511226365</v>
      </c>
      <c r="CE24" s="261">
        <v>92198.201025826507</v>
      </c>
      <c r="CF24" s="261">
        <f t="shared" si="105"/>
        <v>66965.458042647049</v>
      </c>
      <c r="CG24" s="261">
        <v>8832.5855339564332</v>
      </c>
      <c r="CH24" s="251">
        <f t="shared" si="26"/>
        <v>16400.157449223025</v>
      </c>
      <c r="CI24" s="249">
        <v>290.30149800000129</v>
      </c>
      <c r="CJ24" s="250">
        <f t="shared" si="85"/>
        <v>0.13739129154728516</v>
      </c>
      <c r="CK24" s="261">
        <v>92178.936396669684</v>
      </c>
      <c r="CL24" s="261">
        <f t="shared" si="106"/>
        <v>68725.458042647049</v>
      </c>
      <c r="CM24" s="261">
        <v>7969.0217099740021</v>
      </c>
      <c r="CN24" s="251">
        <f t="shared" si="28"/>
        <v>15484.456644048632</v>
      </c>
      <c r="CO24" s="249">
        <v>236.8850020000001</v>
      </c>
      <c r="CP24" s="250">
        <f t="shared" si="86"/>
        <v>0.15501538179433644</v>
      </c>
      <c r="CQ24" s="261">
        <v>92203.942822855446</v>
      </c>
      <c r="CR24" s="261">
        <f t="shared" si="107"/>
        <v>69535.458042647049</v>
      </c>
      <c r="CS24" s="261">
        <v>8386.5087837008869</v>
      </c>
      <c r="CT24" s="251">
        <f t="shared" si="29"/>
        <v>14281.97599650751</v>
      </c>
      <c r="CU24" s="249">
        <v>185.14749200000017</v>
      </c>
      <c r="CV24" s="250">
        <f t="shared" si="87"/>
        <v>0.10835169106409211</v>
      </c>
      <c r="CW24" s="261">
        <v>92235.121337749355</v>
      </c>
      <c r="CX24" s="261">
        <f>CR24+1881</f>
        <v>71416.458042647049</v>
      </c>
      <c r="CY24" s="261">
        <v>8229.7698636933437</v>
      </c>
      <c r="CZ24" s="251">
        <f t="shared" si="30"/>
        <v>12588.893431408962</v>
      </c>
      <c r="DA24" s="249">
        <v>25.699993999999947</v>
      </c>
      <c r="DB24" s="250">
        <f t="shared" si="88"/>
        <v>1.6403772292872262E-2</v>
      </c>
      <c r="DC24" s="261">
        <v>92113.13784742498</v>
      </c>
      <c r="DD24" s="261">
        <f t="shared" si="108"/>
        <v>76097.458042647049</v>
      </c>
      <c r="DE24" s="261">
        <v>8196.8536646351185</v>
      </c>
      <c r="DF24" s="251">
        <f t="shared" si="31"/>
        <v>7818.8261401428117</v>
      </c>
      <c r="DG24" s="249">
        <v>5.4240099999999911</v>
      </c>
      <c r="DH24" s="250">
        <f t="shared" si="89"/>
        <v>5.4756014712237788E-3</v>
      </c>
      <c r="DI24" s="261">
        <v>92091.847175798088</v>
      </c>
      <c r="DJ24" s="261">
        <f t="shared" si="94"/>
        <v>76097.458042647049</v>
      </c>
      <c r="DK24" s="261">
        <v>846.66510570592754</v>
      </c>
      <c r="DL24" s="251">
        <f t="shared" si="33"/>
        <v>15147.724027445111</v>
      </c>
      <c r="DM24" s="249">
        <v>4.2835079999999985</v>
      </c>
      <c r="DN24" s="250">
        <f t="shared" si="90"/>
        <v>3.9224728486138144E-3</v>
      </c>
      <c r="DO24" s="261">
        <v>91936.426872554046</v>
      </c>
      <c r="DP24" s="261">
        <f t="shared" si="95"/>
        <v>76097.458042647049</v>
      </c>
      <c r="DQ24" s="261">
        <v>864.66046053841899</v>
      </c>
      <c r="DR24" s="251">
        <f t="shared" si="34"/>
        <v>14974.308369368578</v>
      </c>
      <c r="DS24" s="249">
        <v>2.1295000000000002</v>
      </c>
      <c r="DT24" s="250">
        <f t="shared" si="91"/>
        <v>1.5383231902307691E-3</v>
      </c>
      <c r="DU24" s="261">
        <v>92238.440948579519</v>
      </c>
      <c r="DV24" s="261">
        <f>DP24</f>
        <v>76097.458042647049</v>
      </c>
      <c r="DW24" s="261">
        <v>1013.3787274007983</v>
      </c>
      <c r="DX24" s="251">
        <f t="shared" si="35"/>
        <v>15127.60417853167</v>
      </c>
      <c r="DY24" s="249">
        <f>'Net NR'!DD24</f>
        <v>0.77000000000000024</v>
      </c>
      <c r="DZ24" s="250">
        <f t="shared" si="7"/>
        <v>6.2295407271416184E-4</v>
      </c>
      <c r="EA24" s="261">
        <f>'Net NR'!DF24</f>
        <v>91884.064935064918</v>
      </c>
      <c r="EB24" s="261">
        <f t="shared" si="96"/>
        <v>76356.458042647049</v>
      </c>
      <c r="EC24" s="261">
        <f>'Net NR'!DG24</f>
        <v>876.75324675324669</v>
      </c>
      <c r="ED24" s="251">
        <f t="shared" si="37"/>
        <v>14650.853645664622</v>
      </c>
      <c r="EE24" s="249">
        <f>'Net NR'!DI24</f>
        <v>0.17050000000000001</v>
      </c>
      <c r="EF24" s="250">
        <f t="shared" si="8"/>
        <v>1.2382632210117644E-4</v>
      </c>
      <c r="EG24" s="261">
        <f>'Net NR'!DK24</f>
        <v>91552.375366568915</v>
      </c>
      <c r="EH24" s="261">
        <v>77697.458042647049</v>
      </c>
      <c r="EI24" s="261">
        <f>'Net NR'!DL24</f>
        <v>0.2932551319648094</v>
      </c>
      <c r="EJ24" s="251">
        <f t="shared" si="39"/>
        <v>13854.624068789901</v>
      </c>
      <c r="EK24" s="249">
        <v>0.29400000000000004</v>
      </c>
      <c r="EL24" s="250">
        <f t="shared" si="98"/>
        <v>2.0083098039688467E-4</v>
      </c>
      <c r="EM24" s="261">
        <v>91508.741496598639</v>
      </c>
      <c r="EN24" s="261">
        <f>EH24+1800</f>
        <v>79497.458042647049</v>
      </c>
      <c r="EO24" s="261">
        <v>399.42176870748295</v>
      </c>
      <c r="EP24" s="251">
        <f t="shared" si="40"/>
        <v>11611.861685244106</v>
      </c>
      <c r="EQ24" s="94"/>
    </row>
    <row r="25" spans="1:148">
      <c r="A25" s="103" t="s">
        <v>139</v>
      </c>
      <c r="B25" s="249"/>
      <c r="C25" s="250">
        <f t="shared" si="71"/>
        <v>0</v>
      </c>
      <c r="D25" s="261">
        <v>0</v>
      </c>
      <c r="E25" s="261"/>
      <c r="F25" s="261"/>
      <c r="G25" s="251">
        <f t="shared" si="10"/>
        <v>0</v>
      </c>
      <c r="H25" s="249"/>
      <c r="I25" s="250">
        <f t="shared" si="72"/>
        <v>0</v>
      </c>
      <c r="J25" s="261">
        <v>0</v>
      </c>
      <c r="K25" s="261"/>
      <c r="L25" s="261"/>
      <c r="M25" s="251">
        <f t="shared" si="11"/>
        <v>0</v>
      </c>
      <c r="N25" s="249">
        <v>4.7735999999999992</v>
      </c>
      <c r="O25" s="250">
        <f t="shared" si="73"/>
        <v>3.1894625587750177E-3</v>
      </c>
      <c r="P25" s="261">
        <v>110276.27843640196</v>
      </c>
      <c r="Q25" s="261">
        <v>66727.591631627438</v>
      </c>
      <c r="R25" s="261">
        <v>13592.995379589463</v>
      </c>
      <c r="S25" s="251">
        <f t="shared" si="12"/>
        <v>29955.691425185061</v>
      </c>
      <c r="T25" s="249">
        <v>1.3284000000000005</v>
      </c>
      <c r="U25" s="250">
        <f t="shared" si="74"/>
        <v>9.3997504365976624E-4</v>
      </c>
      <c r="V25" s="261">
        <v>108105.09185092131</v>
      </c>
      <c r="W25" s="261">
        <f t="shared" si="99"/>
        <v>66931.253376627443</v>
      </c>
      <c r="X25" s="261">
        <v>8585.6925735952464</v>
      </c>
      <c r="Y25" s="251">
        <f t="shared" si="13"/>
        <v>32588.145900698619</v>
      </c>
      <c r="Z25" s="249">
        <v>10.821599999999997</v>
      </c>
      <c r="AA25" s="250">
        <f t="shared" si="75"/>
        <v>7.3895659311298571E-3</v>
      </c>
      <c r="AB25" s="261">
        <v>108080.38443584518</v>
      </c>
      <c r="AC25" s="261">
        <f t="shared" si="100"/>
        <v>67113.61002484936</v>
      </c>
      <c r="AD25" s="261">
        <v>5720.4228774803933</v>
      </c>
      <c r="AE25" s="251">
        <f t="shared" si="14"/>
        <v>35246.351533515422</v>
      </c>
      <c r="AF25" s="249">
        <v>1.6092</v>
      </c>
      <c r="AG25" s="250">
        <f t="shared" si="76"/>
        <v>1.1101310622553394E-3</v>
      </c>
      <c r="AH25" s="261">
        <v>107746.81418744943</v>
      </c>
      <c r="AI25" s="261">
        <f t="shared" si="101"/>
        <v>66030.401814849363</v>
      </c>
      <c r="AJ25" s="261">
        <v>15033.155226475033</v>
      </c>
      <c r="AK25" s="251">
        <f t="shared" si="15"/>
        <v>26683.257146125034</v>
      </c>
      <c r="AL25" s="249">
        <v>14.581800000000014</v>
      </c>
      <c r="AM25" s="250">
        <f t="shared" si="77"/>
        <v>9.7620491645685325E-3</v>
      </c>
      <c r="AN25" s="261">
        <v>109346.61462443338</v>
      </c>
      <c r="AO25" s="261">
        <v>66053.593167233208</v>
      </c>
      <c r="AP25" s="261">
        <v>14235.737366481822</v>
      </c>
      <c r="AQ25" s="251">
        <f t="shared" si="16"/>
        <v>29057.284090718349</v>
      </c>
      <c r="AR25" s="249">
        <v>6.2423999999999991</v>
      </c>
      <c r="AS25" s="250">
        <f t="shared" si="78"/>
        <v>4.7303718006005344E-3</v>
      </c>
      <c r="AT25" s="261">
        <v>108590.72353273859</v>
      </c>
      <c r="AU25" s="261">
        <f t="shared" si="102"/>
        <v>63314.593167233208</v>
      </c>
      <c r="AV25" s="261">
        <v>5576.8746925488658</v>
      </c>
      <c r="AW25" s="251">
        <f t="shared" si="17"/>
        <v>39699.255672956511</v>
      </c>
      <c r="AX25" s="249">
        <v>10.884600000000002</v>
      </c>
      <c r="AY25" s="250">
        <f t="shared" si="79"/>
        <v>9.6169155591432631E-3</v>
      </c>
      <c r="AZ25" s="261">
        <v>109438.22097275048</v>
      </c>
      <c r="BA25" s="261">
        <f t="shared" si="18"/>
        <v>61539.593167233208</v>
      </c>
      <c r="BB25" s="261">
        <v>12302.922477628939</v>
      </c>
      <c r="BC25" s="251">
        <f t="shared" si="19"/>
        <v>35595.705327888332</v>
      </c>
      <c r="BD25" s="249">
        <v>25.328399999999963</v>
      </c>
      <c r="BE25" s="250">
        <f t="shared" si="80"/>
        <v>1.8975112650122715E-2</v>
      </c>
      <c r="BF25" s="261">
        <v>108995.26815748331</v>
      </c>
      <c r="BG25" s="261">
        <f t="shared" si="103"/>
        <v>62781.593167233208</v>
      </c>
      <c r="BH25" s="261">
        <v>16455.286160989268</v>
      </c>
      <c r="BI25" s="251">
        <f t="shared" si="21"/>
        <v>29758.388829260835</v>
      </c>
      <c r="BJ25" s="249">
        <v>31.580999999999985</v>
      </c>
      <c r="BK25" s="250">
        <f t="shared" si="81"/>
        <v>2.2335848745776911E-2</v>
      </c>
      <c r="BL25" s="261">
        <v>109791.06773059757</v>
      </c>
      <c r="BM25" s="261">
        <f t="shared" si="22"/>
        <v>62781.593167233208</v>
      </c>
      <c r="BN25" s="261">
        <v>22724.595167980766</v>
      </c>
      <c r="BO25" s="251">
        <f t="shared" si="23"/>
        <v>24284.879395383596</v>
      </c>
      <c r="BP25" s="249">
        <v>81.886200000000031</v>
      </c>
      <c r="BQ25" s="250">
        <f t="shared" si="82"/>
        <v>5.131789330241919E-2</v>
      </c>
      <c r="BR25" s="261">
        <v>109528.63620487947</v>
      </c>
      <c r="BS25" s="261">
        <f t="shared" si="104"/>
        <v>64791.593167233208</v>
      </c>
      <c r="BT25" s="261">
        <v>23502.557573803635</v>
      </c>
      <c r="BU25" s="251">
        <f t="shared" si="24"/>
        <v>21234.485463842626</v>
      </c>
      <c r="BV25" s="94"/>
      <c r="BW25" s="249">
        <v>79.930800000000076</v>
      </c>
      <c r="BX25" s="250">
        <f t="shared" si="83"/>
        <v>4.040290317152901E-2</v>
      </c>
      <c r="BY25" s="261">
        <v>108769.32346479701</v>
      </c>
      <c r="BZ25" s="261">
        <f>BS25+1758</f>
        <v>66549.593167233208</v>
      </c>
      <c r="CA25" s="261">
        <v>18086.15089552461</v>
      </c>
      <c r="CB25" s="251">
        <f t="shared" si="25"/>
        <v>24133.579402039191</v>
      </c>
      <c r="CC25" s="249">
        <v>27.17039999999999</v>
      </c>
      <c r="CD25" s="250">
        <f t="shared" si="84"/>
        <v>1.3222808593807121E-2</v>
      </c>
      <c r="CE25" s="261">
        <v>108182.03081294351</v>
      </c>
      <c r="CF25" s="261">
        <f t="shared" si="105"/>
        <v>66549.593167233208</v>
      </c>
      <c r="CG25" s="261">
        <v>14805.595059329265</v>
      </c>
      <c r="CH25" s="251">
        <f t="shared" si="26"/>
        <v>26826.842586381041</v>
      </c>
      <c r="CI25" s="249">
        <v>46.072800000000029</v>
      </c>
      <c r="CJ25" s="250">
        <f t="shared" si="85"/>
        <v>2.1804921920174643E-2</v>
      </c>
      <c r="CK25" s="261">
        <v>108761.95217134617</v>
      </c>
      <c r="CL25" s="261">
        <f t="shared" si="106"/>
        <v>68309.593167233208</v>
      </c>
      <c r="CM25" s="261">
        <v>15100.801557535024</v>
      </c>
      <c r="CN25" s="251">
        <f t="shared" si="28"/>
        <v>25351.557446577943</v>
      </c>
      <c r="CO25" s="249">
        <v>59.162400000000041</v>
      </c>
      <c r="CP25" s="250">
        <f t="shared" si="86"/>
        <v>3.8715334218876601E-2</v>
      </c>
      <c r="CQ25" s="261">
        <v>109022.06807026076</v>
      </c>
      <c r="CR25" s="261">
        <f t="shared" si="107"/>
        <v>69119.593167233208</v>
      </c>
      <c r="CS25" s="261">
        <v>18602.926858950941</v>
      </c>
      <c r="CT25" s="251">
        <f t="shared" si="29"/>
        <v>21299.548044076615</v>
      </c>
      <c r="CU25" s="249">
        <v>78.861600000000024</v>
      </c>
      <c r="CV25" s="250">
        <f t="shared" si="87"/>
        <v>4.6151247460700144E-2</v>
      </c>
      <c r="CW25" s="261">
        <v>108941.89034967587</v>
      </c>
      <c r="CX25" s="261">
        <f>CR25+1881</f>
        <v>71000.593167233208</v>
      </c>
      <c r="CY25" s="261">
        <v>19528.85422055854</v>
      </c>
      <c r="CZ25" s="251">
        <f t="shared" si="30"/>
        <v>18412.442961884124</v>
      </c>
      <c r="DA25" s="249">
        <v>22.583999999999985</v>
      </c>
      <c r="DB25" s="250">
        <f t="shared" si="88"/>
        <v>1.4414898052592063E-2</v>
      </c>
      <c r="DC25" s="261">
        <v>107814.84900814736</v>
      </c>
      <c r="DD25" s="261">
        <f t="shared" si="108"/>
        <v>75681.593167233208</v>
      </c>
      <c r="DE25" s="261">
        <v>10253.590152320237</v>
      </c>
      <c r="DF25" s="251">
        <f t="shared" si="31"/>
        <v>21879.665688593912</v>
      </c>
      <c r="DG25" s="249">
        <v>47.20680000000003</v>
      </c>
      <c r="DH25" s="250">
        <f t="shared" si="89"/>
        <v>4.7655816182449379E-2</v>
      </c>
      <c r="DI25" s="261">
        <v>108167.42354914955</v>
      </c>
      <c r="DJ25" s="261">
        <f t="shared" si="94"/>
        <v>75681.593167233208</v>
      </c>
      <c r="DK25" s="261">
        <v>14127.926061499609</v>
      </c>
      <c r="DL25" s="251">
        <f t="shared" si="33"/>
        <v>18357.904320416732</v>
      </c>
      <c r="DM25" s="249">
        <v>53.694000000000017</v>
      </c>
      <c r="DN25" s="250">
        <f t="shared" si="90"/>
        <v>4.916840522615349E-2</v>
      </c>
      <c r="DO25" s="261">
        <v>108484.07457071546</v>
      </c>
      <c r="DP25" s="261">
        <f t="shared" si="95"/>
        <v>75681.593167233208</v>
      </c>
      <c r="DQ25" s="261">
        <v>17039.338846053561</v>
      </c>
      <c r="DR25" s="251">
        <f t="shared" si="34"/>
        <v>15763.142557428688</v>
      </c>
      <c r="DS25" s="249">
        <v>66.402000000000072</v>
      </c>
      <c r="DT25" s="250">
        <f t="shared" si="91"/>
        <v>4.7967943873070504E-2</v>
      </c>
      <c r="DU25" s="261">
        <v>108480.54576669358</v>
      </c>
      <c r="DV25" s="261">
        <f>DP25</f>
        <v>75681.593167233208</v>
      </c>
      <c r="DW25" s="261">
        <v>14534.396253124889</v>
      </c>
      <c r="DX25" s="251">
        <f t="shared" si="35"/>
        <v>18264.556346335485</v>
      </c>
      <c r="DY25" s="249">
        <f>'Net NR'!DD25</f>
        <v>70.78320000000015</v>
      </c>
      <c r="DZ25" s="250">
        <f t="shared" si="7"/>
        <v>5.7265821713949533E-2</v>
      </c>
      <c r="EA25" s="261">
        <f>'Net NR'!DF25</f>
        <v>108284.51129646567</v>
      </c>
      <c r="EB25" s="261">
        <f t="shared" si="96"/>
        <v>79478</v>
      </c>
      <c r="EC25" s="261">
        <f>'Net NR'!DG25</f>
        <v>12972.945133873547</v>
      </c>
      <c r="ED25" s="251">
        <f t="shared" si="37"/>
        <v>15833.566162592126</v>
      </c>
      <c r="EE25" s="249">
        <f>'Net NR'!DI25</f>
        <v>65.534400000000048</v>
      </c>
      <c r="EF25" s="250">
        <f t="shared" si="8"/>
        <v>4.7594625941978545E-2</v>
      </c>
      <c r="EG25" s="261">
        <f>'Net NR'!DK25</f>
        <v>109850.89067726255</v>
      </c>
      <c r="EH25" s="261">
        <f t="shared" si="97"/>
        <v>80819</v>
      </c>
      <c r="EI25" s="261">
        <f>'Net NR'!DL25</f>
        <v>16452.393857271905</v>
      </c>
      <c r="EJ25" s="251">
        <f t="shared" si="39"/>
        <v>12579.496819990643</v>
      </c>
      <c r="EK25" s="249">
        <v>69.401998800000101</v>
      </c>
      <c r="EL25" s="250">
        <f t="shared" si="98"/>
        <v>4.7408406328256568E-2</v>
      </c>
      <c r="EM25" s="261">
        <v>111827.66251971394</v>
      </c>
      <c r="EN25" s="261">
        <v>81611</v>
      </c>
      <c r="EO25" s="261">
        <v>14410.214219939708</v>
      </c>
      <c r="EP25" s="251">
        <f t="shared" si="40"/>
        <v>15806.448299774229</v>
      </c>
      <c r="EQ25" s="94"/>
    </row>
    <row r="26" spans="1:148" ht="15.75" thickBot="1">
      <c r="A26" s="103" t="s">
        <v>205</v>
      </c>
      <c r="B26" s="262"/>
      <c r="C26" s="263">
        <f t="shared" si="71"/>
        <v>0</v>
      </c>
      <c r="D26" s="264">
        <v>0</v>
      </c>
      <c r="E26" s="264"/>
      <c r="F26" s="264"/>
      <c r="G26" s="265">
        <f t="shared" si="10"/>
        <v>0</v>
      </c>
      <c r="H26" s="262">
        <v>-1.2880000000000001E-2</v>
      </c>
      <c r="I26" s="263">
        <f t="shared" si="72"/>
        <v>-9.5305265365882595E-6</v>
      </c>
      <c r="J26" s="264">
        <v>74258.874914193875</v>
      </c>
      <c r="K26" s="264"/>
      <c r="L26" s="264"/>
      <c r="M26" s="265">
        <f t="shared" si="11"/>
        <v>74258.874914193875</v>
      </c>
      <c r="N26" s="262"/>
      <c r="O26" s="263">
        <f t="shared" si="73"/>
        <v>0</v>
      </c>
      <c r="P26" s="264">
        <v>0</v>
      </c>
      <c r="Q26" s="264"/>
      <c r="R26" s="264"/>
      <c r="S26" s="265">
        <f t="shared" si="12"/>
        <v>0</v>
      </c>
      <c r="T26" s="262"/>
      <c r="U26" s="263">
        <f t="shared" si="74"/>
        <v>0</v>
      </c>
      <c r="V26" s="264">
        <v>0</v>
      </c>
      <c r="W26" s="264"/>
      <c r="X26" s="264"/>
      <c r="Y26" s="265">
        <f t="shared" si="13"/>
        <v>0</v>
      </c>
      <c r="Z26" s="262">
        <v>-5.5999999999999995E-4</v>
      </c>
      <c r="AA26" s="263">
        <f t="shared" si="75"/>
        <v>-3.8239788214614487E-7</v>
      </c>
      <c r="AB26" s="264">
        <v>72362.998934381016</v>
      </c>
      <c r="AC26" s="264"/>
      <c r="AD26" s="264"/>
      <c r="AE26" s="265">
        <f t="shared" si="14"/>
        <v>72362.998934381016</v>
      </c>
      <c r="AF26" s="262"/>
      <c r="AG26" s="263">
        <f t="shared" si="76"/>
        <v>0</v>
      </c>
      <c r="AH26" s="264">
        <v>0</v>
      </c>
      <c r="AI26" s="264"/>
      <c r="AJ26" s="264"/>
      <c r="AK26" s="265">
        <f t="shared" si="15"/>
        <v>0</v>
      </c>
      <c r="AL26" s="262"/>
      <c r="AM26" s="263">
        <f t="shared" si="77"/>
        <v>0</v>
      </c>
      <c r="AN26" s="264">
        <v>0</v>
      </c>
      <c r="AO26" s="264"/>
      <c r="AP26" s="264"/>
      <c r="AQ26" s="265">
        <f t="shared" si="16"/>
        <v>0</v>
      </c>
      <c r="AR26" s="262"/>
      <c r="AS26" s="263">
        <f t="shared" si="78"/>
        <v>0</v>
      </c>
      <c r="AT26" s="264"/>
      <c r="AU26" s="264"/>
      <c r="AV26" s="264"/>
      <c r="AW26" s="265">
        <f t="shared" si="17"/>
        <v>0</v>
      </c>
      <c r="AX26" s="262">
        <v>-4.1999999999999997E-3</v>
      </c>
      <c r="AY26" s="263">
        <f t="shared" si="79"/>
        <v>-3.7108433335539842E-6</v>
      </c>
      <c r="AZ26" s="264">
        <v>72361.904761904763</v>
      </c>
      <c r="BA26" s="261">
        <f t="shared" si="18"/>
        <v>-1775</v>
      </c>
      <c r="BB26" s="264"/>
      <c r="BC26" s="265">
        <f t="shared" si="19"/>
        <v>74136.904761904763</v>
      </c>
      <c r="BD26" s="262"/>
      <c r="BE26" s="263">
        <f t="shared" si="80"/>
        <v>0</v>
      </c>
      <c r="BF26" s="264">
        <v>0</v>
      </c>
      <c r="BG26" s="261"/>
      <c r="BH26" s="264"/>
      <c r="BI26" s="265">
        <f t="shared" si="21"/>
        <v>0</v>
      </c>
      <c r="BJ26" s="262"/>
      <c r="BK26" s="263">
        <f t="shared" si="81"/>
        <v>0</v>
      </c>
      <c r="BL26" s="264">
        <v>0</v>
      </c>
      <c r="BM26" s="261">
        <f t="shared" si="22"/>
        <v>0</v>
      </c>
      <c r="BN26" s="264"/>
      <c r="BO26" s="265">
        <f t="shared" si="23"/>
        <v>0</v>
      </c>
      <c r="BP26" s="262"/>
      <c r="BQ26" s="263">
        <f t="shared" si="82"/>
        <v>0</v>
      </c>
      <c r="BR26" s="264"/>
      <c r="BS26" s="261">
        <f t="shared" si="93"/>
        <v>0</v>
      </c>
      <c r="BT26" s="264">
        <v>5319.5861678004539</v>
      </c>
      <c r="BU26" s="265">
        <f t="shared" si="24"/>
        <v>-5319.5861678004539</v>
      </c>
      <c r="BV26" s="94"/>
      <c r="BW26" s="249">
        <v>0</v>
      </c>
      <c r="BX26" s="263">
        <f t="shared" si="83"/>
        <v>0</v>
      </c>
      <c r="BY26" s="261">
        <v>0</v>
      </c>
      <c r="BZ26" s="264"/>
      <c r="CA26" s="264"/>
      <c r="CB26" s="265">
        <f t="shared" si="25"/>
        <v>0</v>
      </c>
      <c r="CC26" s="262"/>
      <c r="CD26" s="263">
        <f t="shared" si="84"/>
        <v>0</v>
      </c>
      <c r="CE26" s="261"/>
      <c r="CF26" s="264"/>
      <c r="CG26" s="264"/>
      <c r="CH26" s="265">
        <f t="shared" si="26"/>
        <v>0</v>
      </c>
      <c r="CI26" s="262">
        <v>3.9300000000000006</v>
      </c>
      <c r="CJ26" s="263">
        <f t="shared" si="85"/>
        <v>1.8599551828038735E-3</v>
      </c>
      <c r="CK26" s="261">
        <v>135077.59287531808</v>
      </c>
      <c r="CL26" s="264">
        <f>CL16</f>
        <v>68322.21484357302</v>
      </c>
      <c r="CM26" s="264">
        <v>36726.99745547073</v>
      </c>
      <c r="CN26" s="265">
        <f t="shared" si="28"/>
        <v>30028.380576274329</v>
      </c>
      <c r="CO26" s="262">
        <v>1.1391250000000002</v>
      </c>
      <c r="CP26" s="263">
        <f t="shared" si="86"/>
        <v>7.4543299616103786E-4</v>
      </c>
      <c r="CQ26" s="261">
        <v>134975.34511137937</v>
      </c>
      <c r="CR26" s="261">
        <f t="shared" si="107"/>
        <v>69132.21484357302</v>
      </c>
      <c r="CS26" s="261">
        <v>41417.368594315805</v>
      </c>
      <c r="CT26" s="265">
        <f t="shared" si="29"/>
        <v>24425.761673490546</v>
      </c>
      <c r="CU26" s="249">
        <v>1.3349999999999997</v>
      </c>
      <c r="CV26" s="263">
        <f t="shared" si="87"/>
        <v>7.8126636233648143E-4</v>
      </c>
      <c r="CW26" s="261">
        <v>118868.24719101125</v>
      </c>
      <c r="CX26" s="261">
        <f>CR26+1881</f>
        <v>71013.21484357302</v>
      </c>
      <c r="CY26" s="261">
        <v>24903.15355805244</v>
      </c>
      <c r="CZ26" s="265">
        <f t="shared" si="30"/>
        <v>22951.878789385792</v>
      </c>
      <c r="DA26" s="249">
        <v>0.88500000000000012</v>
      </c>
      <c r="DB26" s="263">
        <f t="shared" si="88"/>
        <v>5.6487711550407297E-4</v>
      </c>
      <c r="DC26" s="261">
        <v>118832.79096045197</v>
      </c>
      <c r="DD26" s="261">
        <f t="shared" si="108"/>
        <v>75694.21484357302</v>
      </c>
      <c r="DE26" s="261">
        <v>21972.497175141234</v>
      </c>
      <c r="DF26" s="265">
        <f t="shared" si="31"/>
        <v>21166.078941737713</v>
      </c>
      <c r="DG26" s="249">
        <v>1.02</v>
      </c>
      <c r="DH26" s="263">
        <f t="shared" si="89"/>
        <v>1.0297019180732084E-3</v>
      </c>
      <c r="DI26" s="261">
        <v>118868.24509803923</v>
      </c>
      <c r="DJ26" s="261">
        <f t="shared" si="94"/>
        <v>75694.21484357302</v>
      </c>
      <c r="DK26" s="261">
        <v>22204.725490196073</v>
      </c>
      <c r="DL26" s="265">
        <f t="shared" si="33"/>
        <v>20969.304764270139</v>
      </c>
      <c r="DM26" s="249">
        <v>0.48000000000000004</v>
      </c>
      <c r="DN26" s="263">
        <f t="shared" si="90"/>
        <v>4.3954323590259003E-4</v>
      </c>
      <c r="DO26" s="261">
        <v>118868.25000000001</v>
      </c>
      <c r="DP26" s="261">
        <f t="shared" si="95"/>
        <v>75694.21484357302</v>
      </c>
      <c r="DQ26" s="261">
        <v>24745.208333333332</v>
      </c>
      <c r="DR26" s="265">
        <f t="shared" si="34"/>
        <v>18428.826823093663</v>
      </c>
      <c r="DS26" s="249">
        <v>14.178749999999992</v>
      </c>
      <c r="DT26" s="250">
        <f t="shared" si="91"/>
        <v>1.0242545167168117E-2</v>
      </c>
      <c r="DU26" s="261">
        <v>118664.74548179503</v>
      </c>
      <c r="DV26" s="261">
        <f>DP26</f>
        <v>75694.21484357302</v>
      </c>
      <c r="DW26" s="261">
        <v>10953.416203826158</v>
      </c>
      <c r="DX26" s="251">
        <f t="shared" si="35"/>
        <v>32017.114434395859</v>
      </c>
      <c r="DY26" s="249">
        <f>'Net NR'!DD26</f>
        <v>3.1612500000000003</v>
      </c>
      <c r="DZ26" s="250">
        <f t="shared" si="7"/>
        <v>2.5575500809969396E-3</v>
      </c>
      <c r="EA26" s="261">
        <f>'Net NR'!DF26</f>
        <v>135077.58639778566</v>
      </c>
      <c r="EB26" s="261">
        <f t="shared" si="96"/>
        <v>77054</v>
      </c>
      <c r="EC26" s="261">
        <f>'Net NR'!DG26</f>
        <v>27122.230130486358</v>
      </c>
      <c r="ED26" s="251">
        <f t="shared" si="37"/>
        <v>30901.356267299307</v>
      </c>
      <c r="EE26" s="249">
        <f>'Net NR'!DI26</f>
        <v>4.5599999999999996</v>
      </c>
      <c r="EF26" s="250">
        <f t="shared" si="8"/>
        <v>3.3117186438789701E-3</v>
      </c>
      <c r="EG26" s="261">
        <f>'Net NR'!DK26</f>
        <v>134504.69736842104</v>
      </c>
      <c r="EH26" s="261">
        <f t="shared" si="97"/>
        <v>78395</v>
      </c>
      <c r="EI26" s="261">
        <f>'Net NR'!DL26</f>
        <v>41329.649122807008</v>
      </c>
      <c r="EJ26" s="251">
        <f t="shared" si="39"/>
        <v>14780.048245614031</v>
      </c>
      <c r="EK26" s="249">
        <v>-2.5000000000000001E-4</v>
      </c>
      <c r="EL26" s="250">
        <f t="shared" si="98"/>
        <v>-1.707746431946298E-7</v>
      </c>
      <c r="EM26" s="261">
        <v>545360</v>
      </c>
      <c r="EN26" s="261">
        <v>79187</v>
      </c>
      <c r="EO26" s="261">
        <v>-7919.9999999999591</v>
      </c>
      <c r="EP26" s="251">
        <f t="shared" si="40"/>
        <v>474092.99999999994</v>
      </c>
      <c r="EQ26" s="94"/>
    </row>
    <row r="27" spans="1:148" s="110" customFormat="1" ht="15.75" thickBot="1">
      <c r="A27" s="252" t="s">
        <v>140</v>
      </c>
      <c r="B27" s="266">
        <f>SUM(B6:B26)</f>
        <v>1250.519229999999</v>
      </c>
      <c r="C27" s="267">
        <f t="shared" si="71"/>
        <v>1</v>
      </c>
      <c r="D27" s="268">
        <f>SUMPRODUCT(B6:B26,D6:D26)/B27</f>
        <v>99405.85357272267</v>
      </c>
      <c r="E27" s="268">
        <f>SUMPRODUCT(B6:B26,E6:E26)/B27</f>
        <v>68932.003452718985</v>
      </c>
      <c r="F27" s="268">
        <f>SUMPRODUCT(B6:B26,F6:F26)/B27</f>
        <v>13825.685515027781</v>
      </c>
      <c r="G27" s="268">
        <f>SUMPRODUCT(B6:B26,G6:G26)/B27</f>
        <v>16648.164604975926</v>
      </c>
      <c r="H27" s="266">
        <f t="shared" ref="H27" si="109">SUM(H6:H26)</f>
        <v>1351.4468430000077</v>
      </c>
      <c r="I27" s="267">
        <f t="shared" si="72"/>
        <v>1</v>
      </c>
      <c r="J27" s="268">
        <f t="shared" ref="J27" si="110">SUMPRODUCT(H6:H26,J6:J26)/H27</f>
        <v>96309.663909982672</v>
      </c>
      <c r="K27" s="268">
        <f t="shared" ref="K27" si="111">SUMPRODUCT(H6:H26,K6:K26)/H27</f>
        <v>67676.612329214637</v>
      </c>
      <c r="L27" s="268">
        <f t="shared" ref="L27" si="112">SUMPRODUCT(H6:H26,L6:L26)/H27</f>
        <v>13213.758358826617</v>
      </c>
      <c r="M27" s="268">
        <f t="shared" ref="M27" si="113">SUMPRODUCT(H6:H26,M6:M26)/H27</f>
        <v>15419.293221941423</v>
      </c>
      <c r="N27" s="266">
        <f t="shared" ref="N27" si="114">SUM(N6:N26)</f>
        <v>1496.6784879999982</v>
      </c>
      <c r="O27" s="267">
        <f t="shared" si="73"/>
        <v>1</v>
      </c>
      <c r="P27" s="268">
        <f t="shared" ref="P27" si="115">SUMPRODUCT(N6:N26,P6:P26)/N27</f>
        <v>94229.682219154754</v>
      </c>
      <c r="Q27" s="268">
        <f t="shared" ref="Q27" si="116">SUMPRODUCT(N6:N26,Q6:Q26)/N27</f>
        <v>67832.547869244503</v>
      </c>
      <c r="R27" s="268">
        <f t="shared" ref="R27" si="117">SUMPRODUCT(N6:N26,R6:R26)/N27</f>
        <v>12210.75588435763</v>
      </c>
      <c r="S27" s="268">
        <f t="shared" ref="S27" si="118">SUMPRODUCT(N6:N26,S6:S26)/N27</f>
        <v>14186.378465552607</v>
      </c>
      <c r="T27" s="266">
        <f t="shared" ref="T27" si="119">SUM(T6:T26)</f>
        <v>1413.2290095999917</v>
      </c>
      <c r="U27" s="267">
        <f t="shared" si="74"/>
        <v>1</v>
      </c>
      <c r="V27" s="268">
        <f t="shared" ref="V27" si="120">SUMPRODUCT(T6:T26,V6:V26)/T27</f>
        <v>91626.664560721852</v>
      </c>
      <c r="W27" s="268">
        <f t="shared" ref="W27" si="121">SUMPRODUCT(T6:T26,W6:W26)/T27</f>
        <v>67812.143390947836</v>
      </c>
      <c r="X27" s="268">
        <f t="shared" ref="X27" si="122">SUMPRODUCT(T6:T26,X6:X26)/T27</f>
        <v>12089.826466682092</v>
      </c>
      <c r="Y27" s="268">
        <f t="shared" ref="Y27" si="123">SUMPRODUCT(T6:T26,Y6:Y26)/T27</f>
        <v>11724.69470309192</v>
      </c>
      <c r="Z27" s="266">
        <f t="shared" ref="Z27" si="124">SUM(Z6:Z26)</f>
        <v>1464.4432569999933</v>
      </c>
      <c r="AA27" s="267">
        <f t="shared" si="75"/>
        <v>1</v>
      </c>
      <c r="AB27" s="268">
        <f t="shared" ref="AB27" si="125">SUMPRODUCT(Z6:Z26,AB6:AB26)/Z27</f>
        <v>91584.563896254025</v>
      </c>
      <c r="AC27" s="268">
        <f t="shared" ref="AC27" si="126">SUMPRODUCT(Z6:Z26,AC6:AC26)/Z27</f>
        <v>68049.96925980768</v>
      </c>
      <c r="AD27" s="268">
        <f t="shared" ref="AD27" si="127">SUMPRODUCT(Z6:Z26,AD6:AD26)/Z27</f>
        <v>12035.221158902032</v>
      </c>
      <c r="AE27" s="268">
        <f t="shared" ref="AE27" si="128">SUMPRODUCT(Z6:Z26,AE6:AE26)/Z27</f>
        <v>11499.373477544306</v>
      </c>
      <c r="AF27" s="266">
        <f t="shared" ref="AF27" si="129">SUM(AF6:AF26)</f>
        <v>1449.5585743999932</v>
      </c>
      <c r="AG27" s="267">
        <f t="shared" si="76"/>
        <v>1</v>
      </c>
      <c r="AH27" s="268">
        <f t="shared" ref="AH27" si="130">SUMPRODUCT(AF6:AF26,AH6:AH26)/AF27</f>
        <v>89600.965036246402</v>
      </c>
      <c r="AI27" s="268">
        <f t="shared" ref="AI27" si="131">SUMPRODUCT(AF6:AF26,AI6:AI26)/AF27</f>
        <v>67004.41362966309</v>
      </c>
      <c r="AJ27" s="268">
        <f t="shared" ref="AJ27" si="132">SUMPRODUCT(AF6:AF26,AJ6:AJ26)/AF27</f>
        <v>11839.510290923201</v>
      </c>
      <c r="AK27" s="268">
        <f t="shared" ref="AK27" si="133">SUMPRODUCT(AF6:AF26,AK6:AK26)/AF27</f>
        <v>10757.041115660089</v>
      </c>
      <c r="AL27" s="266">
        <f t="shared" ref="AL27" si="134">SUM(AL6:AL26)</f>
        <v>1493.7232699999936</v>
      </c>
      <c r="AM27" s="267">
        <f t="shared" si="77"/>
        <v>1</v>
      </c>
      <c r="AN27" s="268">
        <f t="shared" ref="AN27" si="135">SUMPRODUCT(AL6:AL26,AN6:AN26)/AL27</f>
        <v>89451.618971171789</v>
      </c>
      <c r="AO27" s="268">
        <f t="shared" ref="AO27" si="136">SUMPRODUCT(AL6:AL26,AO6:AO26)/AL27</f>
        <v>66643.177328900289</v>
      </c>
      <c r="AP27" s="268">
        <f t="shared" ref="AP27" si="137">SUMPRODUCT(AL6:AL26,AP6:AP26)/AL27</f>
        <v>12080.483690981517</v>
      </c>
      <c r="AQ27" s="268">
        <f t="shared" ref="AQ27" si="138">SUMPRODUCT(AL6:AL26,AQ6:AQ26)/AL27</f>
        <v>10727.957951289971</v>
      </c>
      <c r="AR27" s="266">
        <f t="shared" ref="AR27" si="139">SUM(AR6:AR26)</f>
        <v>1319.6425699999963</v>
      </c>
      <c r="AS27" s="267">
        <f t="shared" si="78"/>
        <v>1</v>
      </c>
      <c r="AT27" s="268">
        <f t="shared" ref="AT27" si="140">SUMPRODUCT(AR6:AR26,AT6:AT26)/AR27</f>
        <v>89070.447852174417</v>
      </c>
      <c r="AU27" s="268">
        <f t="shared" ref="AU27" si="141">SUMPRODUCT(AR6:AR26,AU6:AU26)/AR27</f>
        <v>63905.561487539715</v>
      </c>
      <c r="AV27" s="268">
        <f t="shared" ref="AV27" si="142">SUMPRODUCT(AR6:AR26,AV6:AV26)/AR27</f>
        <v>9990.5273289590696</v>
      </c>
      <c r="AW27" s="268">
        <f t="shared" ref="AW27" si="143">SUMPRODUCT(AR6:AR26,AW6:AW26)/AR27</f>
        <v>15174.359035675618</v>
      </c>
      <c r="AX27" s="266">
        <f t="shared" ref="AX27" si="144">SUM(AX6:AX26)</f>
        <v>1131.8181939999972</v>
      </c>
      <c r="AY27" s="267">
        <f t="shared" si="79"/>
        <v>1</v>
      </c>
      <c r="AZ27" s="268">
        <f t="shared" ref="AZ27" si="145">SUMPRODUCT(AX6:AX26,AZ6:AZ26)/AX27</f>
        <v>87655.831825230794</v>
      </c>
      <c r="BA27" s="268">
        <f t="shared" ref="BA27" si="146">SUMPRODUCT(AX6:AX26,BA6:BA26)/AX27</f>
        <v>62191.937561914427</v>
      </c>
      <c r="BB27" s="268">
        <f t="shared" ref="BB27" si="147">SUMPRODUCT(AX6:AX26,BB6:BB26)/AX27</f>
        <v>7657.9491175771145</v>
      </c>
      <c r="BC27" s="268">
        <f t="shared" ref="BC27" si="148">SUMPRODUCT(AX6:AX26,BC6:BC26)/AX27</f>
        <v>17805.945145739272</v>
      </c>
      <c r="BD27" s="266">
        <f t="shared" ref="BD27" si="149">SUM(BD6:BD26)</f>
        <v>1334.8221149999949</v>
      </c>
      <c r="BE27" s="267">
        <f t="shared" si="80"/>
        <v>1</v>
      </c>
      <c r="BF27" s="268">
        <f t="shared" ref="BF27" si="150">SUMPRODUCT(BD6:BD26,BF6:BF26)/BD27</f>
        <v>88198.370215045783</v>
      </c>
      <c r="BG27" s="268">
        <f t="shared" ref="BG27" si="151">SUMPRODUCT(BD6:BD26,BG6:BG26)/BD27</f>
        <v>63421.316005596789</v>
      </c>
      <c r="BH27" s="268">
        <f t="shared" ref="BH27" si="152">SUMPRODUCT(BD6:BD26,BH6:BH26)/BD27</f>
        <v>9125.4787009578831</v>
      </c>
      <c r="BI27" s="268">
        <f t="shared" ref="BI27" si="153">SUMPRODUCT(BD6:BD26,BI6:BI26)/BD27</f>
        <v>15651.57550849112</v>
      </c>
      <c r="BJ27" s="266">
        <f t="shared" ref="BJ27" si="154">SUM(BJ6:BJ26)</f>
        <v>1413.9153769999932</v>
      </c>
      <c r="BK27" s="267">
        <f t="shared" si="81"/>
        <v>1</v>
      </c>
      <c r="BL27" s="268">
        <f t="shared" ref="BL27" si="155">SUMPRODUCT(BJ6:BJ26,BL6:BL26)/BJ27</f>
        <v>88754.605014809582</v>
      </c>
      <c r="BM27" s="268">
        <f t="shared" ref="BM27" si="156">SUMPRODUCT(BJ6:BJ26,BM6:BM26)/BJ27</f>
        <v>63407.303766629913</v>
      </c>
      <c r="BN27" s="268">
        <f t="shared" ref="BN27" si="157">SUMPRODUCT(BJ6:BJ26,BN6:BN26)/BJ27</f>
        <v>10144.678036131203</v>
      </c>
      <c r="BO27" s="268">
        <f t="shared" ref="BO27" si="158">SUMPRODUCT(BJ6:BJ26,BO6:BO26)/BJ27</f>
        <v>15202.623212048471</v>
      </c>
      <c r="BP27" s="266">
        <f t="shared" ref="BP27" si="159">SUM(BP6:BP26)</f>
        <v>1595.6656583199961</v>
      </c>
      <c r="BQ27" s="267">
        <f t="shared" si="82"/>
        <v>1</v>
      </c>
      <c r="BR27" s="268">
        <f t="shared" ref="BR27" si="160">SUMPRODUCT(BP6:BP26,BR6:BR26)/BP27</f>
        <v>90054.534564146714</v>
      </c>
      <c r="BS27" s="268">
        <f t="shared" ref="BS27" si="161">SUMPRODUCT(BP6:BP26,BS6:BS26)/BP27</f>
        <v>65360.844290478301</v>
      </c>
      <c r="BT27" s="268">
        <f>SUMPRODUCT(BP6:BP26,BT6:BT26)/BP27</f>
        <v>11217.943568984389</v>
      </c>
      <c r="BU27" s="268">
        <f t="shared" ref="BU27" si="162">SUMPRODUCT(BP6:BP26,BU6:BU26)/BP27</f>
        <v>13475.746704684043</v>
      </c>
      <c r="BW27" s="294">
        <f>SUM(BW6:BW26)</f>
        <v>1978.3429834399985</v>
      </c>
      <c r="BX27" s="313">
        <f t="shared" si="83"/>
        <v>1</v>
      </c>
      <c r="BY27" s="294">
        <f>SUMPRODUCT(BW6:BW26,BY6:BY26)/BW27</f>
        <v>88905.77097211135</v>
      </c>
      <c r="BZ27" s="268">
        <f>SUMPRODUCT(BW6:BW26,BZ6:BZ26)/BW27</f>
        <v>67164.88459078368</v>
      </c>
      <c r="CA27" s="268">
        <f>SUMPRODUCT(BW6:BW26,CA6:CA26)/BW27</f>
        <v>10352.879890276174</v>
      </c>
      <c r="CB27" s="268">
        <f>SUMPRODUCT(BW6:BW26,CB6:CB26)/BW27</f>
        <v>11388.006491051516</v>
      </c>
      <c r="CC27" s="294">
        <f>SUM(CC6:CC26)</f>
        <v>2054.8130759999958</v>
      </c>
      <c r="CD27" s="313">
        <f t="shared" si="84"/>
        <v>1</v>
      </c>
      <c r="CE27" s="294">
        <f>SUMPRODUCT(CC6:CC26,CE6:CE26)/CC27</f>
        <v>87851.72188090533</v>
      </c>
      <c r="CF27" s="268">
        <f>SUMPRODUCT(CC6:CC26,CF6:CF26)/CC27</f>
        <v>67186.462367181433</v>
      </c>
      <c r="CG27" s="268">
        <f>SUMPRODUCT(CC6:CC26,CG6:CG26)/CC27</f>
        <v>10462.662001280731</v>
      </c>
      <c r="CH27" s="268">
        <f>SUMPRODUCT(CC6:CC26,CH6:CH26)/CC27</f>
        <v>10202.597512443135</v>
      </c>
      <c r="CI27" s="294">
        <f>SUM(CI6:CI26)</f>
        <v>2112.9541380000051</v>
      </c>
      <c r="CJ27" s="313">
        <f t="shared" si="85"/>
        <v>1</v>
      </c>
      <c r="CK27" s="294">
        <f>SUMPRODUCT(CI6:CI26,CK6:CK26)/CI27</f>
        <v>88514.799098776537</v>
      </c>
      <c r="CL27" s="268">
        <f>SUMPRODUCT(CI6:CI26,CL6:CL26)/CI27</f>
        <v>68952.810179264678</v>
      </c>
      <c r="CM27" s="268">
        <f>SUMPRODUCT(CI6:CI26,CM6:CM26)/CI27</f>
        <v>9555.2271187061124</v>
      </c>
      <c r="CN27" s="268">
        <f>SUMPRODUCT(CI6:CI26,CN6:CN26)/CI27</f>
        <v>10006.761800805776</v>
      </c>
      <c r="CO27" s="294">
        <f>SUM(CO6:CO26)</f>
        <v>1528.1386869999942</v>
      </c>
      <c r="CP27" s="313">
        <f t="shared" si="86"/>
        <v>1</v>
      </c>
      <c r="CQ27" s="294">
        <f>SUMPRODUCT(CO6:CO26,CQ6:CQ26)/CO27</f>
        <v>88726.332212804322</v>
      </c>
      <c r="CR27" s="268">
        <f>SUMPRODUCT(CO6:CO26,CR6:CR26)/CO27</f>
        <v>69738.304150271928</v>
      </c>
      <c r="CS27" s="268">
        <f>SUMPRODUCT(CO6:CO26,CS6:CS26)/CO27</f>
        <v>9371.9793672641772</v>
      </c>
      <c r="CT27" s="268">
        <f>SUMPRODUCT(CO6:CO26,CT6:CT26)/CO27</f>
        <v>9616.0486952682004</v>
      </c>
      <c r="CU27" s="294">
        <f>SUM(CU6:CU26)</f>
        <v>1708.7642119999944</v>
      </c>
      <c r="CV27" s="313">
        <f t="shared" si="87"/>
        <v>1</v>
      </c>
      <c r="CW27" s="294">
        <f>SUMPRODUCT(CU6:CU26,CW6:CW26)/CU27</f>
        <v>88036.332264898898</v>
      </c>
      <c r="CX27" s="268">
        <f>SUMPRODUCT(CU6:CU26,CX6:CX26)/CU27</f>
        <v>71663.789926420941</v>
      </c>
      <c r="CY27" s="268">
        <f>SUMPRODUCT(CU6:CU26,CY6:CY26)/CU27</f>
        <v>8667.6975652858891</v>
      </c>
      <c r="CZ27" s="268">
        <f>SUMPRODUCT(CU6:CU26,CZ6:CZ26)/CU27</f>
        <v>7704.8447731920869</v>
      </c>
      <c r="DA27" s="294">
        <f>SUM(DA6:DA26)</f>
        <v>1566.7124330399943</v>
      </c>
      <c r="DB27" s="313">
        <f t="shared" si="88"/>
        <v>1</v>
      </c>
      <c r="DC27" s="294">
        <f>SUMPRODUCT(DA6:DA26,DC6:DC26)/DA27</f>
        <v>88031.896595332961</v>
      </c>
      <c r="DD27" s="268">
        <f>SUMPRODUCT(DA6:DA26,DD6:DD26)/DA27</f>
        <v>76395.571719157844</v>
      </c>
      <c r="DE27" s="268">
        <f>SUMPRODUCT(DA6:DA26,DE6:DE26)/DA27</f>
        <v>8283.5422993472239</v>
      </c>
      <c r="DF27" s="268">
        <f>SUMPRODUCT(DA6:DA26,DF6:DF26)/DA27</f>
        <v>3352.7825768278453</v>
      </c>
      <c r="DG27" s="294">
        <f>SUM(DG6:DG26)</f>
        <v>990.57793531999744</v>
      </c>
      <c r="DH27" s="313">
        <f t="shared" si="89"/>
        <v>1</v>
      </c>
      <c r="DI27" s="294">
        <f>SUMPRODUCT(DG6:DG26,DI6:DI26)/DG27</f>
        <v>91311.440195546471</v>
      </c>
      <c r="DJ27" s="268">
        <f>SUMPRODUCT(DG6:DG26,DJ6:DJ26)/DG27</f>
        <v>76461.23292058571</v>
      </c>
      <c r="DK27" s="268">
        <f>SUMPRODUCT(DG6:DG26,DK6:DK26)/DG27</f>
        <v>4550.6826765163032</v>
      </c>
      <c r="DL27" s="268">
        <f>SUMPRODUCT(DG6:DG26,DL6:DL26)/DG27</f>
        <v>10299.524598444459</v>
      </c>
      <c r="DM27" s="294">
        <f>SUM(DM6:DM26)</f>
        <v>1092.0427407199957</v>
      </c>
      <c r="DN27" s="313">
        <f t="shared" si="90"/>
        <v>1</v>
      </c>
      <c r="DO27" s="294">
        <f>SUMPRODUCT(DM6:DM26,DO6:DO26)/DM27</f>
        <v>92155.188462356731</v>
      </c>
      <c r="DP27" s="268">
        <f>SUMPRODUCT(DM6:DM26,DP6:DP26)/DM27</f>
        <v>76173.647611103981</v>
      </c>
      <c r="DQ27" s="268">
        <f>SUMPRODUCT(DM6:DM26,DQ6:DQ26)/DM27</f>
        <v>4865.2052725491967</v>
      </c>
      <c r="DR27" s="268">
        <f>SUMPRODUCT(DM6:DM26,DR6:DR26)/DM27</f>
        <v>11116.335578703533</v>
      </c>
      <c r="DS27" s="294">
        <f>SUM(DS6:DS26)</f>
        <v>1384.2994849999932</v>
      </c>
      <c r="DT27" s="361">
        <f t="shared" si="91"/>
        <v>1</v>
      </c>
      <c r="DU27" s="294">
        <f>SUMPRODUCT(DS6:DS26,DU6:DU26)/DS27</f>
        <v>93950.079306719126</v>
      </c>
      <c r="DV27" s="255">
        <f>SUMPRODUCT(DS6:DS26,DV6:DV26)/DS27</f>
        <v>76172.538213025939</v>
      </c>
      <c r="DW27" s="255">
        <f>SUMPRODUCT(DS6:DS26,DW6:DW26)/DS27</f>
        <v>6949.3956649128495</v>
      </c>
      <c r="DX27" s="255">
        <f>SUMPRODUCT(DS6:DS26,DX6:DX26)/DS27</f>
        <v>10828.145428780335</v>
      </c>
      <c r="DY27" s="294">
        <f>SUM(DY6:DY26)</f>
        <v>1236.0461769599979</v>
      </c>
      <c r="DZ27" s="361">
        <f t="shared" si="7"/>
        <v>1</v>
      </c>
      <c r="EA27" s="294">
        <f>SUMPRODUCT(DY6:DY26,EA6:EA26)/DY27</f>
        <v>98355.770881475008</v>
      </c>
      <c r="EB27" s="255">
        <f>SUMPRODUCT(DY6:DY26,EB6:EB26)/DY27</f>
        <v>78398.506351094635</v>
      </c>
      <c r="EC27" s="255">
        <f>SUMPRODUCT(DY6:DY26,EC6:EC26)/DY27</f>
        <v>10431.954364126706</v>
      </c>
      <c r="ED27" s="255">
        <f>SUMPRODUCT(DY6:DY26,ED6:ED26)/DY27</f>
        <v>9525.3101662536374</v>
      </c>
      <c r="EE27" s="294">
        <f>SUM(EE6:EE26)</f>
        <v>1376.9285649999949</v>
      </c>
      <c r="EF27" s="361">
        <f t="shared" si="8"/>
        <v>1</v>
      </c>
      <c r="EG27" s="294">
        <f>SUMPRODUCT(EE6:EE26,EG6:EG26)/EE27</f>
        <v>100293.38019434625</v>
      </c>
      <c r="EH27" s="255">
        <f>SUMPRODUCT(EE6:EE26,EH6:EH26)/EE27</f>
        <v>79629.645058243303</v>
      </c>
      <c r="EI27" s="255">
        <f>SUMPRODUCT(EE6:EE26,EI6:EI26)/EE27</f>
        <v>11637.478840451002</v>
      </c>
      <c r="EJ27" s="255">
        <f>SUMPRODUCT(EE6:EE26,EJ6:EJ26)/EE27</f>
        <v>9026.2562956519469</v>
      </c>
      <c r="EK27" s="294">
        <f>SUM(EK6:EK26)</f>
        <v>1463.9175659999946</v>
      </c>
      <c r="EL27" s="361">
        <f t="shared" si="98"/>
        <v>1</v>
      </c>
      <c r="EM27" s="294">
        <f>SUMPRODUCT(EK6:EK26,EM6:EM26)/EK27</f>
        <v>97742.309575083826</v>
      </c>
      <c r="EN27" s="255">
        <f>SUMPRODUCT(EK6:EK26,EN6:EN26)/EK27</f>
        <v>80540.544449645953</v>
      </c>
      <c r="EO27" s="255">
        <f>SUMPRODUCT(EK6:EK26,EO6:EO26)/EK27</f>
        <v>6809.76093767569</v>
      </c>
      <c r="EP27" s="255">
        <f>SUMPRODUCT(EK6:EK26,EP6:EP26)/EK27</f>
        <v>10392.004187762164</v>
      </c>
      <c r="EQ27" s="94"/>
      <c r="ER27" s="367"/>
    </row>
    <row r="28" spans="1:148">
      <c r="B28"/>
      <c r="H28"/>
      <c r="N28"/>
      <c r="T28"/>
      <c r="Z28"/>
      <c r="AF28"/>
      <c r="AP28" s="283"/>
      <c r="AV28" s="283"/>
      <c r="BB28" s="283"/>
      <c r="BW28"/>
      <c r="CK28" s="94"/>
      <c r="CL28" s="94"/>
      <c r="CM28" s="94"/>
      <c r="CN28" s="94"/>
      <c r="CQ28" s="94"/>
      <c r="CR28" s="94"/>
      <c r="CS28" s="94"/>
      <c r="CT28" s="94"/>
      <c r="CW28" s="94"/>
      <c r="CX28" s="94"/>
      <c r="CY28" s="94"/>
      <c r="CZ28" s="94"/>
      <c r="DC28" s="94"/>
      <c r="DD28" s="94"/>
      <c r="DE28" s="94"/>
      <c r="DF28" s="94"/>
      <c r="DI28" s="94"/>
      <c r="DJ28" s="94"/>
      <c r="DK28" s="94"/>
      <c r="DL28" s="94"/>
      <c r="DO28" s="94"/>
      <c r="DP28" s="94"/>
      <c r="DQ28" s="94"/>
      <c r="DR28" s="94"/>
      <c r="DU28" s="94"/>
      <c r="DV28" s="94"/>
      <c r="DW28" s="94"/>
      <c r="DX28" s="94"/>
      <c r="EA28" s="94"/>
      <c r="EB28" s="94"/>
      <c r="EC28" s="94"/>
      <c r="ED28" s="94"/>
      <c r="EE28" s="94"/>
      <c r="EF28" s="94"/>
      <c r="EG28" s="94">
        <f>EA27</f>
        <v>98355.770881475008</v>
      </c>
      <c r="EH28" s="94">
        <f>EB27</f>
        <v>78398.506351094635</v>
      </c>
      <c r="EI28" s="94">
        <f>EC27</f>
        <v>10431.954364126706</v>
      </c>
      <c r="EJ28" s="94">
        <f>ED27</f>
        <v>9525.3101662536374</v>
      </c>
    </row>
    <row r="29" spans="1:148">
      <c r="B29"/>
      <c r="D29" s="260"/>
      <c r="E29" s="260"/>
      <c r="F29" s="260"/>
      <c r="G29" s="260"/>
      <c r="H29"/>
      <c r="J29" s="260"/>
      <c r="K29" s="260"/>
      <c r="L29" s="260"/>
      <c r="M29" s="260"/>
      <c r="N29"/>
      <c r="P29" s="260"/>
      <c r="Q29" s="260"/>
      <c r="R29" s="260"/>
      <c r="S29" s="260"/>
      <c r="T29"/>
      <c r="V29" s="260"/>
      <c r="W29" s="260"/>
      <c r="X29" s="260"/>
      <c r="Y29" s="260"/>
      <c r="Z29"/>
      <c r="AB29" s="260"/>
      <c r="AC29" s="260"/>
      <c r="AD29" s="260"/>
      <c r="AE29" s="260"/>
      <c r="AF29"/>
      <c r="AH29" s="260"/>
      <c r="AI29" s="260"/>
      <c r="AJ29" s="260"/>
      <c r="AK29" s="260"/>
      <c r="AN29" s="260"/>
      <c r="AT29" s="260"/>
      <c r="AZ29" s="260"/>
      <c r="BR29" s="260"/>
      <c r="BW29" s="94">
        <f>BW23+BW12+BW9+BW10</f>
        <v>1108.4683774399996</v>
      </c>
      <c r="BY29" s="260"/>
      <c r="BZ29" s="260"/>
      <c r="CA29" s="260"/>
      <c r="CB29" s="94">
        <f>CB23+CB12+CB9+CB10</f>
        <v>19478.178507148081</v>
      </c>
      <c r="CL29" s="333"/>
      <c r="CM29" s="334"/>
      <c r="CR29" s="333"/>
      <c r="CS29" s="334"/>
      <c r="CX29" s="333"/>
      <c r="CY29" s="334"/>
      <c r="DD29" s="333"/>
      <c r="DE29" s="334"/>
      <c r="DJ29" s="333"/>
      <c r="DK29" s="334"/>
      <c r="DP29" s="333"/>
      <c r="DQ29" s="334"/>
      <c r="DV29" s="333"/>
      <c r="DW29" s="334"/>
      <c r="EB29" s="333"/>
      <c r="EC29" s="334"/>
      <c r="EG29" s="94">
        <f>EG27-EG28</f>
        <v>1937.6093128712382</v>
      </c>
      <c r="EH29" s="94">
        <f>EH27-EH28</f>
        <v>1231.1387071486679</v>
      </c>
      <c r="EI29" s="94">
        <f>EI27-EI28</f>
        <v>1205.5244763242954</v>
      </c>
      <c r="EJ29" s="94">
        <f>EJ27-EJ28</f>
        <v>-499.05387060169051</v>
      </c>
      <c r="EM29" s="260">
        <f>SUMPRODUCT(EK6:EK26,EM6:EM26)/EK27</f>
        <v>97742.309575083826</v>
      </c>
      <c r="EN29" s="260"/>
      <c r="EO29" s="260"/>
      <c r="EP29" s="260"/>
    </row>
    <row r="30" spans="1:148">
      <c r="B30"/>
      <c r="H30"/>
      <c r="N30"/>
      <c r="T30"/>
      <c r="Z30"/>
      <c r="AF30"/>
      <c r="BW30"/>
    </row>
    <row r="31" spans="1:148">
      <c r="B31"/>
      <c r="H31"/>
      <c r="N31"/>
      <c r="T31"/>
      <c r="Z31"/>
      <c r="AF31"/>
      <c r="BT31" s="94"/>
      <c r="BW31"/>
      <c r="CA31" s="94"/>
      <c r="CG31" s="94"/>
      <c r="CM31" s="94"/>
      <c r="CS31" s="94"/>
      <c r="CY31" s="94"/>
      <c r="DE31" s="94"/>
      <c r="DK31" s="94"/>
      <c r="DQ31" s="94"/>
      <c r="DW31" s="94"/>
      <c r="EC31" s="94"/>
    </row>
    <row r="32" spans="1:148">
      <c r="A32" s="428" t="s">
        <v>202</v>
      </c>
      <c r="B32" s="428"/>
      <c r="C32" s="428"/>
      <c r="D32" s="428"/>
      <c r="E32" s="357"/>
      <c r="F32" s="357"/>
      <c r="G32" s="357"/>
      <c r="H32"/>
      <c r="N32"/>
      <c r="T32"/>
      <c r="W32" s="357"/>
      <c r="X32" s="357"/>
      <c r="Y32" s="357"/>
      <c r="Z32"/>
      <c r="AC32" s="357"/>
      <c r="AD32" s="357"/>
      <c r="AE32" s="357"/>
      <c r="AF32"/>
      <c r="AI32" s="357"/>
      <c r="AJ32" s="357"/>
      <c r="AK32" s="357"/>
    </row>
    <row r="33" spans="1:146" ht="15.75" thickBot="1">
      <c r="B33"/>
      <c r="H33"/>
      <c r="N33"/>
      <c r="T33"/>
      <c r="Z33"/>
      <c r="AF33"/>
      <c r="BW33" s="110" t="s">
        <v>169</v>
      </c>
    </row>
    <row r="34" spans="1:146" s="110" customFormat="1" ht="15.75" thickBot="1">
      <c r="A34" s="129" t="s">
        <v>142</v>
      </c>
      <c r="B34" s="423" t="s">
        <v>80</v>
      </c>
      <c r="C34" s="423"/>
      <c r="D34" s="423"/>
      <c r="E34" s="423"/>
      <c r="F34" s="423"/>
      <c r="G34" s="424"/>
      <c r="H34" s="422" t="s">
        <v>81</v>
      </c>
      <c r="I34" s="423"/>
      <c r="J34" s="423"/>
      <c r="K34" s="423"/>
      <c r="L34" s="423"/>
      <c r="M34" s="424"/>
      <c r="N34" s="422" t="s">
        <v>82</v>
      </c>
      <c r="O34" s="423"/>
      <c r="P34" s="423"/>
      <c r="Q34" s="423"/>
      <c r="R34" s="423"/>
      <c r="S34" s="424"/>
      <c r="T34" s="422" t="s">
        <v>83</v>
      </c>
      <c r="U34" s="423"/>
      <c r="V34" s="423"/>
      <c r="W34" s="423"/>
      <c r="X34" s="423"/>
      <c r="Y34" s="424"/>
      <c r="Z34" s="422" t="s">
        <v>119</v>
      </c>
      <c r="AA34" s="423"/>
      <c r="AB34" s="423"/>
      <c r="AC34" s="423"/>
      <c r="AD34" s="423"/>
      <c r="AE34" s="424"/>
      <c r="AF34" s="422" t="s">
        <v>143</v>
      </c>
      <c r="AG34" s="423"/>
      <c r="AH34" s="423"/>
      <c r="AI34" s="423"/>
      <c r="AJ34" s="423"/>
      <c r="AK34" s="424"/>
      <c r="AL34" s="422" t="s">
        <v>146</v>
      </c>
      <c r="AM34" s="423"/>
      <c r="AN34" s="423"/>
      <c r="AO34" s="423"/>
      <c r="AP34" s="423"/>
      <c r="AQ34" s="424"/>
      <c r="AR34" s="422" t="s">
        <v>156</v>
      </c>
      <c r="AS34" s="423"/>
      <c r="AT34" s="423"/>
      <c r="AU34" s="423"/>
      <c r="AV34" s="423"/>
      <c r="AW34" s="424"/>
      <c r="AX34" s="422" t="s">
        <v>157</v>
      </c>
      <c r="AY34" s="423"/>
      <c r="AZ34" s="423"/>
      <c r="BA34" s="423"/>
      <c r="BB34" s="423"/>
      <c r="BC34" s="424"/>
      <c r="BD34" s="422" t="s">
        <v>158</v>
      </c>
      <c r="BE34" s="423"/>
      <c r="BF34" s="423"/>
      <c r="BG34" s="423"/>
      <c r="BH34" s="423"/>
      <c r="BI34" s="424"/>
      <c r="BJ34" s="422" t="s">
        <v>160</v>
      </c>
      <c r="BK34" s="423"/>
      <c r="BL34" s="423"/>
      <c r="BM34" s="423"/>
      <c r="BN34" s="423"/>
      <c r="BO34" s="424"/>
      <c r="BP34" s="422" t="s">
        <v>161</v>
      </c>
      <c r="BQ34" s="423"/>
      <c r="BR34" s="423"/>
      <c r="BS34" s="423"/>
      <c r="BT34" s="423"/>
      <c r="BU34" s="424"/>
      <c r="BW34" s="425" t="s">
        <v>80</v>
      </c>
      <c r="BX34" s="420"/>
      <c r="BY34" s="420"/>
      <c r="BZ34" s="420"/>
      <c r="CA34" s="420"/>
      <c r="CB34" s="421"/>
      <c r="CC34" s="425" t="str">
        <f>CC4</f>
        <v>MAY</v>
      </c>
      <c r="CD34" s="420"/>
      <c r="CE34" s="420"/>
      <c r="CF34" s="420"/>
      <c r="CG34" s="420"/>
      <c r="CH34" s="421"/>
      <c r="CI34" s="425" t="str">
        <f>CI4</f>
        <v>JUNE</v>
      </c>
      <c r="CJ34" s="420"/>
      <c r="CK34" s="420"/>
      <c r="CL34" s="420"/>
      <c r="CM34" s="420"/>
      <c r="CN34" s="421"/>
      <c r="CO34" s="425" t="str">
        <f>CO4</f>
        <v>JULY</v>
      </c>
      <c r="CP34" s="420"/>
      <c r="CQ34" s="420"/>
      <c r="CR34" s="420"/>
      <c r="CS34" s="420"/>
      <c r="CT34" s="421"/>
      <c r="CU34" s="425" t="str">
        <f>CU4</f>
        <v>AUG</v>
      </c>
      <c r="CV34" s="420"/>
      <c r="CW34" s="420"/>
      <c r="CX34" s="420"/>
      <c r="CY34" s="420"/>
      <c r="CZ34" s="421"/>
      <c r="DA34" s="425" t="str">
        <f>DA4</f>
        <v>SEPT</v>
      </c>
      <c r="DB34" s="420"/>
      <c r="DC34" s="420"/>
      <c r="DD34" s="420"/>
      <c r="DE34" s="420"/>
      <c r="DF34" s="421"/>
      <c r="DG34" s="425" t="str">
        <f>DG4</f>
        <v>OCT</v>
      </c>
      <c r="DH34" s="420"/>
      <c r="DI34" s="420"/>
      <c r="DJ34" s="420"/>
      <c r="DK34" s="420"/>
      <c r="DL34" s="421"/>
      <c r="DM34" s="425" t="str">
        <f>DM4</f>
        <v>NOV</v>
      </c>
      <c r="DN34" s="420"/>
      <c r="DO34" s="420"/>
      <c r="DP34" s="420"/>
      <c r="DQ34" s="420"/>
      <c r="DR34" s="421"/>
      <c r="DS34" s="425" t="str">
        <f>DS4</f>
        <v>DEC</v>
      </c>
      <c r="DT34" s="420"/>
      <c r="DU34" s="420"/>
      <c r="DV34" s="420"/>
      <c r="DW34" s="420"/>
      <c r="DX34" s="421"/>
      <c r="DY34" s="425" t="str">
        <f>DY4</f>
        <v>JAN</v>
      </c>
      <c r="DZ34" s="420"/>
      <c r="EA34" s="420"/>
      <c r="EB34" s="420"/>
      <c r="EC34" s="420"/>
      <c r="ED34" s="421"/>
      <c r="EE34" s="425" t="str">
        <f>EE4</f>
        <v>FEB</v>
      </c>
      <c r="EF34" s="420"/>
      <c r="EG34" s="420"/>
      <c r="EH34" s="420"/>
      <c r="EI34" s="420"/>
      <c r="EJ34" s="421"/>
      <c r="EK34" s="425" t="str">
        <f>EK4</f>
        <v>MARCH 17</v>
      </c>
      <c r="EL34" s="420"/>
      <c r="EM34" s="420"/>
      <c r="EN34" s="420"/>
      <c r="EO34" s="420"/>
      <c r="EP34" s="421"/>
    </row>
    <row r="35" spans="1:146" s="318" customFormat="1">
      <c r="A35" s="314" t="s">
        <v>144</v>
      </c>
      <c r="B35" s="315" t="s">
        <v>122</v>
      </c>
      <c r="C35" s="315" t="s">
        <v>123</v>
      </c>
      <c r="D35" s="315" t="s">
        <v>108</v>
      </c>
      <c r="E35" s="315" t="s">
        <v>32</v>
      </c>
      <c r="F35" s="315" t="s">
        <v>150</v>
      </c>
      <c r="G35" s="316" t="s">
        <v>151</v>
      </c>
      <c r="H35" s="317" t="s">
        <v>122</v>
      </c>
      <c r="I35" s="315" t="s">
        <v>123</v>
      </c>
      <c r="J35" s="315" t="s">
        <v>108</v>
      </c>
      <c r="K35" s="315" t="s">
        <v>32</v>
      </c>
      <c r="L35" s="315" t="s">
        <v>150</v>
      </c>
      <c r="M35" s="316" t="s">
        <v>151</v>
      </c>
      <c r="N35" s="317" t="s">
        <v>122</v>
      </c>
      <c r="O35" s="315" t="s">
        <v>123</v>
      </c>
      <c r="P35" s="315" t="s">
        <v>108</v>
      </c>
      <c r="Q35" s="315" t="s">
        <v>32</v>
      </c>
      <c r="R35" s="315" t="s">
        <v>150</v>
      </c>
      <c r="S35" s="316" t="s">
        <v>151</v>
      </c>
      <c r="T35" s="317" t="s">
        <v>122</v>
      </c>
      <c r="U35" s="315" t="s">
        <v>123</v>
      </c>
      <c r="V35" s="315" t="s">
        <v>108</v>
      </c>
      <c r="W35" s="315" t="s">
        <v>32</v>
      </c>
      <c r="X35" s="315" t="s">
        <v>150</v>
      </c>
      <c r="Y35" s="316" t="s">
        <v>151</v>
      </c>
      <c r="Z35" s="317" t="s">
        <v>122</v>
      </c>
      <c r="AA35" s="315" t="s">
        <v>123</v>
      </c>
      <c r="AB35" s="315" t="s">
        <v>108</v>
      </c>
      <c r="AC35" s="315" t="s">
        <v>32</v>
      </c>
      <c r="AD35" s="315" t="s">
        <v>150</v>
      </c>
      <c r="AE35" s="316" t="s">
        <v>151</v>
      </c>
      <c r="AF35" s="317" t="s">
        <v>122</v>
      </c>
      <c r="AG35" s="315" t="s">
        <v>123</v>
      </c>
      <c r="AH35" s="315" t="s">
        <v>108</v>
      </c>
      <c r="AI35" s="315" t="s">
        <v>32</v>
      </c>
      <c r="AJ35" s="315" t="s">
        <v>150</v>
      </c>
      <c r="AK35" s="316" t="s">
        <v>151</v>
      </c>
      <c r="AL35" s="317" t="s">
        <v>122</v>
      </c>
      <c r="AM35" s="315" t="s">
        <v>123</v>
      </c>
      <c r="AN35" s="315" t="s">
        <v>108</v>
      </c>
      <c r="AO35" s="315" t="s">
        <v>32</v>
      </c>
      <c r="AP35" s="315" t="s">
        <v>150</v>
      </c>
      <c r="AQ35" s="316" t="s">
        <v>151</v>
      </c>
      <c r="AR35" s="317" t="s">
        <v>122</v>
      </c>
      <c r="AS35" s="315" t="s">
        <v>123</v>
      </c>
      <c r="AT35" s="315" t="s">
        <v>108</v>
      </c>
      <c r="AU35" s="315" t="s">
        <v>32</v>
      </c>
      <c r="AV35" s="315" t="s">
        <v>150</v>
      </c>
      <c r="AW35" s="316" t="s">
        <v>151</v>
      </c>
      <c r="AX35" s="317" t="s">
        <v>122</v>
      </c>
      <c r="AY35" s="315" t="s">
        <v>123</v>
      </c>
      <c r="AZ35" s="315" t="s">
        <v>108</v>
      </c>
      <c r="BA35" s="315" t="s">
        <v>32</v>
      </c>
      <c r="BB35" s="315" t="s">
        <v>150</v>
      </c>
      <c r="BC35" s="316" t="s">
        <v>151</v>
      </c>
      <c r="BD35" s="317" t="s">
        <v>122</v>
      </c>
      <c r="BE35" s="315" t="s">
        <v>123</v>
      </c>
      <c r="BF35" s="315" t="s">
        <v>108</v>
      </c>
      <c r="BG35" s="315" t="s">
        <v>32</v>
      </c>
      <c r="BH35" s="315" t="s">
        <v>150</v>
      </c>
      <c r="BI35" s="316" t="s">
        <v>151</v>
      </c>
      <c r="BJ35" s="317" t="s">
        <v>122</v>
      </c>
      <c r="BK35" s="315" t="s">
        <v>123</v>
      </c>
      <c r="BL35" s="315" t="s">
        <v>108</v>
      </c>
      <c r="BM35" s="315" t="s">
        <v>32</v>
      </c>
      <c r="BN35" s="315" t="s">
        <v>150</v>
      </c>
      <c r="BO35" s="316" t="s">
        <v>151</v>
      </c>
      <c r="BP35" s="317" t="s">
        <v>122</v>
      </c>
      <c r="BQ35" s="315" t="s">
        <v>123</v>
      </c>
      <c r="BR35" s="315" t="s">
        <v>108</v>
      </c>
      <c r="BS35" s="315" t="s">
        <v>32</v>
      </c>
      <c r="BT35" s="315" t="s">
        <v>150</v>
      </c>
      <c r="BU35" s="316" t="s">
        <v>151</v>
      </c>
      <c r="BW35" s="317" t="s">
        <v>122</v>
      </c>
      <c r="BX35" s="315" t="s">
        <v>123</v>
      </c>
      <c r="BY35" s="315" t="s">
        <v>108</v>
      </c>
      <c r="BZ35" s="315" t="s">
        <v>32</v>
      </c>
      <c r="CA35" s="315" t="s">
        <v>150</v>
      </c>
      <c r="CB35" s="316" t="s">
        <v>151</v>
      </c>
      <c r="CC35" s="317" t="s">
        <v>122</v>
      </c>
      <c r="CD35" s="315" t="s">
        <v>123</v>
      </c>
      <c r="CE35" s="315" t="s">
        <v>108</v>
      </c>
      <c r="CF35" s="315" t="s">
        <v>32</v>
      </c>
      <c r="CG35" s="315" t="s">
        <v>150</v>
      </c>
      <c r="CH35" s="316" t="s">
        <v>151</v>
      </c>
      <c r="CI35" s="317" t="s">
        <v>122</v>
      </c>
      <c r="CJ35" s="315" t="s">
        <v>123</v>
      </c>
      <c r="CK35" s="315" t="s">
        <v>108</v>
      </c>
      <c r="CL35" s="315" t="s">
        <v>32</v>
      </c>
      <c r="CM35" s="315" t="s">
        <v>150</v>
      </c>
      <c r="CN35" s="316" t="s">
        <v>151</v>
      </c>
      <c r="CO35" s="317" t="s">
        <v>122</v>
      </c>
      <c r="CP35" s="315" t="s">
        <v>123</v>
      </c>
      <c r="CQ35" s="315" t="s">
        <v>108</v>
      </c>
      <c r="CR35" s="315" t="s">
        <v>32</v>
      </c>
      <c r="CS35" s="315" t="s">
        <v>150</v>
      </c>
      <c r="CT35" s="316" t="s">
        <v>151</v>
      </c>
      <c r="CU35" s="317" t="s">
        <v>122</v>
      </c>
      <c r="CV35" s="315" t="s">
        <v>123</v>
      </c>
      <c r="CW35" s="315" t="s">
        <v>108</v>
      </c>
      <c r="CX35" s="315" t="s">
        <v>32</v>
      </c>
      <c r="CY35" s="315" t="s">
        <v>150</v>
      </c>
      <c r="CZ35" s="316" t="s">
        <v>151</v>
      </c>
      <c r="DA35" s="317" t="s">
        <v>122</v>
      </c>
      <c r="DB35" s="315" t="s">
        <v>123</v>
      </c>
      <c r="DC35" s="315" t="s">
        <v>108</v>
      </c>
      <c r="DD35" s="315" t="s">
        <v>32</v>
      </c>
      <c r="DE35" s="315" t="s">
        <v>150</v>
      </c>
      <c r="DF35" s="316" t="s">
        <v>151</v>
      </c>
      <c r="DG35" s="317" t="s">
        <v>122</v>
      </c>
      <c r="DH35" s="315" t="s">
        <v>123</v>
      </c>
      <c r="DI35" s="315" t="s">
        <v>108</v>
      </c>
      <c r="DJ35" s="315" t="s">
        <v>32</v>
      </c>
      <c r="DK35" s="315" t="s">
        <v>150</v>
      </c>
      <c r="DL35" s="316" t="s">
        <v>151</v>
      </c>
      <c r="DM35" s="317" t="s">
        <v>122</v>
      </c>
      <c r="DN35" s="315" t="s">
        <v>123</v>
      </c>
      <c r="DO35" s="315" t="s">
        <v>108</v>
      </c>
      <c r="DP35" s="315" t="s">
        <v>32</v>
      </c>
      <c r="DQ35" s="315" t="s">
        <v>150</v>
      </c>
      <c r="DR35" s="316" t="s">
        <v>151</v>
      </c>
      <c r="DS35" s="317" t="s">
        <v>122</v>
      </c>
      <c r="DT35" s="315" t="s">
        <v>123</v>
      </c>
      <c r="DU35" s="315" t="s">
        <v>108</v>
      </c>
      <c r="DV35" s="315" t="s">
        <v>32</v>
      </c>
      <c r="DW35" s="315" t="s">
        <v>150</v>
      </c>
      <c r="DX35" s="316" t="s">
        <v>151</v>
      </c>
      <c r="DY35" s="317" t="s">
        <v>122</v>
      </c>
      <c r="DZ35" s="315" t="s">
        <v>123</v>
      </c>
      <c r="EA35" s="315" t="s">
        <v>108</v>
      </c>
      <c r="EB35" s="315" t="s">
        <v>32</v>
      </c>
      <c r="EC35" s="315" t="s">
        <v>150</v>
      </c>
      <c r="ED35" s="316" t="s">
        <v>151</v>
      </c>
      <c r="EE35" s="317" t="s">
        <v>122</v>
      </c>
      <c r="EF35" s="315" t="s">
        <v>123</v>
      </c>
      <c r="EG35" s="315" t="s">
        <v>108</v>
      </c>
      <c r="EH35" s="315" t="s">
        <v>32</v>
      </c>
      <c r="EI35" s="315" t="s">
        <v>150</v>
      </c>
      <c r="EJ35" s="316" t="s">
        <v>151</v>
      </c>
      <c r="EK35" s="317" t="s">
        <v>122</v>
      </c>
      <c r="EL35" s="315" t="s">
        <v>123</v>
      </c>
      <c r="EM35" s="315" t="s">
        <v>108</v>
      </c>
      <c r="EN35" s="315" t="s">
        <v>32</v>
      </c>
      <c r="EO35" s="309" t="s">
        <v>150</v>
      </c>
      <c r="EP35" s="316" t="str">
        <f>EP5</f>
        <v>Net GC</v>
      </c>
    </row>
    <row r="36" spans="1:146" s="301" customFormat="1">
      <c r="A36" s="319" t="s">
        <v>174</v>
      </c>
      <c r="B36" s="299">
        <v>12.931199999999858</v>
      </c>
      <c r="C36" s="298">
        <f t="shared" ref="C36:C54" si="163">B36/B$65</f>
        <v>0.14028867710723883</v>
      </c>
      <c r="D36" s="299">
        <v>143649.50603286174</v>
      </c>
      <c r="E36" s="299">
        <v>93383.159835298895</v>
      </c>
      <c r="F36" s="299">
        <v>6708.3551729245619</v>
      </c>
      <c r="G36" s="300">
        <f>D36-E36-F36</f>
        <v>43557.991024638286</v>
      </c>
      <c r="H36" s="297">
        <v>5.8672000000000155</v>
      </c>
      <c r="I36" s="298">
        <f t="shared" ref="I36:I54" si="164">H36/H$65</f>
        <v>8.2730740500900943E-2</v>
      </c>
      <c r="J36" s="320">
        <v>143586.97873249216</v>
      </c>
      <c r="K36" s="299">
        <v>96109.952445892239</v>
      </c>
      <c r="L36" s="299">
        <v>7064.5285006952317</v>
      </c>
      <c r="M36" s="300">
        <f>J36-K36-L36</f>
        <v>40412.497785904692</v>
      </c>
      <c r="N36" s="297">
        <v>7.912800000000014</v>
      </c>
      <c r="O36" s="298">
        <f t="shared" ref="O36:O54" si="165">N36/N$65</f>
        <v>8.986025769184583E-2</v>
      </c>
      <c r="P36" s="299">
        <v>143640.40395044969</v>
      </c>
      <c r="Q36" s="299">
        <v>96109.952445892239</v>
      </c>
      <c r="R36" s="299">
        <v>7055.7866215649274</v>
      </c>
      <c r="S36" s="300">
        <f>P36-Q36-R36</f>
        <v>40474.664882992525</v>
      </c>
      <c r="T36" s="297">
        <v>4.0824000000000096</v>
      </c>
      <c r="U36" s="298">
        <f t="shared" ref="U36:U54" si="166">T36/T$65</f>
        <v>4.5880901164554962E-2</v>
      </c>
      <c r="V36" s="299">
        <v>138672.6065042121</v>
      </c>
      <c r="W36" s="299">
        <v>97865.498167892234</v>
      </c>
      <c r="X36" s="299">
        <v>2190.931509111701</v>
      </c>
      <c r="Y36" s="300">
        <f>V36-W36-X36</f>
        <v>38616.176827208168</v>
      </c>
      <c r="Z36" s="297">
        <v>7.0218000000000105</v>
      </c>
      <c r="AA36" s="298">
        <f t="shared" ref="AA36:AA54" si="167">Z36/Z$65</f>
        <v>7.7540262702452317E-2</v>
      </c>
      <c r="AB36" s="299">
        <v>138706.09854368214</v>
      </c>
      <c r="AC36" s="299">
        <v>95212.704922129167</v>
      </c>
      <c r="AD36" s="299">
        <v>1363.6379210500022</v>
      </c>
      <c r="AE36" s="300">
        <f>AB36-AC36-AD36</f>
        <v>42129.755700502967</v>
      </c>
      <c r="AF36" s="297">
        <v>4.9920000000000107</v>
      </c>
      <c r="AG36" s="298">
        <f t="shared" ref="AG36:AG54" si="168">AF36/AF$65</f>
        <v>4.8274709648993192E-2</v>
      </c>
      <c r="AH36" s="299">
        <v>138918.47362772314</v>
      </c>
      <c r="AI36" s="299">
        <v>95212.704922129167</v>
      </c>
      <c r="AJ36" s="299">
        <v>1263.1671373391498</v>
      </c>
      <c r="AK36" s="300">
        <f>AH36-AI36-AJ36</f>
        <v>42442.601568254824</v>
      </c>
      <c r="AL36" s="321">
        <v>1.0295999999999998</v>
      </c>
      <c r="AM36" s="298">
        <f t="shared" ref="AM36:AM54" si="169">AL36/AL$65</f>
        <v>6.3091927254321483E-3</v>
      </c>
      <c r="AN36" s="299">
        <v>138523.45368654322</v>
      </c>
      <c r="AO36" s="299">
        <v>91065.105559929158</v>
      </c>
      <c r="AP36" s="299">
        <v>3686.4878745773003</v>
      </c>
      <c r="AQ36" s="300">
        <f>AN36-AO36-AP36</f>
        <v>43771.860252036757</v>
      </c>
      <c r="AR36" s="297">
        <v>0.8351999999999995</v>
      </c>
      <c r="AS36" s="298">
        <f t="shared" ref="AS36:AS54" si="170">AR36/AR$65</f>
        <v>3.61952402461671E-3</v>
      </c>
      <c r="AT36" s="299">
        <v>138514.72718096134</v>
      </c>
      <c r="AU36" s="299">
        <v>90184.390443529162</v>
      </c>
      <c r="AV36" s="299">
        <v>3713.6645798895743</v>
      </c>
      <c r="AW36" s="300">
        <f>AT36-AU36-AV36</f>
        <v>44616.672157542605</v>
      </c>
      <c r="AX36" s="297">
        <v>0.6742499999999999</v>
      </c>
      <c r="AY36" s="298">
        <f t="shared" ref="AY36:AY54" si="171">AX36/AX$65</f>
        <v>3.318450139825237E-3</v>
      </c>
      <c r="AZ36" s="299">
        <v>138451.58324063773</v>
      </c>
      <c r="BA36" s="299">
        <v>90184.390443529162</v>
      </c>
      <c r="BB36" s="299">
        <v>5016.9373377827214</v>
      </c>
      <c r="BC36" s="300">
        <f>AZ36-BA36-BB36</f>
        <v>43250.255459325846</v>
      </c>
      <c r="BD36" s="321">
        <v>0.8495999999999998</v>
      </c>
      <c r="BE36" s="298">
        <f t="shared" ref="BE36:BE54" si="172">BD36/BD$65</f>
        <v>4.6434089048679157E-3</v>
      </c>
      <c r="BF36" s="299">
        <v>138276.98917137476</v>
      </c>
      <c r="BG36" s="299">
        <v>90184.390443529162</v>
      </c>
      <c r="BH36" s="299">
        <v>5141.7255178907735</v>
      </c>
      <c r="BI36" s="300">
        <f>BF36-BG36-BH36</f>
        <v>42950.873209954829</v>
      </c>
      <c r="BJ36" s="297">
        <v>1.286697600000001</v>
      </c>
      <c r="BK36" s="298">
        <f t="shared" ref="BK36:BK54" si="173">BJ36/BJ$65</f>
        <v>1.6545212382673483E-2</v>
      </c>
      <c r="BL36" s="299">
        <v>138111.78321930478</v>
      </c>
      <c r="BM36" s="299">
        <v>86289.825045729158</v>
      </c>
      <c r="BN36" s="299">
        <v>7188.3245915745765</v>
      </c>
      <c r="BO36" s="300">
        <f>BL36-BM36-BN36</f>
        <v>44633.633582001043</v>
      </c>
      <c r="BP36" s="297">
        <v>2.5266500000000023</v>
      </c>
      <c r="BQ36" s="298">
        <f t="shared" ref="BQ36:BQ54" si="174">BP36/BP$65</f>
        <v>3.0731284524271707E-2</v>
      </c>
      <c r="BR36" s="299">
        <v>138006.81930619583</v>
      </c>
      <c r="BS36" s="299">
        <v>93383.159835298895</v>
      </c>
      <c r="BT36" s="299">
        <v>3562.2543684325069</v>
      </c>
      <c r="BU36" s="300">
        <f>BR36-BS36-BT36</f>
        <v>41061.405102464429</v>
      </c>
      <c r="BV36" s="322"/>
      <c r="BW36" s="297">
        <v>1.5615000000000014</v>
      </c>
      <c r="BX36" s="298">
        <f t="shared" ref="BX36:BX54" si="175">BW36/BW$65</f>
        <v>2.0158036944137106E-2</v>
      </c>
      <c r="BY36" s="299">
        <v>138129.01056676253</v>
      </c>
      <c r="BZ36" s="299">
        <v>98653.439143729163</v>
      </c>
      <c r="CA36" s="299">
        <v>4218.2772974703767</v>
      </c>
      <c r="CB36" s="300">
        <f>BY36-BZ36-CA36</f>
        <v>35257.294125562992</v>
      </c>
      <c r="CC36" s="297">
        <v>3.4920000000000031</v>
      </c>
      <c r="CD36" s="298">
        <f t="shared" ref="CD36:CD57" si="176">CC36/CC$65</f>
        <v>4.0077929306985782E-2</v>
      </c>
      <c r="CE36" s="299">
        <v>138214.72222222222</v>
      </c>
      <c r="CF36" s="299">
        <f>BZ36</f>
        <v>98653.439143729163</v>
      </c>
      <c r="CG36" s="299">
        <v>25514.96277205037</v>
      </c>
      <c r="CH36" s="300">
        <f>CE36-CF36-CG36</f>
        <v>14046.320306442685</v>
      </c>
      <c r="CI36" s="297">
        <v>10.200899999999997</v>
      </c>
      <c r="CJ36" s="298">
        <f t="shared" ref="CJ36:CJ60" si="177">CI36/CI$65</f>
        <v>7.7596716153282785E-2</v>
      </c>
      <c r="CK36" s="299">
        <v>138507.1611328412</v>
      </c>
      <c r="CL36" s="299">
        <v>102272.41328572917</v>
      </c>
      <c r="CM36" s="299">
        <v>25432.650060288801</v>
      </c>
      <c r="CN36" s="300">
        <f>CK36-CL36-CM36</f>
        <v>10802.097786823226</v>
      </c>
      <c r="CO36" s="297">
        <v>1.3248</v>
      </c>
      <c r="CP36" s="298">
        <f t="shared" ref="CP36:CP60" si="178">CO36/CO$65</f>
        <v>1.0589041405206072E-2</v>
      </c>
      <c r="CQ36" s="299">
        <v>138947.08635265692</v>
      </c>
      <c r="CR36" s="261">
        <f t="shared" ref="CR36:CR41" si="179">CL36+810</f>
        <v>103082.41328572917</v>
      </c>
      <c r="CS36" s="261">
        <v>24605.638586956517</v>
      </c>
      <c r="CT36" s="300">
        <f>CQ36-CR36-CS36</f>
        <v>11259.034479971229</v>
      </c>
      <c r="CU36" s="249">
        <v>0.50399999999999989</v>
      </c>
      <c r="CV36" s="250">
        <f t="shared" ref="CV36:CV60" si="180">CU36/CU$65</f>
        <v>4.3998580521985558E-3</v>
      </c>
      <c r="CW36" s="261">
        <v>137963.31349206355</v>
      </c>
      <c r="CX36" s="261">
        <f t="shared" ref="CX36:CX39" si="181">CR36</f>
        <v>103082.41328572917</v>
      </c>
      <c r="CY36" s="261">
        <v>16623.571428571431</v>
      </c>
      <c r="CZ36" s="251">
        <f t="shared" ref="CZ36:CZ64" si="182">CW36-CX36-CY36</f>
        <v>18257.328777762948</v>
      </c>
      <c r="DA36" s="249">
        <v>0.31679999999999992</v>
      </c>
      <c r="DB36" s="250">
        <f t="shared" ref="DB36:DB60" si="183">DA36/DA$65</f>
        <v>2.918734256984969E-3</v>
      </c>
      <c r="DC36" s="261">
        <v>138017.29797979802</v>
      </c>
      <c r="DD36" s="261">
        <f>CX36+5292</f>
        <v>108374.41328572917</v>
      </c>
      <c r="DE36" s="261">
        <v>26060.227272727272</v>
      </c>
      <c r="DF36" s="251">
        <f t="shared" ref="DF36:DF64" si="184">DC36-DD36-DE36</f>
        <v>3582.6574213415806</v>
      </c>
      <c r="DG36" s="249">
        <v>0.1152</v>
      </c>
      <c r="DH36" s="250">
        <f t="shared" ref="DH36:DH60" si="185">DG36/DG$65</f>
        <v>6.2570067137084561E-4</v>
      </c>
      <c r="DI36" s="261">
        <v>137972.48263888891</v>
      </c>
      <c r="DJ36" s="261">
        <f>DD36</f>
        <v>108374.41328572917</v>
      </c>
      <c r="DK36" s="261">
        <v>1375.2604166666667</v>
      </c>
      <c r="DL36" s="251">
        <f t="shared" ref="DL36:DL64" si="186">DI36-DJ36-DK36</f>
        <v>28222.808936493067</v>
      </c>
      <c r="DM36" s="249">
        <v>0.20880240000000003</v>
      </c>
      <c r="DN36" s="250">
        <f t="shared" ref="DN36:DN60" si="187">DM36/DM$65</f>
        <v>1.0150848045137196E-3</v>
      </c>
      <c r="DO36" s="261">
        <v>137642.86234257845</v>
      </c>
      <c r="DP36" s="261">
        <f>DJ36</f>
        <v>108374.41328572917</v>
      </c>
      <c r="DQ36" s="261">
        <v>501.67047888338442</v>
      </c>
      <c r="DR36" s="251">
        <f t="shared" ref="DR36:DR64" si="188">DO36-DP36-DQ36</f>
        <v>28766.778577965892</v>
      </c>
      <c r="DS36" s="249">
        <v>0.19440000000000002</v>
      </c>
      <c r="DT36" s="250">
        <f t="shared" ref="DT36:DT60" si="189">DS36/DS$65</f>
        <v>9.4639274179080977E-4</v>
      </c>
      <c r="DU36" s="261">
        <v>137755.76131687243</v>
      </c>
      <c r="DV36" s="261">
        <f>DP36</f>
        <v>108374.41328572917</v>
      </c>
      <c r="DW36" s="261">
        <v>3755.2983539094644</v>
      </c>
      <c r="DX36" s="251">
        <f t="shared" ref="DX36:DX60" si="190">DU36-DV36-DW36</f>
        <v>25626.049677233801</v>
      </c>
      <c r="DY36" s="249">
        <f>'Net NR'!DD36</f>
        <v>0.10079999999999999</v>
      </c>
      <c r="DZ36" s="250">
        <f t="shared" ref="DZ36:DZ60" si="191">DY36/DY$65</f>
        <v>4.8771481224721598E-4</v>
      </c>
      <c r="EA36" s="261">
        <f>'Net NR'!DF36</f>
        <v>138064.88095238095</v>
      </c>
      <c r="EB36" s="261">
        <f>DV36+2797</f>
        <v>111171.41328572917</v>
      </c>
      <c r="EC36" s="261">
        <f>'Net NR'!DG36</f>
        <v>8914.7817460317492</v>
      </c>
      <c r="ED36" s="251">
        <f t="shared" ref="ED36" si="192">EA36-EB36-EC36</f>
        <v>17978.685920620028</v>
      </c>
      <c r="EE36" s="249">
        <f>'Net NR'!DI36</f>
        <v>0.45360000000000017</v>
      </c>
      <c r="EF36" s="250">
        <f t="shared" ref="EF36:EF63" si="193">EE36/EE$65</f>
        <v>3.3955865011063738E-3</v>
      </c>
      <c r="EG36" s="261">
        <f>'Net NR'!DK36</f>
        <v>137982.82627865963</v>
      </c>
      <c r="EH36" s="261">
        <f>EB36</f>
        <v>111171.41328572917</v>
      </c>
      <c r="EI36" s="261">
        <f>'Net NR'!DL36</f>
        <v>1333.6860670193998</v>
      </c>
      <c r="EJ36" s="251">
        <f t="shared" ref="EJ36:EJ63" si="194">EG36-EH36-EI36</f>
        <v>25477.726925911062</v>
      </c>
      <c r="EK36" s="249">
        <v>0.49680000000000002</v>
      </c>
      <c r="EL36" s="250">
        <f>EK36/EK$65</f>
        <v>4.3830604242993121E-3</v>
      </c>
      <c r="EM36" s="261">
        <v>137972.48389694042</v>
      </c>
      <c r="EN36" s="389">
        <v>96593.519125988241</v>
      </c>
      <c r="EO36" s="261">
        <v>3514.6940418679551</v>
      </c>
      <c r="EP36" s="251">
        <f t="shared" ref="EP36:EP63" si="195">EM36-EN36-EO36</f>
        <v>37864.270729084223</v>
      </c>
    </row>
    <row r="37" spans="1:146" s="301" customFormat="1">
      <c r="A37" s="319" t="s">
        <v>175</v>
      </c>
      <c r="B37" s="299">
        <v>16.819200000000052</v>
      </c>
      <c r="C37" s="298">
        <f t="shared" si="163"/>
        <v>0.18246901432211277</v>
      </c>
      <c r="D37" s="299">
        <v>163146.73982324608</v>
      </c>
      <c r="E37" s="299">
        <v>89642.483262683672</v>
      </c>
      <c r="F37" s="299">
        <v>5523.3736327950155</v>
      </c>
      <c r="G37" s="300">
        <f t="shared" ref="G37:G54" si="196">D37-E37-F37</f>
        <v>67980.882927767394</v>
      </c>
      <c r="H37" s="297">
        <v>14.955825000000047</v>
      </c>
      <c r="I37" s="298">
        <f t="shared" si="164"/>
        <v>0.21088534173914089</v>
      </c>
      <c r="J37" s="320">
        <v>163875.15686959066</v>
      </c>
      <c r="K37" s="299">
        <v>85170.286218322231</v>
      </c>
      <c r="L37" s="299">
        <v>5660.7785990786706</v>
      </c>
      <c r="M37" s="300">
        <f t="shared" ref="M37:M54" si="197">J37-K37-L37</f>
        <v>73044.092052189764</v>
      </c>
      <c r="N37" s="297">
        <v>16.353525000000062</v>
      </c>
      <c r="O37" s="298">
        <f t="shared" si="165"/>
        <v>0.18571579853781794</v>
      </c>
      <c r="P37" s="299">
        <v>164168.87983380642</v>
      </c>
      <c r="Q37" s="299">
        <v>85170.286218322231</v>
      </c>
      <c r="R37" s="299">
        <v>5630.8444341588474</v>
      </c>
      <c r="S37" s="300">
        <f t="shared" ref="S37:S54" si="198">P37-Q37-R37</f>
        <v>73367.749181325344</v>
      </c>
      <c r="T37" s="297">
        <v>15.048000000000075</v>
      </c>
      <c r="U37" s="298">
        <f t="shared" si="166"/>
        <v>0.16912007660303371</v>
      </c>
      <c r="V37" s="299">
        <v>157644.68050377653</v>
      </c>
      <c r="W37" s="299">
        <v>88328.876858322241</v>
      </c>
      <c r="X37" s="299">
        <v>744.4444946878491</v>
      </c>
      <c r="Y37" s="300">
        <f t="shared" ref="Y37:Y54" si="199">V37-W37-X37</f>
        <v>68571.359150766439</v>
      </c>
      <c r="Z37" s="297">
        <v>12.458625000000051</v>
      </c>
      <c r="AA37" s="298">
        <f t="shared" si="167"/>
        <v>0.13757797935163954</v>
      </c>
      <c r="AB37" s="299">
        <v>158164.7374286413</v>
      </c>
      <c r="AC37" s="299">
        <v>86714.898358994236</v>
      </c>
      <c r="AD37" s="299">
        <v>616.18394147857396</v>
      </c>
      <c r="AE37" s="300">
        <f t="shared" ref="AE37:AE54" si="200">AB37-AC37-AD37</f>
        <v>70833.655128168481</v>
      </c>
      <c r="AF37" s="297">
        <v>26.337670199999845</v>
      </c>
      <c r="AG37" s="298">
        <f t="shared" si="168"/>
        <v>0.25469619025158857</v>
      </c>
      <c r="AH37" s="299">
        <v>158412.62298944272</v>
      </c>
      <c r="AI37" s="299">
        <v>86714.898358994236</v>
      </c>
      <c r="AJ37" s="299">
        <v>19389.92263729258</v>
      </c>
      <c r="AK37" s="300">
        <f t="shared" ref="AK37:AK54" si="201">AH37-AI37-AJ37</f>
        <v>52307.80199315591</v>
      </c>
      <c r="AL37" s="321">
        <v>26.404049999999984</v>
      </c>
      <c r="AM37" s="298">
        <f t="shared" si="169"/>
        <v>0.16179899007570575</v>
      </c>
      <c r="AN37" s="299">
        <v>138871.46741376404</v>
      </c>
      <c r="AO37" s="299">
        <v>82396.650918994244</v>
      </c>
      <c r="AP37" s="299">
        <v>2485.5314127287243</v>
      </c>
      <c r="AQ37" s="300">
        <f t="shared" ref="AQ37:AQ54" si="202">AN37-AO37-AP37</f>
        <v>53989.285082041068</v>
      </c>
      <c r="AR37" s="297">
        <v>45.198971999999948</v>
      </c>
      <c r="AS37" s="298">
        <f t="shared" si="170"/>
        <v>0.19587974741616127</v>
      </c>
      <c r="AT37" s="299">
        <v>138055.39787495125</v>
      </c>
      <c r="AU37" s="299">
        <v>81248.787238994235</v>
      </c>
      <c r="AV37" s="299">
        <v>3109.5871659220707</v>
      </c>
      <c r="AW37" s="300">
        <f t="shared" ref="AW37:AW54" si="203">AT37-AU37-AV37</f>
        <v>53697.023470034939</v>
      </c>
      <c r="AX37" s="297">
        <v>42.633899999999919</v>
      </c>
      <c r="AY37" s="298">
        <f t="shared" si="171"/>
        <v>0.20983088085471993</v>
      </c>
      <c r="AZ37" s="299">
        <v>142429.95597400208</v>
      </c>
      <c r="BA37" s="299">
        <v>81248.787238994235</v>
      </c>
      <c r="BB37" s="299">
        <v>10798.822533242348</v>
      </c>
      <c r="BC37" s="300">
        <f t="shared" ref="BC37:BC54" si="204">AZ37-BA37-BB37</f>
        <v>50382.346201765497</v>
      </c>
      <c r="BD37" s="321">
        <v>19.915275000000062</v>
      </c>
      <c r="BE37" s="298">
        <f t="shared" si="172"/>
        <v>0.10884506270938522</v>
      </c>
      <c r="BF37" s="299">
        <v>137306.8687226261</v>
      </c>
      <c r="BG37" s="299">
        <v>81248.787238994235</v>
      </c>
      <c r="BH37" s="299">
        <v>6898.9235649520051</v>
      </c>
      <c r="BI37" s="300">
        <f t="shared" ref="BI37:BI54" si="205">BF37-BG37-BH37</f>
        <v>49159.157918679855</v>
      </c>
      <c r="BJ37" s="297">
        <v>14.679378000000096</v>
      </c>
      <c r="BK37" s="298">
        <f t="shared" si="173"/>
        <v>0.1887571925645514</v>
      </c>
      <c r="BL37" s="299">
        <v>136597.64603105027</v>
      </c>
      <c r="BM37" s="299">
        <v>79076.887638994245</v>
      </c>
      <c r="BN37" s="299">
        <v>534.17317818234199</v>
      </c>
      <c r="BO37" s="300">
        <f t="shared" ref="BO37:BO54" si="206">BL37-BM37-BN37</f>
        <v>56986.585213873688</v>
      </c>
      <c r="BP37" s="297">
        <v>12.432600000000072</v>
      </c>
      <c r="BQ37" s="298">
        <f t="shared" si="174"/>
        <v>0.1512159452145973</v>
      </c>
      <c r="BR37" s="299">
        <v>137009.28687482825</v>
      </c>
      <c r="BS37" s="299">
        <v>89642.483262683672</v>
      </c>
      <c r="BT37" s="299">
        <v>513.17986583658649</v>
      </c>
      <c r="BU37" s="300">
        <f t="shared" ref="BU37:BU54" si="207">BR37-BS37-BT37</f>
        <v>46853.623746307989</v>
      </c>
      <c r="BV37" s="322"/>
      <c r="BW37" s="297">
        <v>13.095000000000057</v>
      </c>
      <c r="BX37" s="298">
        <f t="shared" si="175"/>
        <v>0.16904866716841263</v>
      </c>
      <c r="BY37" s="299">
        <v>136883.42191676141</v>
      </c>
      <c r="BZ37" s="299">
        <v>87148.272326194245</v>
      </c>
      <c r="CA37" s="299">
        <v>1188.1114929362295</v>
      </c>
      <c r="CB37" s="300">
        <f t="shared" ref="CB37:CB54" si="208">BY37-BZ37-CA37</f>
        <v>48547.038097630932</v>
      </c>
      <c r="CC37" s="297">
        <v>14.837550000000078</v>
      </c>
      <c r="CD37" s="298">
        <f t="shared" si="176"/>
        <v>0.17029160366233376</v>
      </c>
      <c r="CE37" s="299">
        <v>139993.1558781596</v>
      </c>
      <c r="CF37" s="299">
        <f t="shared" ref="CF37:CF54" si="209">BZ37</f>
        <v>87148.272326194245</v>
      </c>
      <c r="CG37" s="299">
        <v>2062.7913638033065</v>
      </c>
      <c r="CH37" s="300">
        <f t="shared" ref="CH37:CH64" si="210">CE37-CF37-CG37</f>
        <v>50782.092188162045</v>
      </c>
      <c r="CI37" s="297">
        <v>13.124850000000075</v>
      </c>
      <c r="CJ37" s="298">
        <f t="shared" si="177"/>
        <v>9.9838765207424796E-2</v>
      </c>
      <c r="CK37" s="299">
        <v>151259.14886646255</v>
      </c>
      <c r="CL37" s="299">
        <v>90391.380326194238</v>
      </c>
      <c r="CM37" s="299">
        <v>9391.5579987580386</v>
      </c>
      <c r="CN37" s="300">
        <f t="shared" ref="CN37:CN64" si="211">CK37-CL37-CM37</f>
        <v>51476.210541510271</v>
      </c>
      <c r="CO37" s="297">
        <v>16.820875000000026</v>
      </c>
      <c r="CP37" s="298">
        <f t="shared" si="178"/>
        <v>0.13444817470319745</v>
      </c>
      <c r="CQ37" s="299">
        <v>157681.75080071625</v>
      </c>
      <c r="CR37" s="261">
        <f t="shared" si="179"/>
        <v>91201.380326194238</v>
      </c>
      <c r="CS37" s="261">
        <v>14373.157163346077</v>
      </c>
      <c r="CT37" s="300">
        <f t="shared" ref="CT37:CT64" si="212">CQ37-CR37-CS37</f>
        <v>52107.213311175939</v>
      </c>
      <c r="CU37" s="249">
        <v>11.335575000000031</v>
      </c>
      <c r="CV37" s="250">
        <f t="shared" si="180"/>
        <v>9.8958176468354739E-2</v>
      </c>
      <c r="CW37" s="261">
        <v>159065.42985247751</v>
      </c>
      <c r="CX37" s="261">
        <f t="shared" si="181"/>
        <v>91201.380326194238</v>
      </c>
      <c r="CY37" s="261">
        <v>14157.620588280635</v>
      </c>
      <c r="CZ37" s="251">
        <f t="shared" si="182"/>
        <v>53706.428938002631</v>
      </c>
      <c r="DA37" s="249">
        <v>9.5149500000000256</v>
      </c>
      <c r="DB37" s="250">
        <f t="shared" si="183"/>
        <v>8.7662911990212158E-2</v>
      </c>
      <c r="DC37" s="261">
        <v>158697.66104919062</v>
      </c>
      <c r="DD37" s="261">
        <f t="shared" ref="DD37:DD41" si="213">CX37+5292</f>
        <v>96493.380326194238</v>
      </c>
      <c r="DE37" s="261">
        <v>1232.4752100641595</v>
      </c>
      <c r="DF37" s="251">
        <f t="shared" si="184"/>
        <v>60971.805512932224</v>
      </c>
      <c r="DG37" s="249">
        <v>29.281349999999897</v>
      </c>
      <c r="DH37" s="250">
        <f t="shared" si="185"/>
        <v>0.15903958640316532</v>
      </c>
      <c r="DI37" s="261">
        <v>158292.34854267325</v>
      </c>
      <c r="DJ37" s="261">
        <f t="shared" ref="DJ37:DJ60" si="214">DD37</f>
        <v>96493.380326194238</v>
      </c>
      <c r="DK37" s="261">
        <v>434.66199475092668</v>
      </c>
      <c r="DL37" s="251">
        <f t="shared" si="186"/>
        <v>61364.306221728089</v>
      </c>
      <c r="DM37" s="249">
        <v>31.900283999999925</v>
      </c>
      <c r="DN37" s="250">
        <f t="shared" si="187"/>
        <v>0.1550819988087879</v>
      </c>
      <c r="DO37" s="261">
        <v>158271.11695933493</v>
      </c>
      <c r="DP37" s="261">
        <f t="shared" ref="DP37:DP38" si="215">DJ37</f>
        <v>96493.380326194238</v>
      </c>
      <c r="DQ37" s="261">
        <v>335.98290222118487</v>
      </c>
      <c r="DR37" s="251">
        <f t="shared" si="188"/>
        <v>61441.75373091951</v>
      </c>
      <c r="DS37" s="249">
        <v>22.979999999999915</v>
      </c>
      <c r="DT37" s="250">
        <f t="shared" si="189"/>
        <v>0.11187296916848111</v>
      </c>
      <c r="DU37" s="261">
        <v>158382.28241949531</v>
      </c>
      <c r="DV37" s="261">
        <f t="shared" ref="DV37:DV54" si="216">DP37</f>
        <v>96493.380326194238</v>
      </c>
      <c r="DW37" s="261">
        <v>531.39120974760874</v>
      </c>
      <c r="DX37" s="251">
        <f t="shared" si="190"/>
        <v>61357.51088355347</v>
      </c>
      <c r="DY37" s="249">
        <f>'Net NR'!DD37</f>
        <v>18.262799999999935</v>
      </c>
      <c r="DZ37" s="250">
        <f t="shared" si="191"/>
        <v>8.8363472947504212E-2</v>
      </c>
      <c r="EA37" s="261">
        <f>'Net NR'!DF37</f>
        <v>158613.41962897289</v>
      </c>
      <c r="EB37" s="261">
        <f>DV37</f>
        <v>96493.380326194238</v>
      </c>
      <c r="EC37" s="261">
        <f>'Net NR'!DG37</f>
        <v>4889.2825853648055</v>
      </c>
      <c r="ED37" s="251">
        <f t="shared" ref="ED37:ED60" si="217">EA37-EB37-EC37</f>
        <v>57230.756717413846</v>
      </c>
      <c r="EE37" s="249">
        <f>'Net NR'!DI37</f>
        <v>9.3070500000000287</v>
      </c>
      <c r="EF37" s="250">
        <f t="shared" si="193"/>
        <v>6.9671281625048861E-2</v>
      </c>
      <c r="EG37" s="261">
        <f>'Net NR'!DK37</f>
        <v>158963.86287814032</v>
      </c>
      <c r="EH37" s="261">
        <f t="shared" ref="EH37:EH49" si="218">EB37</f>
        <v>96493.380326194238</v>
      </c>
      <c r="EI37" s="261">
        <f>'Net NR'!DL37</f>
        <v>2942.3168458319074</v>
      </c>
      <c r="EJ37" s="251">
        <f t="shared" si="194"/>
        <v>59528.165706114181</v>
      </c>
      <c r="EK37" s="249">
        <v>7.773150000000026</v>
      </c>
      <c r="EL37" s="250">
        <f t="shared" ref="EL37:EL63" si="219">EK37/EK$65</f>
        <v>6.8579279664135087E-2</v>
      </c>
      <c r="EM37" s="261">
        <v>159020.54636794559</v>
      </c>
      <c r="EN37" s="261">
        <v>101097</v>
      </c>
      <c r="EO37" s="235">
        <v>2099.3651222477301</v>
      </c>
      <c r="EP37" s="251">
        <f t="shared" si="195"/>
        <v>55824.181245697859</v>
      </c>
    </row>
    <row r="38" spans="1:146" s="301" customFormat="1">
      <c r="A38" s="319" t="s">
        <v>176</v>
      </c>
      <c r="B38" s="299">
        <v>8.5491000000000437</v>
      </c>
      <c r="C38" s="298">
        <f t="shared" si="163"/>
        <v>9.2747922037979061E-2</v>
      </c>
      <c r="D38" s="299">
        <v>164780.31395629139</v>
      </c>
      <c r="E38" s="299">
        <v>92524.098084474666</v>
      </c>
      <c r="F38" s="299">
        <v>6174.3004577944903</v>
      </c>
      <c r="G38" s="300">
        <f t="shared" si="196"/>
        <v>66081.915414022224</v>
      </c>
      <c r="H38" s="297">
        <v>4.7088000000000125</v>
      </c>
      <c r="I38" s="298">
        <f t="shared" si="164"/>
        <v>6.6396664656163479E-2</v>
      </c>
      <c r="J38" s="320">
        <v>164829.01697957062</v>
      </c>
      <c r="K38" s="299">
        <v>95251.792093487238</v>
      </c>
      <c r="L38" s="299">
        <v>6747.2020798090016</v>
      </c>
      <c r="M38" s="300">
        <f t="shared" si="197"/>
        <v>62830.022806274377</v>
      </c>
      <c r="N38" s="297">
        <v>1.9871999999999981</v>
      </c>
      <c r="O38" s="298">
        <f t="shared" si="165"/>
        <v>2.2567271267469862E-2</v>
      </c>
      <c r="P38" s="299">
        <v>165342.00936972257</v>
      </c>
      <c r="Q38" s="299">
        <v>95251.792093487238</v>
      </c>
      <c r="R38" s="299">
        <v>6807.5004717342235</v>
      </c>
      <c r="S38" s="300">
        <f t="shared" si="198"/>
        <v>63282.716804501106</v>
      </c>
      <c r="T38" s="297">
        <v>1.569599999999999</v>
      </c>
      <c r="U38" s="298">
        <f t="shared" si="166"/>
        <v>1.7640275932756529E-2</v>
      </c>
      <c r="V38" s="299">
        <v>159257.12569422627</v>
      </c>
      <c r="W38" s="299">
        <v>97007.337815487233</v>
      </c>
      <c r="X38" s="299">
        <v>2245.2946544708661</v>
      </c>
      <c r="Y38" s="300">
        <f t="shared" si="199"/>
        <v>60004.493224268168</v>
      </c>
      <c r="Z38" s="297">
        <v>0.80640000000000012</v>
      </c>
      <c r="AA38" s="298">
        <f t="shared" si="167"/>
        <v>8.9049058422708514E-3</v>
      </c>
      <c r="AB38" s="299">
        <v>159591.71747551748</v>
      </c>
      <c r="AC38" s="299">
        <v>94178.622098131469</v>
      </c>
      <c r="AD38" s="299">
        <v>458.99178107310104</v>
      </c>
      <c r="AE38" s="300">
        <f t="shared" si="200"/>
        <v>64954.103596312911</v>
      </c>
      <c r="AF38" s="297">
        <v>3.1596000000000073</v>
      </c>
      <c r="AG38" s="298">
        <f t="shared" si="168"/>
        <v>3.0554641948509396E-2</v>
      </c>
      <c r="AH38" s="299">
        <v>158881.52952183061</v>
      </c>
      <c r="AI38" s="299">
        <v>94178.622098131469</v>
      </c>
      <c r="AJ38" s="299">
        <v>35514.621241977751</v>
      </c>
      <c r="AK38" s="300">
        <f t="shared" si="201"/>
        <v>29188.286181721392</v>
      </c>
      <c r="AL38" s="321">
        <v>2.0687999999999991</v>
      </c>
      <c r="AM38" s="298">
        <f t="shared" si="169"/>
        <v>1.2677212422663195E-2</v>
      </c>
      <c r="AN38" s="299">
        <v>158804.71855201124</v>
      </c>
      <c r="AO38" s="299">
        <v>90031.022735931474</v>
      </c>
      <c r="AP38" s="299">
        <v>32187.339684540071</v>
      </c>
      <c r="AQ38" s="300">
        <f t="shared" si="202"/>
        <v>36586.356131539695</v>
      </c>
      <c r="AR38" s="297">
        <v>0.70799999999999996</v>
      </c>
      <c r="AS38" s="298">
        <f t="shared" si="170"/>
        <v>3.0682746760400288E-3</v>
      </c>
      <c r="AT38" s="299">
        <v>159142.89077909701</v>
      </c>
      <c r="AU38" s="299">
        <v>89150.307619531464</v>
      </c>
      <c r="AV38" s="299">
        <v>43763.068556492326</v>
      </c>
      <c r="AW38" s="300">
        <f t="shared" si="203"/>
        <v>26229.514603073221</v>
      </c>
      <c r="AX38" s="297">
        <v>0.69000000000000006</v>
      </c>
      <c r="AY38" s="298">
        <f t="shared" si="171"/>
        <v>3.3959667726798873E-3</v>
      </c>
      <c r="AZ38" s="299">
        <v>158810.33333333337</v>
      </c>
      <c r="BA38" s="299">
        <v>89150.307619531464</v>
      </c>
      <c r="BB38" s="299">
        <v>3444.1304347826053</v>
      </c>
      <c r="BC38" s="300">
        <f t="shared" si="204"/>
        <v>66215.8952790193</v>
      </c>
      <c r="BD38" s="321">
        <v>1.1870999999999998</v>
      </c>
      <c r="BE38" s="298">
        <f t="shared" si="172"/>
        <v>6.4879834168652343E-3</v>
      </c>
      <c r="BF38" s="299">
        <v>158667.80389183728</v>
      </c>
      <c r="BG38" s="299">
        <v>89150.307619531464</v>
      </c>
      <c r="BH38" s="299">
        <v>48031.496925280109</v>
      </c>
      <c r="BI38" s="300">
        <f t="shared" si="205"/>
        <v>21485.999347025703</v>
      </c>
      <c r="BJ38" s="297">
        <v>0.27990000000000004</v>
      </c>
      <c r="BK38" s="298">
        <f t="shared" si="173"/>
        <v>3.5991401133493258E-3</v>
      </c>
      <c r="BL38" s="299">
        <v>159092.96177206145</v>
      </c>
      <c r="BM38" s="299">
        <v>85444.166821731473</v>
      </c>
      <c r="BN38" s="299">
        <v>1202.1793497677741</v>
      </c>
      <c r="BO38" s="300">
        <f t="shared" si="206"/>
        <v>72446.615600562203</v>
      </c>
      <c r="BP38" s="297">
        <v>1.9092</v>
      </c>
      <c r="BQ38" s="298">
        <f t="shared" si="174"/>
        <v>2.32213280089207E-2</v>
      </c>
      <c r="BR38" s="299">
        <v>158530.19065577205</v>
      </c>
      <c r="BS38" s="299">
        <v>92524.098084474666</v>
      </c>
      <c r="BT38" s="299">
        <v>48381.342970877857</v>
      </c>
      <c r="BU38" s="300">
        <f t="shared" si="207"/>
        <v>17624.749600419527</v>
      </c>
      <c r="BV38" s="322"/>
      <c r="BW38" s="297">
        <v>0.41010000000000008</v>
      </c>
      <c r="BX38" s="298">
        <f t="shared" si="175"/>
        <v>5.2941472627541604E-3</v>
      </c>
      <c r="BY38" s="299">
        <v>159167.95903438181</v>
      </c>
      <c r="BZ38" s="299">
        <v>97300.586426926471</v>
      </c>
      <c r="CA38" s="299">
        <v>25856.181419166056</v>
      </c>
      <c r="CB38" s="300">
        <f t="shared" si="208"/>
        <v>36011.191188289289</v>
      </c>
      <c r="CC38" s="297">
        <v>1.0322999999999996</v>
      </c>
      <c r="CD38" s="298">
        <f t="shared" si="176"/>
        <v>1.184777961729707E-2</v>
      </c>
      <c r="CE38" s="299">
        <v>159119.73263586179</v>
      </c>
      <c r="CF38" s="299">
        <f t="shared" si="209"/>
        <v>97300.586426926471</v>
      </c>
      <c r="CG38" s="299">
        <v>44298.188511091736</v>
      </c>
      <c r="CH38" s="300">
        <f t="shared" si="210"/>
        <v>17520.95769784358</v>
      </c>
      <c r="CI38" s="297">
        <v>12.762300000000002</v>
      </c>
      <c r="CJ38" s="298">
        <f t="shared" si="177"/>
        <v>9.7080901740340675E-2</v>
      </c>
      <c r="CK38" s="299">
        <v>158777.07544878274</v>
      </c>
      <c r="CL38" s="299">
        <v>97666.647756918464</v>
      </c>
      <c r="CM38" s="299">
        <v>70270.491212398978</v>
      </c>
      <c r="CN38" s="300">
        <f t="shared" si="211"/>
        <v>-9160.0635205347062</v>
      </c>
      <c r="CO38" s="297">
        <v>0.59939999999999993</v>
      </c>
      <c r="CP38" s="298">
        <f t="shared" si="178"/>
        <v>4.7909657444750297E-3</v>
      </c>
      <c r="CQ38" s="299">
        <v>159327.67767767774</v>
      </c>
      <c r="CR38" s="261">
        <f t="shared" si="179"/>
        <v>98476.647756918464</v>
      </c>
      <c r="CS38" s="261">
        <v>64775.725725725722</v>
      </c>
      <c r="CT38" s="300">
        <f t="shared" si="212"/>
        <v>-3924.6958049664463</v>
      </c>
      <c r="CU38" s="249">
        <v>0.93900000000000006</v>
      </c>
      <c r="CV38" s="250">
        <f t="shared" si="180"/>
        <v>8.197354585346121E-3</v>
      </c>
      <c r="CW38" s="261">
        <v>158668.37060702874</v>
      </c>
      <c r="CX38" s="261">
        <f t="shared" si="181"/>
        <v>98476.647756918464</v>
      </c>
      <c r="CY38" s="261">
        <v>68537.284345047912</v>
      </c>
      <c r="CZ38" s="251">
        <f t="shared" si="182"/>
        <v>-8345.5614949376322</v>
      </c>
      <c r="DA38" s="249">
        <v>2.8799999999999999E-2</v>
      </c>
      <c r="DB38" s="250">
        <f t="shared" si="183"/>
        <v>2.6533947790772453E-4</v>
      </c>
      <c r="DC38" s="261">
        <v>158301.04166666666</v>
      </c>
      <c r="DD38" s="261">
        <f t="shared" si="213"/>
        <v>103768.64775691846</v>
      </c>
      <c r="DE38" s="261">
        <v>-2.4305555555555558</v>
      </c>
      <c r="DF38" s="251">
        <f t="shared" si="184"/>
        <v>54534.824465303747</v>
      </c>
      <c r="DG38" s="249">
        <v>7.2000000000000008E-2</v>
      </c>
      <c r="DH38" s="250">
        <f t="shared" si="185"/>
        <v>3.9106291960677855E-4</v>
      </c>
      <c r="DI38" s="261">
        <v>158668.33333333331</v>
      </c>
      <c r="DJ38" s="261">
        <f t="shared" si="214"/>
        <v>103768.64775691846</v>
      </c>
      <c r="DK38" s="261">
        <v>3619.0277777777774</v>
      </c>
      <c r="DL38" s="251">
        <f t="shared" si="186"/>
        <v>51280.657798637068</v>
      </c>
      <c r="DM38" s="249">
        <v>2.7E-2</v>
      </c>
      <c r="DN38" s="250">
        <f t="shared" si="187"/>
        <v>1.3125945737151691E-4</v>
      </c>
      <c r="DO38" s="261">
        <v>158668.14814814815</v>
      </c>
      <c r="DP38" s="261">
        <f t="shared" si="215"/>
        <v>103768.64775691846</v>
      </c>
      <c r="DQ38" s="261">
        <v>-3.333333333333333</v>
      </c>
      <c r="DR38" s="251">
        <f t="shared" si="188"/>
        <v>54902.833724563017</v>
      </c>
      <c r="DS38" s="249">
        <v>0</v>
      </c>
      <c r="DT38" s="250">
        <f t="shared" si="189"/>
        <v>0</v>
      </c>
      <c r="DU38" s="261">
        <v>0</v>
      </c>
      <c r="DV38" s="261">
        <f t="shared" si="216"/>
        <v>103768.64775691846</v>
      </c>
      <c r="DW38" s="261"/>
      <c r="DX38" s="251">
        <f t="shared" si="190"/>
        <v>-103768.64775691846</v>
      </c>
      <c r="DY38" s="249">
        <f>'Net NR'!DD38</f>
        <v>0</v>
      </c>
      <c r="DZ38" s="250">
        <f t="shared" si="191"/>
        <v>0</v>
      </c>
      <c r="EA38" s="261">
        <f>'Net NR'!DF38</f>
        <v>0</v>
      </c>
      <c r="EB38" s="261">
        <f>DV38</f>
        <v>103768.64775691846</v>
      </c>
      <c r="EC38" s="261">
        <f>'Net NR'!DG38</f>
        <v>0</v>
      </c>
      <c r="ED38" s="251">
        <f t="shared" si="217"/>
        <v>-103768.64775691846</v>
      </c>
      <c r="EE38" s="249">
        <f>'Net NR'!DI38</f>
        <v>1.44E-2</v>
      </c>
      <c r="EF38" s="250">
        <f t="shared" si="193"/>
        <v>1.0779639686051977E-4</v>
      </c>
      <c r="EG38" s="261">
        <f>'Net NR'!DK38</f>
        <v>157934.02777777778</v>
      </c>
      <c r="EH38" s="261">
        <f t="shared" si="218"/>
        <v>103768.64775691846</v>
      </c>
      <c r="EI38" s="261">
        <f>'Net NR'!DL38</f>
        <v>-2.0833333333333335</v>
      </c>
      <c r="EJ38" s="251">
        <f t="shared" si="194"/>
        <v>54167.463354192652</v>
      </c>
      <c r="EK38" s="249"/>
      <c r="EL38" s="250">
        <f t="shared" si="219"/>
        <v>0</v>
      </c>
      <c r="EM38" s="261"/>
      <c r="EN38" s="389"/>
      <c r="EO38" s="261"/>
      <c r="EP38" s="251">
        <f t="shared" si="195"/>
        <v>0</v>
      </c>
    </row>
    <row r="39" spans="1:146" s="301" customFormat="1">
      <c r="A39" s="319" t="s">
        <v>177</v>
      </c>
      <c r="B39" s="299">
        <v>15.025250000000002</v>
      </c>
      <c r="C39" s="298">
        <f t="shared" si="163"/>
        <v>0.16300671598193237</v>
      </c>
      <c r="D39" s="299">
        <v>169392.80342489347</v>
      </c>
      <c r="E39" s="299">
        <v>86705.338877963673</v>
      </c>
      <c r="F39" s="299">
        <v>3753.5496360583275</v>
      </c>
      <c r="G39" s="300">
        <f t="shared" si="196"/>
        <v>78933.914910871477</v>
      </c>
      <c r="H39" s="297">
        <v>9.9843749999999964</v>
      </c>
      <c r="I39" s="298">
        <f t="shared" si="164"/>
        <v>0.14078516791462373</v>
      </c>
      <c r="J39" s="320">
        <v>173415.429717875</v>
      </c>
      <c r="K39" s="299">
        <v>82233.141833602233</v>
      </c>
      <c r="L39" s="299">
        <v>3927.3680610099204</v>
      </c>
      <c r="M39" s="300">
        <f t="shared" si="197"/>
        <v>87254.919823262841</v>
      </c>
      <c r="N39" s="297">
        <v>17.268750000000018</v>
      </c>
      <c r="O39" s="298">
        <f t="shared" si="165"/>
        <v>0.19610938290062449</v>
      </c>
      <c r="P39" s="299">
        <v>171457.00441148243</v>
      </c>
      <c r="Q39" s="299">
        <v>82233.141833602233</v>
      </c>
      <c r="R39" s="299">
        <v>4319.6750405971443</v>
      </c>
      <c r="S39" s="300">
        <f t="shared" si="198"/>
        <v>84904.187537283055</v>
      </c>
      <c r="T39" s="297">
        <v>13.117500000000016</v>
      </c>
      <c r="U39" s="298">
        <f t="shared" si="166"/>
        <v>0.14742375098619662</v>
      </c>
      <c r="V39" s="299">
        <v>159693.61499290154</v>
      </c>
      <c r="W39" s="299">
        <v>85391.732473602242</v>
      </c>
      <c r="X39" s="299">
        <v>330.48637348869875</v>
      </c>
      <c r="Y39" s="300">
        <f t="shared" si="199"/>
        <v>73971.396145810591</v>
      </c>
      <c r="Z39" s="297">
        <v>13.981750000000009</v>
      </c>
      <c r="AA39" s="298">
        <f t="shared" si="167"/>
        <v>0.15439752884445751</v>
      </c>
      <c r="AB39" s="299">
        <v>165027.03118118198</v>
      </c>
      <c r="AC39" s="299">
        <v>83719.121913202238</v>
      </c>
      <c r="AD39" s="299">
        <v>312.94227412475101</v>
      </c>
      <c r="AE39" s="300">
        <f t="shared" si="200"/>
        <v>80994.966993854992</v>
      </c>
      <c r="AF39" s="297">
        <v>11.797000000000018</v>
      </c>
      <c r="AG39" s="298">
        <f t="shared" si="168"/>
        <v>0.11408188095536305</v>
      </c>
      <c r="AH39" s="299">
        <v>162641.59447041678</v>
      </c>
      <c r="AI39" s="299">
        <v>83719.121913202238</v>
      </c>
      <c r="AJ39" s="299">
        <v>400.01943368474974</v>
      </c>
      <c r="AK39" s="300">
        <f t="shared" si="201"/>
        <v>78522.453123529791</v>
      </c>
      <c r="AL39" s="321">
        <v>31.542500000000103</v>
      </c>
      <c r="AM39" s="298">
        <f t="shared" si="169"/>
        <v>0.19328643312154645</v>
      </c>
      <c r="AN39" s="299">
        <v>150746.95410334342</v>
      </c>
      <c r="AO39" s="299">
        <v>79400.874473202246</v>
      </c>
      <c r="AP39" s="299">
        <v>7588.3156536978131</v>
      </c>
      <c r="AQ39" s="300">
        <f t="shared" si="202"/>
        <v>63757.763976443362</v>
      </c>
      <c r="AR39" s="297">
        <v>43.089000000000155</v>
      </c>
      <c r="AS39" s="298">
        <f t="shared" si="170"/>
        <v>0.18673571683035209</v>
      </c>
      <c r="AT39" s="299">
        <v>142387.42312845495</v>
      </c>
      <c r="AU39" s="299">
        <v>78253.010793202237</v>
      </c>
      <c r="AV39" s="299">
        <v>1613.2907343474146</v>
      </c>
      <c r="AW39" s="300">
        <f t="shared" si="203"/>
        <v>62521.121600905295</v>
      </c>
      <c r="AX39" s="297">
        <v>34.349500000000127</v>
      </c>
      <c r="AY39" s="298">
        <f t="shared" si="171"/>
        <v>0.16905762414227277</v>
      </c>
      <c r="AZ39" s="299">
        <v>141809.07640576959</v>
      </c>
      <c r="BA39" s="299">
        <v>78253.010793202237</v>
      </c>
      <c r="BB39" s="299">
        <v>163.76075343163336</v>
      </c>
      <c r="BC39" s="300">
        <f t="shared" si="204"/>
        <v>63392.304859135722</v>
      </c>
      <c r="BD39" s="321">
        <v>22.114500000000067</v>
      </c>
      <c r="BE39" s="298">
        <f t="shared" si="172"/>
        <v>0.12086472013500689</v>
      </c>
      <c r="BF39" s="299">
        <v>142973.71679214961</v>
      </c>
      <c r="BG39" s="299">
        <v>78253.010793202237</v>
      </c>
      <c r="BH39" s="299">
        <v>209.38479278301415</v>
      </c>
      <c r="BI39" s="300">
        <f t="shared" si="205"/>
        <v>64511.321206164364</v>
      </c>
      <c r="BJ39" s="297">
        <v>18.963000000000051</v>
      </c>
      <c r="BK39" s="298">
        <f t="shared" si="173"/>
        <v>0.24383884947996942</v>
      </c>
      <c r="BL39" s="299">
        <v>146338.00400780429</v>
      </c>
      <c r="BM39" s="299">
        <v>76081.111193202232</v>
      </c>
      <c r="BN39" s="299">
        <v>467.07430258925154</v>
      </c>
      <c r="BO39" s="300">
        <f t="shared" si="206"/>
        <v>69789.818512012818</v>
      </c>
      <c r="BP39" s="297">
        <v>17.723875000000028</v>
      </c>
      <c r="BQ39" s="298">
        <f t="shared" si="174"/>
        <v>0.21557297033527656</v>
      </c>
      <c r="BR39" s="299">
        <v>145740.71979180598</v>
      </c>
      <c r="BS39" s="299">
        <v>97581.99784701968</v>
      </c>
      <c r="BT39" s="299">
        <v>295.82300710200116</v>
      </c>
      <c r="BU39" s="300">
        <f t="shared" si="207"/>
        <v>47862.898937684302</v>
      </c>
      <c r="BV39" s="322"/>
      <c r="BW39" s="297">
        <v>23.71500000000005</v>
      </c>
      <c r="BX39" s="298">
        <f t="shared" si="175"/>
        <v>0.30614655531873969</v>
      </c>
      <c r="BY39" s="299">
        <v>147600.91924941994</v>
      </c>
      <c r="BZ39" s="299">
        <v>86645.828886252231</v>
      </c>
      <c r="CA39" s="299">
        <v>14245.474172464652</v>
      </c>
      <c r="CB39" s="300">
        <f t="shared" si="208"/>
        <v>46709.616190703055</v>
      </c>
      <c r="CC39" s="297">
        <v>17.168000000000024</v>
      </c>
      <c r="CD39" s="298">
        <f t="shared" si="176"/>
        <v>0.19703834202243192</v>
      </c>
      <c r="CE39" s="299">
        <v>152116.81616961767</v>
      </c>
      <c r="CF39" s="299">
        <f t="shared" si="209"/>
        <v>86645.828886252231</v>
      </c>
      <c r="CG39" s="299">
        <v>12169.028424976686</v>
      </c>
      <c r="CH39" s="300">
        <f t="shared" si="210"/>
        <v>53301.958858388753</v>
      </c>
      <c r="CI39" s="297">
        <v>17.921625000000059</v>
      </c>
      <c r="CJ39" s="298">
        <f t="shared" si="177"/>
        <v>0.13632711311066489</v>
      </c>
      <c r="CK39" s="299">
        <v>153606.74771400428</v>
      </c>
      <c r="CL39" s="299">
        <v>89888.936886252224</v>
      </c>
      <c r="CM39" s="299">
        <v>16769.976494876941</v>
      </c>
      <c r="CN39" s="300">
        <f t="shared" si="211"/>
        <v>46947.834332875107</v>
      </c>
      <c r="CO39" s="297">
        <v>19.000000000000046</v>
      </c>
      <c r="CP39" s="298">
        <f t="shared" si="178"/>
        <v>0.15186578102273238</v>
      </c>
      <c r="CQ39" s="299">
        <v>152239.68473684174</v>
      </c>
      <c r="CR39" s="261">
        <f t="shared" si="179"/>
        <v>90698.936886252224</v>
      </c>
      <c r="CS39" s="261">
        <v>17828.473157894696</v>
      </c>
      <c r="CT39" s="300">
        <f t="shared" si="212"/>
        <v>43712.274692694817</v>
      </c>
      <c r="CU39" s="249">
        <v>14.380875000000001</v>
      </c>
      <c r="CV39" s="250">
        <f t="shared" si="180"/>
        <v>0.12554327116351374</v>
      </c>
      <c r="CW39" s="261">
        <v>153889.89543404002</v>
      </c>
      <c r="CX39" s="261">
        <f t="shared" si="181"/>
        <v>90698.936886252224</v>
      </c>
      <c r="CY39" s="261">
        <v>13319.734021747638</v>
      </c>
      <c r="CZ39" s="251">
        <f t="shared" si="182"/>
        <v>49871.224526040161</v>
      </c>
      <c r="DA39" s="249">
        <v>16.455000000000027</v>
      </c>
      <c r="DB39" s="250">
        <f t="shared" si="183"/>
        <v>0.15160281628373659</v>
      </c>
      <c r="DC39" s="261">
        <v>146135.10179276776</v>
      </c>
      <c r="DD39" s="261">
        <f t="shared" si="213"/>
        <v>95990.936886252224</v>
      </c>
      <c r="DE39" s="261">
        <v>9335.2348830142637</v>
      </c>
      <c r="DF39" s="251">
        <f t="shared" si="184"/>
        <v>40808.930023501271</v>
      </c>
      <c r="DG39" s="249">
        <v>36.104375000000097</v>
      </c>
      <c r="DH39" s="250">
        <f t="shared" si="185"/>
        <v>0.19609836525108362</v>
      </c>
      <c r="DI39" s="261">
        <v>149667.2303564313</v>
      </c>
      <c r="DJ39" s="261">
        <f>DD39+2890*0.95</f>
        <v>98736.436886252224</v>
      </c>
      <c r="DK39" s="261">
        <v>13334.569840912602</v>
      </c>
      <c r="DL39" s="251">
        <f t="shared" si="186"/>
        <v>37596.223629266475</v>
      </c>
      <c r="DM39" s="249">
        <v>38.140375000000056</v>
      </c>
      <c r="DN39" s="250">
        <f t="shared" si="187"/>
        <v>0.18541796023874729</v>
      </c>
      <c r="DO39" s="261">
        <v>160955.80077542429</v>
      </c>
      <c r="DP39" s="261">
        <f>DJ39+2890*0.95</f>
        <v>101481.93688625222</v>
      </c>
      <c r="DQ39" s="261">
        <v>4367.8878353975224</v>
      </c>
      <c r="DR39" s="251">
        <f t="shared" si="188"/>
        <v>55105.976053774539</v>
      </c>
      <c r="DS39" s="249">
        <v>34.363250000000065</v>
      </c>
      <c r="DT39" s="250">
        <f t="shared" si="189"/>
        <v>0.16728976535155918</v>
      </c>
      <c r="DU39" s="261">
        <v>163553.36238568704</v>
      </c>
      <c r="DV39" s="261">
        <f t="shared" si="216"/>
        <v>101481.93688625222</v>
      </c>
      <c r="DW39" s="261">
        <v>1166.3786166907942</v>
      </c>
      <c r="DX39" s="251">
        <f t="shared" si="190"/>
        <v>60905.04688274402</v>
      </c>
      <c r="DY39" s="249">
        <f>'Net NR'!DD39</f>
        <v>29.924500000000034</v>
      </c>
      <c r="DZ39" s="250">
        <f t="shared" si="191"/>
        <v>0.14478791566559357</v>
      </c>
      <c r="EA39" s="261">
        <f>'Net NR'!DF39</f>
        <v>163258.49187120851</v>
      </c>
      <c r="EB39" s="261">
        <f>DV39</f>
        <v>101481.93688625222</v>
      </c>
      <c r="EC39" s="261">
        <f>'Net NR'!DG39</f>
        <v>4774.2331534361429</v>
      </c>
      <c r="ED39" s="251">
        <f t="shared" si="217"/>
        <v>57002.321831520137</v>
      </c>
      <c r="EE39" s="249">
        <f>'Net NR'!DI39</f>
        <v>18.915000000000013</v>
      </c>
      <c r="EF39" s="250">
        <f t="shared" si="193"/>
        <v>0.14159505879282866</v>
      </c>
      <c r="EG39" s="261">
        <f>'Net NR'!DK39</f>
        <v>161953.85567010273</v>
      </c>
      <c r="EH39" s="261">
        <f t="shared" si="218"/>
        <v>101481.93688625222</v>
      </c>
      <c r="EI39" s="261">
        <f>'Net NR'!DL39</f>
        <v>10465.566481628326</v>
      </c>
      <c r="EJ39" s="251">
        <f t="shared" si="194"/>
        <v>50006.352302222178</v>
      </c>
      <c r="EK39" s="249">
        <v>14.578999999999983</v>
      </c>
      <c r="EL39" s="250">
        <f t="shared" si="219"/>
        <v>0.1286244724755628</v>
      </c>
      <c r="EM39" s="261">
        <v>164475.20131696275</v>
      </c>
      <c r="EN39" s="261">
        <v>98413</v>
      </c>
      <c r="EO39" s="261">
        <v>5544.4776733658091</v>
      </c>
      <c r="EP39" s="251">
        <f t="shared" si="195"/>
        <v>60517.723643596939</v>
      </c>
    </row>
    <row r="40" spans="1:146" s="301" customFormat="1">
      <c r="A40" s="319" t="s">
        <v>178</v>
      </c>
      <c r="B40" s="299">
        <v>5.8392000000000222</v>
      </c>
      <c r="C40" s="298">
        <f t="shared" si="163"/>
        <v>6.3348617557891077E-2</v>
      </c>
      <c r="D40" s="299">
        <v>143662.62910328817</v>
      </c>
      <c r="E40" s="299">
        <v>88915.201081112231</v>
      </c>
      <c r="F40" s="299">
        <v>6512.8757124128069</v>
      </c>
      <c r="G40" s="300">
        <f t="shared" si="196"/>
        <v>48234.55230976313</v>
      </c>
      <c r="H40" s="297">
        <v>6.9976500000000215</v>
      </c>
      <c r="I40" s="298">
        <f t="shared" si="164"/>
        <v>9.8670706003908121E-2</v>
      </c>
      <c r="J40" s="320">
        <v>143699.64432639212</v>
      </c>
      <c r="K40" s="299">
        <v>88915.201081112231</v>
      </c>
      <c r="L40" s="299">
        <v>6665.2870778873403</v>
      </c>
      <c r="M40" s="300">
        <f t="shared" si="197"/>
        <v>48119.156167392553</v>
      </c>
      <c r="N40" s="297">
        <v>7.2432000000000176</v>
      </c>
      <c r="O40" s="298">
        <f t="shared" si="165"/>
        <v>8.225606846041579E-2</v>
      </c>
      <c r="P40" s="299">
        <v>143852.99180507657</v>
      </c>
      <c r="Q40" s="299">
        <v>88915.201081112231</v>
      </c>
      <c r="R40" s="299">
        <v>6832.1557105328429</v>
      </c>
      <c r="S40" s="300">
        <f t="shared" si="198"/>
        <v>48105.6350134315</v>
      </c>
      <c r="T40" s="297">
        <v>8.575199999999997</v>
      </c>
      <c r="U40" s="298">
        <f t="shared" si="166"/>
        <v>9.6374168054646936E-2</v>
      </c>
      <c r="V40" s="299">
        <v>138845.92604799932</v>
      </c>
      <c r="W40" s="299">
        <v>92073.79172111224</v>
      </c>
      <c r="X40" s="299">
        <v>2125.8845329325582</v>
      </c>
      <c r="Y40" s="300">
        <f t="shared" si="199"/>
        <v>44646.249793954528</v>
      </c>
      <c r="Z40" s="297">
        <v>5.1408000000000111</v>
      </c>
      <c r="AA40" s="298">
        <f t="shared" si="167"/>
        <v>5.6768774744476794E-2</v>
      </c>
      <c r="AB40" s="299">
        <v>138793.32732877095</v>
      </c>
      <c r="AC40" s="299">
        <v>90066.643534583767</v>
      </c>
      <c r="AD40" s="299">
        <v>1800.4157196831279</v>
      </c>
      <c r="AE40" s="300">
        <f t="shared" si="200"/>
        <v>46926.268074504049</v>
      </c>
      <c r="AF40" s="297">
        <v>8.1011500000000183</v>
      </c>
      <c r="AG40" s="298">
        <f t="shared" si="168"/>
        <v>7.834147918127829E-2</v>
      </c>
      <c r="AH40" s="299">
        <v>138724.93279576403</v>
      </c>
      <c r="AI40" s="299">
        <v>90066.643534583767</v>
      </c>
      <c r="AJ40" s="299">
        <v>1599.0370895992994</v>
      </c>
      <c r="AK40" s="300">
        <f t="shared" si="201"/>
        <v>47059.252171580971</v>
      </c>
      <c r="AL40" s="321">
        <v>8.4024000000000143</v>
      </c>
      <c r="AM40" s="298">
        <f t="shared" si="169"/>
        <v>5.1488307066988329E-2</v>
      </c>
      <c r="AN40" s="299">
        <v>138499.96603873043</v>
      </c>
      <c r="AO40" s="299">
        <v>85748.396094583775</v>
      </c>
      <c r="AP40" s="299">
        <v>3572.3048942958612</v>
      </c>
      <c r="AQ40" s="300">
        <f t="shared" si="202"/>
        <v>49179.265049850794</v>
      </c>
      <c r="AR40" s="297">
        <v>12.592799999999979</v>
      </c>
      <c r="AS40" s="298">
        <f t="shared" si="170"/>
        <v>5.4573685509091543E-2</v>
      </c>
      <c r="AT40" s="299">
        <v>138453.46327300699</v>
      </c>
      <c r="AU40" s="299">
        <v>84600.532414583766</v>
      </c>
      <c r="AV40" s="299">
        <v>2563.7133799534213</v>
      </c>
      <c r="AW40" s="300">
        <f t="shared" si="203"/>
        <v>51289.2174784698</v>
      </c>
      <c r="AX40" s="297">
        <v>12.448799999999984</v>
      </c>
      <c r="AY40" s="298">
        <f t="shared" si="171"/>
        <v>6.1269146608314964E-2</v>
      </c>
      <c r="AZ40" s="299">
        <v>138428.93612235723</v>
      </c>
      <c r="BA40" s="299">
        <v>84600.532414583766</v>
      </c>
      <c r="BB40" s="299">
        <v>3075.1277231540407</v>
      </c>
      <c r="BC40" s="300">
        <f t="shared" si="204"/>
        <v>50753.275984619424</v>
      </c>
      <c r="BD40" s="321">
        <v>8.9765999999999977</v>
      </c>
      <c r="BE40" s="298">
        <f t="shared" si="172"/>
        <v>4.9060763153763336E-2</v>
      </c>
      <c r="BF40" s="299">
        <v>138156.19388187063</v>
      </c>
      <c r="BG40" s="299">
        <v>84600.532414583766</v>
      </c>
      <c r="BH40" s="299">
        <v>3309.3454091749677</v>
      </c>
      <c r="BI40" s="300">
        <f t="shared" si="205"/>
        <v>50246.316058111894</v>
      </c>
      <c r="BJ40" s="297">
        <v>6.2496000000000125</v>
      </c>
      <c r="BK40" s="298">
        <f t="shared" si="173"/>
        <v>8.0361507868481563E-2</v>
      </c>
      <c r="BL40" s="299">
        <v>138212.27758576555</v>
      </c>
      <c r="BM40" s="299">
        <v>82428.632814583776</v>
      </c>
      <c r="BN40" s="299">
        <v>3638.6120711725475</v>
      </c>
      <c r="BO40" s="300">
        <f t="shared" si="206"/>
        <v>52145.032700009229</v>
      </c>
      <c r="BP40" s="297">
        <v>7.8777500000000096</v>
      </c>
      <c r="BQ40" s="298">
        <f t="shared" si="174"/>
        <v>9.5815952609614119E-2</v>
      </c>
      <c r="BR40" s="299">
        <v>138187.91913934809</v>
      </c>
      <c r="BS40" s="299">
        <v>82428.632814583776</v>
      </c>
      <c r="BT40" s="299">
        <v>3464.439719463041</v>
      </c>
      <c r="BU40" s="300">
        <f t="shared" si="207"/>
        <v>52294.846605301267</v>
      </c>
      <c r="BV40" s="322"/>
      <c r="BW40" s="297">
        <v>6.6168000000000164</v>
      </c>
      <c r="BX40" s="298">
        <f t="shared" si="175"/>
        <v>8.5418955396712529E-2</v>
      </c>
      <c r="BY40" s="299">
        <v>138212.75843307946</v>
      </c>
      <c r="BZ40" s="299">
        <v>90539.351094583762</v>
      </c>
      <c r="CA40" s="299">
        <v>3492.2273606577014</v>
      </c>
      <c r="CB40" s="300">
        <f t="shared" si="208"/>
        <v>44181.179977838001</v>
      </c>
      <c r="CC40" s="297">
        <v>6.3264000000000156</v>
      </c>
      <c r="CD40" s="298">
        <f t="shared" si="176"/>
        <v>7.260853721870425E-2</v>
      </c>
      <c r="CE40" s="299">
        <v>138182.98400354054</v>
      </c>
      <c r="CF40" s="299">
        <f t="shared" si="209"/>
        <v>90539.351094583762</v>
      </c>
      <c r="CG40" s="299">
        <v>2462.6375189681276</v>
      </c>
      <c r="CH40" s="300">
        <f t="shared" si="210"/>
        <v>45180.995389988646</v>
      </c>
      <c r="CI40" s="297">
        <v>7.5240000000000151</v>
      </c>
      <c r="CJ40" s="298">
        <f t="shared" si="177"/>
        <v>5.7233939391357722E-2</v>
      </c>
      <c r="CK40" s="299">
        <v>138215.95029239764</v>
      </c>
      <c r="CL40" s="299">
        <v>93782.45909458377</v>
      </c>
      <c r="CM40" s="299">
        <v>2673.3878256246585</v>
      </c>
      <c r="CN40" s="300">
        <f t="shared" si="211"/>
        <v>41760.103372189209</v>
      </c>
      <c r="CO40" s="297">
        <v>5.3912000000000129</v>
      </c>
      <c r="CP40" s="298">
        <f t="shared" si="178"/>
        <v>4.3091515718408149E-2</v>
      </c>
      <c r="CQ40" s="299">
        <v>138227.72295592821</v>
      </c>
      <c r="CR40" s="261">
        <f t="shared" si="179"/>
        <v>94592.45909458377</v>
      </c>
      <c r="CS40" s="261">
        <v>2483.7772666567644</v>
      </c>
      <c r="CT40" s="300">
        <f t="shared" si="212"/>
        <v>41151.486594687682</v>
      </c>
      <c r="CU40" s="249">
        <v>7.236000000000014</v>
      </c>
      <c r="CV40" s="250">
        <f t="shared" si="180"/>
        <v>6.316939060656511E-2</v>
      </c>
      <c r="CW40" s="261">
        <v>138079.0409065781</v>
      </c>
      <c r="CX40" s="261">
        <f>CR40</f>
        <v>94592.45909458377</v>
      </c>
      <c r="CY40" s="261">
        <v>3500.8015478164657</v>
      </c>
      <c r="CZ40" s="251">
        <f t="shared" si="182"/>
        <v>39985.780264177862</v>
      </c>
      <c r="DA40" s="249">
        <v>5.6360000000000063</v>
      </c>
      <c r="DB40" s="250">
        <f t="shared" si="183"/>
        <v>5.1925461718331151E-2</v>
      </c>
      <c r="DC40" s="261">
        <v>137954.05251951737</v>
      </c>
      <c r="DD40" s="261">
        <f t="shared" si="213"/>
        <v>99884.45909458377</v>
      </c>
      <c r="DE40" s="261">
        <v>2632.0635202271037</v>
      </c>
      <c r="DF40" s="251">
        <f t="shared" si="184"/>
        <v>35437.529904706498</v>
      </c>
      <c r="DG40" s="249">
        <v>4.701600000000008</v>
      </c>
      <c r="DH40" s="250">
        <f t="shared" si="185"/>
        <v>2.5536408650322681E-2</v>
      </c>
      <c r="DI40" s="261">
        <v>137886.53649821307</v>
      </c>
      <c r="DJ40" s="261">
        <f>DD40+2890*0.95</f>
        <v>102629.95909458377</v>
      </c>
      <c r="DK40" s="261">
        <v>1224.3959503147855</v>
      </c>
      <c r="DL40" s="251">
        <f t="shared" si="186"/>
        <v>34032.181453314515</v>
      </c>
      <c r="DM40" s="249">
        <v>6.1334000000000071</v>
      </c>
      <c r="DN40" s="250">
        <f t="shared" si="187"/>
        <v>2.9817287253424547E-2</v>
      </c>
      <c r="DO40" s="261">
        <v>137667.91176182849</v>
      </c>
      <c r="DP40" s="261">
        <f>DJ40+2890*0.95</f>
        <v>105375.45909458377</v>
      </c>
      <c r="DQ40" s="261">
        <v>1019.4851142922349</v>
      </c>
      <c r="DR40" s="251">
        <f t="shared" si="188"/>
        <v>31272.96755295249</v>
      </c>
      <c r="DS40" s="249">
        <v>17.186399999999967</v>
      </c>
      <c r="DT40" s="250">
        <f t="shared" si="189"/>
        <v>8.3668128690913279E-2</v>
      </c>
      <c r="DU40" s="261">
        <v>137867.3672205933</v>
      </c>
      <c r="DV40" s="261">
        <f t="shared" si="216"/>
        <v>105375.45909458377</v>
      </c>
      <c r="DW40" s="261">
        <v>1680.2716101103219</v>
      </c>
      <c r="DX40" s="251">
        <f t="shared" si="190"/>
        <v>30811.636515899205</v>
      </c>
      <c r="DY40" s="249">
        <f>'Net NR'!DD40</f>
        <v>9.1799999999999944</v>
      </c>
      <c r="DZ40" s="250">
        <f t="shared" si="191"/>
        <v>4.4416884686800003E-2</v>
      </c>
      <c r="EA40" s="261">
        <f>'Net NR'!DF40</f>
        <v>137949.49128540297</v>
      </c>
      <c r="EB40" s="261">
        <f>DV40</f>
        <v>105375.45909458377</v>
      </c>
      <c r="EC40" s="261">
        <f>'Net NR'!DG40</f>
        <v>1911.2886710239652</v>
      </c>
      <c r="ED40" s="251">
        <f t="shared" si="217"/>
        <v>30662.743519795233</v>
      </c>
      <c r="EE40" s="249">
        <f>'Net NR'!DI40</f>
        <v>2.1160500000000013</v>
      </c>
      <c r="EF40" s="250">
        <f t="shared" si="193"/>
        <v>1.5840455942826598E-2</v>
      </c>
      <c r="EG40" s="261">
        <f>'Net NR'!DK40</f>
        <v>138021.28494128195</v>
      </c>
      <c r="EH40" s="261">
        <f t="shared" si="218"/>
        <v>105375.45909458377</v>
      </c>
      <c r="EI40" s="261">
        <f>'Net NR'!DL40</f>
        <v>2307.899151721364</v>
      </c>
      <c r="EJ40" s="251">
        <f t="shared" si="194"/>
        <v>30337.926694976813</v>
      </c>
      <c r="EK40" s="249">
        <v>11.462399999999977</v>
      </c>
      <c r="EL40" s="250">
        <f t="shared" si="219"/>
        <v>0.10112800283310858</v>
      </c>
      <c r="EM40" s="261">
        <v>137989.79882049168</v>
      </c>
      <c r="EN40" s="261">
        <v>104388</v>
      </c>
      <c r="EO40" s="261">
        <v>1859.2929927414868</v>
      </c>
      <c r="EP40" s="251">
        <f t="shared" si="195"/>
        <v>31742.505827750188</v>
      </c>
    </row>
    <row r="41" spans="1:146" s="301" customFormat="1">
      <c r="A41" s="319" t="s">
        <v>179</v>
      </c>
      <c r="B41" s="299">
        <v>7.1054999999999904</v>
      </c>
      <c r="C41" s="298">
        <f t="shared" si="163"/>
        <v>7.708651905356774E-2</v>
      </c>
      <c r="D41" s="299">
        <v>157067.57907018979</v>
      </c>
      <c r="E41" s="299">
        <v>98594.988549155998</v>
      </c>
      <c r="F41" s="299">
        <v>5546.002826434742</v>
      </c>
      <c r="G41" s="300">
        <f t="shared" si="196"/>
        <v>52926.587694599053</v>
      </c>
      <c r="H41" s="297">
        <v>4.8279999999999923</v>
      </c>
      <c r="I41" s="298">
        <f t="shared" si="164"/>
        <v>6.8077450084937971E-2</v>
      </c>
      <c r="J41" s="320">
        <v>157627.12645715656</v>
      </c>
      <c r="K41" s="299">
        <v>101319.73793088224</v>
      </c>
      <c r="L41" s="299">
        <v>5997.8878799721888</v>
      </c>
      <c r="M41" s="300">
        <f t="shared" si="197"/>
        <v>50309.500646302127</v>
      </c>
      <c r="N41" s="297">
        <v>6.9179999999999966</v>
      </c>
      <c r="O41" s="298">
        <f t="shared" si="165"/>
        <v>7.8562994478842893E-2</v>
      </c>
      <c r="P41" s="299">
        <v>158102.14631543637</v>
      </c>
      <c r="Q41" s="299">
        <v>101319.73793088224</v>
      </c>
      <c r="R41" s="299">
        <v>3586.8069243492341</v>
      </c>
      <c r="S41" s="300">
        <f t="shared" si="198"/>
        <v>53195.601460204896</v>
      </c>
      <c r="T41" s="297">
        <v>4.4849999999999941</v>
      </c>
      <c r="U41" s="298">
        <f t="shared" si="166"/>
        <v>5.0405604968407861E-2</v>
      </c>
      <c r="V41" s="299">
        <v>152671.72866705179</v>
      </c>
      <c r="W41" s="299">
        <v>103075.28365288224</v>
      </c>
      <c r="X41" s="299">
        <v>404.44902435564279</v>
      </c>
      <c r="Y41" s="300">
        <f t="shared" si="199"/>
        <v>49191.995989813913</v>
      </c>
      <c r="Z41" s="297">
        <v>2.1329999999999987</v>
      </c>
      <c r="AA41" s="298">
        <f t="shared" si="167"/>
        <v>2.3554271033685157E-2</v>
      </c>
      <c r="AB41" s="299">
        <v>152676.41602912481</v>
      </c>
      <c r="AC41" s="299">
        <v>100757.67140222454</v>
      </c>
      <c r="AD41" s="299">
        <v>442.78778781257108</v>
      </c>
      <c r="AE41" s="300">
        <f t="shared" si="200"/>
        <v>51475.956839087696</v>
      </c>
      <c r="AF41" s="297">
        <v>1.3949999999999996</v>
      </c>
      <c r="AG41" s="298">
        <f t="shared" si="168"/>
        <v>1.3490228357440973E-2</v>
      </c>
      <c r="AH41" s="299">
        <v>152190.78991984631</v>
      </c>
      <c r="AI41" s="299">
        <v>100757.67140222454</v>
      </c>
      <c r="AJ41" s="299">
        <v>685.02814966565154</v>
      </c>
      <c r="AK41" s="300">
        <f t="shared" si="201"/>
        <v>50748.090367956116</v>
      </c>
      <c r="AL41" s="321">
        <v>3.0005000000000011</v>
      </c>
      <c r="AM41" s="298">
        <f t="shared" si="169"/>
        <v>1.8386492591937812E-2</v>
      </c>
      <c r="AN41" s="299">
        <v>152552.49988787281</v>
      </c>
      <c r="AO41" s="299">
        <v>96610.072040024534</v>
      </c>
      <c r="AP41" s="299">
        <v>10913.568490018968</v>
      </c>
      <c r="AQ41" s="300">
        <f t="shared" si="202"/>
        <v>45028.859357829308</v>
      </c>
      <c r="AR41" s="297">
        <v>1.2195</v>
      </c>
      <c r="AS41" s="298">
        <f t="shared" si="170"/>
        <v>5.2849731178401345E-3</v>
      </c>
      <c r="AT41" s="299">
        <v>151752.60343102281</v>
      </c>
      <c r="AU41" s="299">
        <v>95729.356923624553</v>
      </c>
      <c r="AV41" s="299">
        <v>11386.895879523458</v>
      </c>
      <c r="AW41" s="300">
        <f t="shared" si="203"/>
        <v>44636.350627874803</v>
      </c>
      <c r="AX41" s="297">
        <v>2.3095000000000008</v>
      </c>
      <c r="AY41" s="298">
        <f t="shared" si="171"/>
        <v>1.1366645306527829E-2</v>
      </c>
      <c r="AZ41" s="299">
        <v>153855.30201342283</v>
      </c>
      <c r="BA41" s="299">
        <v>95729.356923624553</v>
      </c>
      <c r="BB41" s="299">
        <v>131.85537995237218</v>
      </c>
      <c r="BC41" s="300">
        <f t="shared" si="204"/>
        <v>57994.089709845903</v>
      </c>
      <c r="BD41" s="321">
        <v>2.4564999999999997</v>
      </c>
      <c r="BE41" s="298">
        <f t="shared" si="172"/>
        <v>1.3425769744359741E-2</v>
      </c>
      <c r="BF41" s="299">
        <v>152942.99613270923</v>
      </c>
      <c r="BG41" s="299">
        <v>95729.356923624553</v>
      </c>
      <c r="BH41" s="299">
        <v>469.42804803582362</v>
      </c>
      <c r="BI41" s="300">
        <f t="shared" si="205"/>
        <v>56744.211161048857</v>
      </c>
      <c r="BJ41" s="297">
        <v>1.6369999999999998</v>
      </c>
      <c r="BK41" s="298">
        <f t="shared" si="173"/>
        <v>2.1049633317444961E-2</v>
      </c>
      <c r="BL41" s="299">
        <v>152676.51191203421</v>
      </c>
      <c r="BM41" s="299">
        <v>91834.791525824548</v>
      </c>
      <c r="BN41" s="299">
        <v>1101.191203420892</v>
      </c>
      <c r="BO41" s="300">
        <f t="shared" si="206"/>
        <v>59740.52918278877</v>
      </c>
      <c r="BP41" s="297">
        <v>4.7650000000000006</v>
      </c>
      <c r="BQ41" s="298">
        <f t="shared" si="174"/>
        <v>5.7956017160332676E-2</v>
      </c>
      <c r="BR41" s="299">
        <v>152452.55613850997</v>
      </c>
      <c r="BS41" s="299">
        <v>88599.403845156005</v>
      </c>
      <c r="BT41" s="299">
        <v>17443.64533053515</v>
      </c>
      <c r="BU41" s="300">
        <f t="shared" si="207"/>
        <v>46409.506962818821</v>
      </c>
      <c r="BV41" s="322"/>
      <c r="BW41" s="297">
        <v>3.7549999999999999</v>
      </c>
      <c r="BX41" s="298">
        <f t="shared" si="175"/>
        <v>4.8474818267841661E-2</v>
      </c>
      <c r="BY41" s="299">
        <v>152958.52996005327</v>
      </c>
      <c r="BZ41" s="299">
        <v>95945.009071824548</v>
      </c>
      <c r="CA41" s="299">
        <v>28657.387483355531</v>
      </c>
      <c r="CB41" s="300">
        <f t="shared" si="208"/>
        <v>28356.133404873195</v>
      </c>
      <c r="CC41" s="297">
        <v>1.9349999999999987</v>
      </c>
      <c r="CD41" s="298">
        <f t="shared" si="176"/>
        <v>2.2208130930417343E-2</v>
      </c>
      <c r="CE41" s="299">
        <v>153634.30490956077</v>
      </c>
      <c r="CF41" s="299">
        <f t="shared" si="209"/>
        <v>95945.009071824548</v>
      </c>
      <c r="CG41" s="299">
        <v>28922.811369509061</v>
      </c>
      <c r="CH41" s="300">
        <f t="shared" si="210"/>
        <v>28766.484468227161</v>
      </c>
      <c r="CI41" s="297">
        <v>4.1399999999999988</v>
      </c>
      <c r="CJ41" s="298">
        <f t="shared" si="177"/>
        <v>3.1492358995244607E-2</v>
      </c>
      <c r="CK41" s="299">
        <v>152094.57971014499</v>
      </c>
      <c r="CL41" s="299">
        <v>102272.41328572917</v>
      </c>
      <c r="CM41" s="299">
        <v>28839.652173913048</v>
      </c>
      <c r="CN41" s="300">
        <f t="shared" si="211"/>
        <v>20982.514250502769</v>
      </c>
      <c r="CO41" s="297">
        <v>3.0299999999999989</v>
      </c>
      <c r="CP41" s="298">
        <f t="shared" si="178"/>
        <v>2.4218595605204098E-2</v>
      </c>
      <c r="CQ41" s="299">
        <v>152657.49834983508</v>
      </c>
      <c r="CR41" s="261">
        <f t="shared" si="179"/>
        <v>103082.41328572917</v>
      </c>
      <c r="CS41" s="261">
        <v>27862.554455445552</v>
      </c>
      <c r="CT41" s="300">
        <f t="shared" si="212"/>
        <v>21712.530608660356</v>
      </c>
      <c r="CU41" s="249">
        <v>1.3949999999999998</v>
      </c>
      <c r="CV41" s="250">
        <f t="shared" si="180"/>
        <v>1.2178178537335289E-2</v>
      </c>
      <c r="CW41" s="261">
        <v>151871.9641577061</v>
      </c>
      <c r="CX41" s="261">
        <f>CR41</f>
        <v>103082.41328572917</v>
      </c>
      <c r="CY41" s="261">
        <v>25895.842293906811</v>
      </c>
      <c r="CZ41" s="251">
        <f t="shared" si="182"/>
        <v>22893.708578070116</v>
      </c>
      <c r="DA41" s="249">
        <v>0.58500000000000008</v>
      </c>
      <c r="DB41" s="250">
        <f t="shared" si="183"/>
        <v>5.3897081450006547E-3</v>
      </c>
      <c r="DC41" s="261">
        <v>152198.42735042734</v>
      </c>
      <c r="DD41" s="261">
        <f t="shared" si="213"/>
        <v>108374.41328572917</v>
      </c>
      <c r="DE41" s="261">
        <v>18600.222222222219</v>
      </c>
      <c r="DF41" s="251">
        <f t="shared" si="184"/>
        <v>25223.791842475955</v>
      </c>
      <c r="DG41" s="249">
        <v>0.21000000000000002</v>
      </c>
      <c r="DH41" s="250">
        <f t="shared" si="185"/>
        <v>1.1406001821864375E-3</v>
      </c>
      <c r="DI41" s="261">
        <v>152394.28571428568</v>
      </c>
      <c r="DJ41" s="261">
        <f>DD41+2890*0.95</f>
        <v>111119.91328572917</v>
      </c>
      <c r="DK41" s="261">
        <v>3700.4285714285716</v>
      </c>
      <c r="DL41" s="251">
        <f t="shared" si="186"/>
        <v>37573.943857127939</v>
      </c>
      <c r="DM41" s="249">
        <v>0.15000000000000002</v>
      </c>
      <c r="DN41" s="250">
        <f t="shared" si="187"/>
        <v>7.2921920761953856E-4</v>
      </c>
      <c r="DO41" s="261">
        <v>152056.93333333329</v>
      </c>
      <c r="DP41" s="261">
        <f>DJ41+2890*0.95</f>
        <v>113865.41328572917</v>
      </c>
      <c r="DQ41" s="261">
        <v>2124.8666666666645</v>
      </c>
      <c r="DR41" s="251">
        <f t="shared" si="188"/>
        <v>36066.65338093746</v>
      </c>
      <c r="DS41" s="249">
        <v>0</v>
      </c>
      <c r="DT41" s="250">
        <f t="shared" si="189"/>
        <v>0</v>
      </c>
      <c r="DU41" s="261">
        <v>0</v>
      </c>
      <c r="DV41" s="261">
        <f t="shared" si="216"/>
        <v>113865.41328572917</v>
      </c>
      <c r="DW41" s="261"/>
      <c r="DX41" s="251">
        <f t="shared" si="190"/>
        <v>-113865.41328572917</v>
      </c>
      <c r="DY41" s="249">
        <f>'Net NR'!DD41</f>
        <v>2.1279999999999997</v>
      </c>
      <c r="DZ41" s="250">
        <f t="shared" si="191"/>
        <v>1.029620159188567E-2</v>
      </c>
      <c r="EA41" s="261">
        <f>'Net NR'!DF41</f>
        <v>151269.94830827072</v>
      </c>
      <c r="EB41" s="261">
        <f>DV41+2797</f>
        <v>116662.41328572917</v>
      </c>
      <c r="EC41" s="261">
        <f>'Net NR'!DG41</f>
        <v>20998.867481203019</v>
      </c>
      <c r="ED41" s="251">
        <f t="shared" si="217"/>
        <v>13608.667541338527</v>
      </c>
      <c r="EE41" s="249">
        <f>'Net NR'!DI41</f>
        <v>1.125</v>
      </c>
      <c r="EF41" s="250">
        <f t="shared" si="193"/>
        <v>8.4215935047281063E-3</v>
      </c>
      <c r="EG41" s="261">
        <f>'Net NR'!DK41</f>
        <v>151367.12</v>
      </c>
      <c r="EH41" s="261">
        <f t="shared" si="218"/>
        <v>116662.41328572917</v>
      </c>
      <c r="EI41" s="261">
        <f>'Net NR'!DL41</f>
        <v>18303.493333333332</v>
      </c>
      <c r="EJ41" s="251">
        <f t="shared" si="194"/>
        <v>16401.213380937494</v>
      </c>
      <c r="EK41" s="249">
        <v>1.3950000000000002</v>
      </c>
      <c r="EL41" s="250">
        <f t="shared" si="219"/>
        <v>1.2307506626202782E-2</v>
      </c>
      <c r="EM41" s="261">
        <v>151343.79928315413</v>
      </c>
      <c r="EN41" s="261">
        <v>98988.479688332241</v>
      </c>
      <c r="EO41" s="235">
        <v>21871.569892473119</v>
      </c>
      <c r="EP41" s="251">
        <f t="shared" si="195"/>
        <v>30483.749702348774</v>
      </c>
    </row>
    <row r="42" spans="1:146" s="301" customFormat="1">
      <c r="A42" s="319" t="s">
        <v>180</v>
      </c>
      <c r="B42" s="299">
        <v>4.4496000000000109</v>
      </c>
      <c r="C42" s="298">
        <f t="shared" si="163"/>
        <v>4.827305259035343E-2</v>
      </c>
      <c r="D42" s="299">
        <v>165047.16321862084</v>
      </c>
      <c r="E42" s="299">
        <v>91626.963491629955</v>
      </c>
      <c r="F42" s="299">
        <v>6416.6753867581019</v>
      </c>
      <c r="G42" s="300">
        <f t="shared" si="196"/>
        <v>67003.524340232791</v>
      </c>
      <c r="H42" s="297">
        <v>0.77422499999999983</v>
      </c>
      <c r="I42" s="298">
        <f t="shared" si="164"/>
        <v>1.0916997471419049E-2</v>
      </c>
      <c r="J42" s="320">
        <v>167299.50743342901</v>
      </c>
      <c r="K42" s="299">
        <v>88358.239776172239</v>
      </c>
      <c r="L42" s="299">
        <v>5099.7842794663547</v>
      </c>
      <c r="M42" s="300">
        <f t="shared" si="197"/>
        <v>73841.483377790413</v>
      </c>
      <c r="N42" s="297">
        <v>0.27359999999999995</v>
      </c>
      <c r="O42" s="298">
        <f t="shared" si="165"/>
        <v>3.1070880730574473E-3</v>
      </c>
      <c r="P42" s="299">
        <v>164871.58285383982</v>
      </c>
      <c r="Q42" s="299">
        <v>88358.239776172239</v>
      </c>
      <c r="R42" s="299">
        <v>6000.09291427479</v>
      </c>
      <c r="S42" s="300">
        <f t="shared" si="198"/>
        <v>70513.25016339279</v>
      </c>
      <c r="T42" s="297">
        <v>8.6399999999999991E-2</v>
      </c>
      <c r="U42" s="298">
        <f t="shared" si="166"/>
        <v>9.7102436327100206E-4</v>
      </c>
      <c r="V42" s="299">
        <v>159418.30930936386</v>
      </c>
      <c r="W42" s="299">
        <v>90081.474566172241</v>
      </c>
      <c r="X42" s="299">
        <v>1381.8509760304685</v>
      </c>
      <c r="Y42" s="300">
        <f t="shared" si="199"/>
        <v>67954.983767161146</v>
      </c>
      <c r="Z42" s="297">
        <v>9.2700000000000005E-2</v>
      </c>
      <c r="AA42" s="298">
        <f t="shared" si="167"/>
        <v>1.0236666314217607E-3</v>
      </c>
      <c r="AB42" s="299">
        <v>160232.323998281</v>
      </c>
      <c r="AC42" s="299">
        <v>87652.673559844232</v>
      </c>
      <c r="AD42" s="299">
        <v>-1472.8539952464994</v>
      </c>
      <c r="AE42" s="300">
        <f t="shared" si="200"/>
        <v>74052.504433683265</v>
      </c>
      <c r="AF42" s="297">
        <v>7.1999999999999995E-2</v>
      </c>
      <c r="AG42" s="298">
        <f t="shared" si="168"/>
        <v>6.9626985070663102E-4</v>
      </c>
      <c r="AH42" s="299">
        <v>154850.79503185654</v>
      </c>
      <c r="AI42" s="299">
        <v>87652.673559844232</v>
      </c>
      <c r="AJ42" s="299">
        <v>5412.0450318565117</v>
      </c>
      <c r="AK42" s="300">
        <f t="shared" si="201"/>
        <v>61786.076440155797</v>
      </c>
      <c r="AL42" s="321">
        <v>7.1999999999999995E-2</v>
      </c>
      <c r="AM42" s="298">
        <f t="shared" si="169"/>
        <v>4.4120228849175866E-4</v>
      </c>
      <c r="AN42" s="299">
        <v>151309.85501901925</v>
      </c>
      <c r="AO42" s="299">
        <v>83581.411030844232</v>
      </c>
      <c r="AP42" s="299">
        <v>22992.49390790809</v>
      </c>
      <c r="AQ42" s="300">
        <f t="shared" si="202"/>
        <v>44735.950080266921</v>
      </c>
      <c r="AR42" s="297">
        <v>2.8799999999999999E-2</v>
      </c>
      <c r="AS42" s="298">
        <f t="shared" si="170"/>
        <v>1.2481117326264523E-4</v>
      </c>
      <c r="AT42" s="299">
        <v>149470.22152334722</v>
      </c>
      <c r="AU42" s="299">
        <v>82716.905532844248</v>
      </c>
      <c r="AV42" s="299">
        <v>22992.790967791672</v>
      </c>
      <c r="AW42" s="300">
        <f t="shared" si="203"/>
        <v>43760.525022711299</v>
      </c>
      <c r="AX42" s="297">
        <v>-5.9999999999999995E-4</v>
      </c>
      <c r="AY42" s="298">
        <f t="shared" si="171"/>
        <v>-2.9530145849390321E-6</v>
      </c>
      <c r="AZ42" s="299">
        <v>103466.66666666667</v>
      </c>
      <c r="BA42" s="299">
        <v>82716.905532844248</v>
      </c>
      <c r="BB42" s="299">
        <v>-159400.00000000003</v>
      </c>
      <c r="BC42" s="300">
        <f t="shared" si="204"/>
        <v>180149.76113382244</v>
      </c>
      <c r="BD42" s="321"/>
      <c r="BE42" s="298">
        <f t="shared" si="172"/>
        <v>0</v>
      </c>
      <c r="BF42" s="299">
        <v>0</v>
      </c>
      <c r="BG42" s="299"/>
      <c r="BH42" s="299"/>
      <c r="BI42" s="300">
        <f t="shared" si="205"/>
        <v>0</v>
      </c>
      <c r="BJ42" s="297">
        <v>4.3200000000000002E-2</v>
      </c>
      <c r="BK42" s="298">
        <f t="shared" si="173"/>
        <v>5.5549429402176084E-4</v>
      </c>
      <c r="BL42" s="299">
        <v>157970.13888888888</v>
      </c>
      <c r="BM42" s="299">
        <v>78894.019861844237</v>
      </c>
      <c r="BN42" s="299">
        <v>-3.0092592592592591</v>
      </c>
      <c r="BO42" s="300">
        <f t="shared" si="206"/>
        <v>79079.128286303894</v>
      </c>
      <c r="BP42" s="297">
        <v>-0.19462499999999994</v>
      </c>
      <c r="BQ42" s="298">
        <f t="shared" si="174"/>
        <v>-2.3671961888414991E-3</v>
      </c>
      <c r="BR42" s="299">
        <v>126710.34039820175</v>
      </c>
      <c r="BS42" s="299">
        <v>91626.963491629955</v>
      </c>
      <c r="BT42" s="299">
        <v>11050.944123314071</v>
      </c>
      <c r="BU42" s="300">
        <f t="shared" si="207"/>
        <v>24032.432783257722</v>
      </c>
      <c r="BV42" s="322"/>
      <c r="BW42" s="297"/>
      <c r="BX42" s="298">
        <f t="shared" si="175"/>
        <v>0</v>
      </c>
      <c r="BY42" s="299"/>
      <c r="BZ42" s="299"/>
      <c r="CA42" s="299"/>
      <c r="CB42" s="300">
        <f t="shared" si="208"/>
        <v>0</v>
      </c>
      <c r="CC42" s="297"/>
      <c r="CD42" s="298">
        <f t="shared" si="176"/>
        <v>0</v>
      </c>
      <c r="CE42" s="299"/>
      <c r="CF42" s="299">
        <f t="shared" si="209"/>
        <v>0</v>
      </c>
      <c r="CG42" s="299"/>
      <c r="CH42" s="300">
        <f t="shared" si="210"/>
        <v>0</v>
      </c>
      <c r="CI42" s="297">
        <v>-1.9200000000000002E-2</v>
      </c>
      <c r="CJ42" s="298">
        <f t="shared" si="177"/>
        <v>-1.4605151997794605E-4</v>
      </c>
      <c r="CK42" s="299">
        <v>124175.52083333333</v>
      </c>
      <c r="CL42" s="299">
        <f t="shared" ref="CL42:CL49" si="220">CF42</f>
        <v>0</v>
      </c>
      <c r="CM42" s="299">
        <v>8.3333333333333321</v>
      </c>
      <c r="CN42" s="300">
        <f t="shared" si="211"/>
        <v>124167.1875</v>
      </c>
      <c r="CO42" s="297">
        <v>0</v>
      </c>
      <c r="CP42" s="298">
        <f t="shared" si="178"/>
        <v>0</v>
      </c>
      <c r="CQ42" s="299">
        <v>0</v>
      </c>
      <c r="CR42" s="299"/>
      <c r="CS42" s="261">
        <v>62481.884057971009</v>
      </c>
      <c r="CT42" s="300">
        <f t="shared" si="212"/>
        <v>-62481.884057971009</v>
      </c>
      <c r="CU42" s="249">
        <v>0</v>
      </c>
      <c r="CV42" s="250">
        <f t="shared" si="180"/>
        <v>0</v>
      </c>
      <c r="CW42" s="261">
        <v>0</v>
      </c>
      <c r="CX42" s="261"/>
      <c r="CY42" s="261"/>
      <c r="CZ42" s="251">
        <f t="shared" si="182"/>
        <v>0</v>
      </c>
      <c r="DA42" s="249">
        <v>-6.0000000000000001E-3</v>
      </c>
      <c r="DB42" s="250">
        <f t="shared" si="183"/>
        <v>-5.5279057897442608E-5</v>
      </c>
      <c r="DC42" s="261">
        <v>144870</v>
      </c>
      <c r="DD42" s="261"/>
      <c r="DE42" s="261">
        <v>49436.666666666664</v>
      </c>
      <c r="DF42" s="251">
        <f t="shared" si="184"/>
        <v>95433.333333333343</v>
      </c>
      <c r="DG42" s="249">
        <v>1.1999999999999997E-3</v>
      </c>
      <c r="DH42" s="250">
        <f t="shared" si="185"/>
        <v>6.5177153267796398E-6</v>
      </c>
      <c r="DI42" s="261">
        <v>479450.00000000023</v>
      </c>
      <c r="DJ42" s="261">
        <f t="shared" si="214"/>
        <v>0</v>
      </c>
      <c r="DK42" s="261">
        <v>-116.66666666666671</v>
      </c>
      <c r="DL42" s="251">
        <f t="shared" si="186"/>
        <v>479566.66666666692</v>
      </c>
      <c r="DM42" s="249">
        <v>-2.64E-2</v>
      </c>
      <c r="DN42" s="250">
        <f t="shared" si="187"/>
        <v>-1.2834258054103876E-4</v>
      </c>
      <c r="DO42" s="261">
        <v>114453.0303030303</v>
      </c>
      <c r="DP42" s="261">
        <f t="shared" ref="DP42:DP43" si="221">DJ42</f>
        <v>0</v>
      </c>
      <c r="DQ42" s="261">
        <v>3582.1969696969695</v>
      </c>
      <c r="DR42" s="251">
        <f t="shared" si="188"/>
        <v>110870.83333333333</v>
      </c>
      <c r="DS42" s="249">
        <v>0.28800000000000003</v>
      </c>
      <c r="DT42" s="250">
        <f t="shared" si="189"/>
        <v>1.4020633211715701E-3</v>
      </c>
      <c r="DU42" s="261">
        <v>153704.27083333331</v>
      </c>
      <c r="DV42" s="261">
        <f t="shared" si="216"/>
        <v>0</v>
      </c>
      <c r="DW42" s="261"/>
      <c r="DX42" s="251">
        <f t="shared" si="190"/>
        <v>153704.27083333331</v>
      </c>
      <c r="DY42" s="249">
        <f>'Net NR'!DD42</f>
        <v>0</v>
      </c>
      <c r="DZ42" s="250">
        <f t="shared" si="191"/>
        <v>0</v>
      </c>
      <c r="EA42" s="261">
        <f>'Net NR'!DF42</f>
        <v>0</v>
      </c>
      <c r="EB42" s="261">
        <f t="shared" ref="EB42:EB49" si="222">DV42</f>
        <v>0</v>
      </c>
      <c r="EC42" s="261">
        <f>'Net NR'!DG42</f>
        <v>0</v>
      </c>
      <c r="ED42" s="251">
        <f t="shared" si="217"/>
        <v>0</v>
      </c>
      <c r="EE42" s="249">
        <f>'Net NR'!DI42</f>
        <v>0</v>
      </c>
      <c r="EF42" s="250">
        <f t="shared" si="193"/>
        <v>0</v>
      </c>
      <c r="EG42" s="261">
        <f>'Net NR'!DK42</f>
        <v>0</v>
      </c>
      <c r="EH42" s="261">
        <f t="shared" si="218"/>
        <v>0</v>
      </c>
      <c r="EI42" s="261">
        <f>'Net NR'!DL42</f>
        <v>0</v>
      </c>
      <c r="EJ42" s="251">
        <f t="shared" si="194"/>
        <v>0</v>
      </c>
      <c r="EK42" s="249"/>
      <c r="EL42" s="250">
        <f t="shared" si="219"/>
        <v>0</v>
      </c>
      <c r="EM42" s="261"/>
      <c r="EN42" s="261"/>
      <c r="EO42" s="261"/>
      <c r="EP42" s="251">
        <f t="shared" si="195"/>
        <v>0</v>
      </c>
    </row>
    <row r="43" spans="1:146" s="301" customFormat="1">
      <c r="A43" s="319" t="s">
        <v>181</v>
      </c>
      <c r="B43" s="299">
        <v>6.1649999999999956</v>
      </c>
      <c r="C43" s="298">
        <f t="shared" si="163"/>
        <v>6.6883173593025882E-2</v>
      </c>
      <c r="D43" s="299">
        <v>167860.08165805225</v>
      </c>
      <c r="E43" s="299">
        <v>85649.008387699665</v>
      </c>
      <c r="F43" s="299">
        <v>3614.2702430283102</v>
      </c>
      <c r="G43" s="300">
        <f t="shared" si="196"/>
        <v>78596.803027324277</v>
      </c>
      <c r="H43" s="297">
        <v>3.5066249999999997</v>
      </c>
      <c r="I43" s="298">
        <f t="shared" si="164"/>
        <v>4.9445337283367016E-2</v>
      </c>
      <c r="J43" s="320">
        <v>167959.57352022818</v>
      </c>
      <c r="K43" s="299">
        <v>85396.158678577238</v>
      </c>
      <c r="L43" s="299">
        <v>4375.5574628478325</v>
      </c>
      <c r="M43" s="300">
        <f t="shared" si="197"/>
        <v>78187.857378803106</v>
      </c>
      <c r="N43" s="297">
        <v>0.94500000000000051</v>
      </c>
      <c r="O43" s="298">
        <f t="shared" si="165"/>
        <v>1.0731718673389217E-2</v>
      </c>
      <c r="P43" s="299">
        <v>166956.84252382832</v>
      </c>
      <c r="Q43" s="299">
        <v>85396.158678577238</v>
      </c>
      <c r="R43" s="299">
        <v>3547.3729842935441</v>
      </c>
      <c r="S43" s="300">
        <f t="shared" si="198"/>
        <v>78013.310860957543</v>
      </c>
      <c r="T43" s="297">
        <v>1.0500000000000003</v>
      </c>
      <c r="U43" s="298">
        <f t="shared" si="166"/>
        <v>1.1800643303640656E-2</v>
      </c>
      <c r="V43" s="299">
        <v>154582.13364501149</v>
      </c>
      <c r="W43" s="299">
        <v>87119.39346857724</v>
      </c>
      <c r="X43" s="299">
        <v>888.07094656781305</v>
      </c>
      <c r="Y43" s="300">
        <f t="shared" si="199"/>
        <v>66574.669229866442</v>
      </c>
      <c r="Z43" s="297">
        <v>0.37400000000000017</v>
      </c>
      <c r="AA43" s="298">
        <f t="shared" si="167"/>
        <v>4.130003453632564E-3</v>
      </c>
      <c r="AB43" s="299">
        <v>165543.42473464608</v>
      </c>
      <c r="AC43" s="299">
        <v>84702.009250417614</v>
      </c>
      <c r="AD43" s="299">
        <v>3144.9758537444036</v>
      </c>
      <c r="AE43" s="300">
        <f t="shared" si="200"/>
        <v>77696.439630484063</v>
      </c>
      <c r="AF43" s="297">
        <v>0.42850000000000021</v>
      </c>
      <c r="AG43" s="298">
        <f t="shared" si="168"/>
        <v>4.1437726531637718E-3</v>
      </c>
      <c r="AH43" s="299">
        <v>157691.10310686691</v>
      </c>
      <c r="AI43" s="299">
        <v>84702.009250417614</v>
      </c>
      <c r="AJ43" s="299">
        <v>3427.855772255014</v>
      </c>
      <c r="AK43" s="300">
        <f t="shared" si="201"/>
        <v>69561.23808419428</v>
      </c>
      <c r="AL43" s="321">
        <v>0.36050000000000004</v>
      </c>
      <c r="AM43" s="298">
        <f t="shared" si="169"/>
        <v>2.2090753472399868E-3</v>
      </c>
      <c r="AN43" s="299">
        <v>170864.72802354305</v>
      </c>
      <c r="AO43" s="299">
        <v>80630.746721417614</v>
      </c>
      <c r="AP43" s="299">
        <v>12069.227973645184</v>
      </c>
      <c r="AQ43" s="300">
        <f t="shared" si="202"/>
        <v>78164.753328480248</v>
      </c>
      <c r="AR43" s="297">
        <v>0.18000000000000005</v>
      </c>
      <c r="AS43" s="298">
        <f t="shared" si="170"/>
        <v>7.8006983289153297E-4</v>
      </c>
      <c r="AT43" s="299">
        <v>168286.60728298657</v>
      </c>
      <c r="AU43" s="299">
        <v>79766.24122341763</v>
      </c>
      <c r="AV43" s="299">
        <v>45344.926772895255</v>
      </c>
      <c r="AW43" s="300">
        <f t="shared" si="203"/>
        <v>43175.439286673689</v>
      </c>
      <c r="AX43" s="297">
        <v>7.4499999999999997E-2</v>
      </c>
      <c r="AY43" s="298">
        <f t="shared" si="171"/>
        <v>3.6666597762992982E-4</v>
      </c>
      <c r="AZ43" s="299">
        <v>173662.81879194631</v>
      </c>
      <c r="BA43" s="299">
        <v>79766.24122341763</v>
      </c>
      <c r="BB43" s="299">
        <v>4054.2281879194597</v>
      </c>
      <c r="BC43" s="300">
        <f t="shared" si="204"/>
        <v>89842.349380609216</v>
      </c>
      <c r="BD43" s="321"/>
      <c r="BE43" s="298">
        <f t="shared" si="172"/>
        <v>0</v>
      </c>
      <c r="BF43" s="299">
        <v>0</v>
      </c>
      <c r="BG43" s="299"/>
      <c r="BH43" s="299"/>
      <c r="BI43" s="300">
        <f t="shared" si="205"/>
        <v>0</v>
      </c>
      <c r="BJ43" s="297"/>
      <c r="BK43" s="298">
        <f t="shared" si="173"/>
        <v>0</v>
      </c>
      <c r="BL43" s="299">
        <v>0</v>
      </c>
      <c r="BM43" s="299"/>
      <c r="BN43" s="299"/>
      <c r="BO43" s="300">
        <f t="shared" si="206"/>
        <v>0</v>
      </c>
      <c r="BP43" s="297">
        <v>-2.1999999999999999E-2</v>
      </c>
      <c r="BQ43" s="298">
        <f t="shared" si="174"/>
        <v>-2.6758287041496719E-4</v>
      </c>
      <c r="BR43" s="299">
        <v>94759.545454545485</v>
      </c>
      <c r="BS43" s="299">
        <v>85649.008387699665</v>
      </c>
      <c r="BT43" s="299">
        <v>29622.27272727271</v>
      </c>
      <c r="BU43" s="300">
        <f t="shared" si="207"/>
        <v>-20511.73566042689</v>
      </c>
      <c r="BV43" s="322"/>
      <c r="BW43" s="297">
        <v>1.2E-2</v>
      </c>
      <c r="BX43" s="298">
        <f t="shared" si="175"/>
        <v>1.5491286796647137E-4</v>
      </c>
      <c r="BY43" s="299">
        <v>278015</v>
      </c>
      <c r="BZ43" s="299">
        <v>91738.767674102244</v>
      </c>
      <c r="CA43" s="299"/>
      <c r="CB43" s="300">
        <f t="shared" si="208"/>
        <v>186276.23232589776</v>
      </c>
      <c r="CC43" s="297">
        <v>0</v>
      </c>
      <c r="CD43" s="298">
        <f t="shared" si="176"/>
        <v>0</v>
      </c>
      <c r="CE43" s="299">
        <v>0</v>
      </c>
      <c r="CF43" s="299">
        <f t="shared" si="209"/>
        <v>91738.767674102244</v>
      </c>
      <c r="CG43" s="299"/>
      <c r="CH43" s="300">
        <f t="shared" si="210"/>
        <v>-91738.767674102244</v>
      </c>
      <c r="CI43" s="297">
        <v>-1.7500000000000002E-2</v>
      </c>
      <c r="CJ43" s="298">
        <f t="shared" si="177"/>
        <v>-1.3311987497989877E-4</v>
      </c>
      <c r="CK43" s="299">
        <v>66226.857142857145</v>
      </c>
      <c r="CL43" s="299">
        <v>102405.59034469994</v>
      </c>
      <c r="CM43" s="299">
        <v>6.8571428571428559</v>
      </c>
      <c r="CN43" s="300">
        <f t="shared" si="211"/>
        <v>-36185.590344699944</v>
      </c>
      <c r="CO43" s="297">
        <v>0</v>
      </c>
      <c r="CP43" s="298">
        <f t="shared" si="178"/>
        <v>0</v>
      </c>
      <c r="CQ43" s="299">
        <v>0</v>
      </c>
      <c r="CR43" s="299"/>
      <c r="CS43" s="261">
        <v>0</v>
      </c>
      <c r="CT43" s="300">
        <f t="shared" si="212"/>
        <v>0</v>
      </c>
      <c r="CU43" s="249">
        <v>-5.0000000000000001E-4</v>
      </c>
      <c r="CV43" s="250">
        <f t="shared" si="180"/>
        <v>-4.3649385438477742E-6</v>
      </c>
      <c r="CW43" s="261">
        <v>136600</v>
      </c>
      <c r="CX43" s="261"/>
      <c r="CY43" s="261">
        <v>0</v>
      </c>
      <c r="CZ43" s="251">
        <f t="shared" si="182"/>
        <v>136600</v>
      </c>
      <c r="DA43" s="249">
        <v>0</v>
      </c>
      <c r="DB43" s="250">
        <f t="shared" si="183"/>
        <v>0</v>
      </c>
      <c r="DC43" s="261">
        <v>0</v>
      </c>
      <c r="DD43" s="261"/>
      <c r="DE43" s="261"/>
      <c r="DF43" s="251">
        <f t="shared" si="184"/>
        <v>0</v>
      </c>
      <c r="DG43" s="249">
        <v>-1.5E-3</v>
      </c>
      <c r="DH43" s="250">
        <f t="shared" si="185"/>
        <v>-8.1471441584745525E-6</v>
      </c>
      <c r="DI43" s="261">
        <v>137873.33333333334</v>
      </c>
      <c r="DJ43" s="261">
        <f t="shared" si="214"/>
        <v>0</v>
      </c>
      <c r="DK43" s="261">
        <v>-18946.666666666657</v>
      </c>
      <c r="DL43" s="251">
        <f t="shared" si="186"/>
        <v>156820</v>
      </c>
      <c r="DM43" s="249">
        <v>-4.1250000000000002E-3</v>
      </c>
      <c r="DN43" s="250">
        <f t="shared" si="187"/>
        <v>-2.0053528209537307E-5</v>
      </c>
      <c r="DO43" s="261">
        <v>116307.8787878788</v>
      </c>
      <c r="DP43" s="261">
        <f t="shared" si="221"/>
        <v>0</v>
      </c>
      <c r="DQ43" s="261">
        <v>9570.9090909090901</v>
      </c>
      <c r="DR43" s="251">
        <f t="shared" si="188"/>
        <v>106736.96969696971</v>
      </c>
      <c r="DS43" s="249">
        <v>-1.4999999999999999E-2</v>
      </c>
      <c r="DT43" s="250">
        <f t="shared" si="189"/>
        <v>-7.3024131311019266E-5</v>
      </c>
      <c r="DU43" s="261">
        <v>192268</v>
      </c>
      <c r="DV43" s="261">
        <f t="shared" si="216"/>
        <v>0</v>
      </c>
      <c r="DW43" s="261"/>
      <c r="DX43" s="251">
        <f t="shared" si="190"/>
        <v>192268</v>
      </c>
      <c r="DY43" s="249">
        <f>'Net NR'!DD43</f>
        <v>0</v>
      </c>
      <c r="DZ43" s="250">
        <f t="shared" si="191"/>
        <v>0</v>
      </c>
      <c r="EA43" s="261">
        <f>'Net NR'!DF43</f>
        <v>0</v>
      </c>
      <c r="EB43" s="261">
        <f t="shared" si="222"/>
        <v>0</v>
      </c>
      <c r="EC43" s="261">
        <f>'Net NR'!DG43</f>
        <v>0</v>
      </c>
      <c r="ED43" s="251">
        <f t="shared" si="217"/>
        <v>0</v>
      </c>
      <c r="EE43" s="249">
        <f>'Net NR'!DI43</f>
        <v>0</v>
      </c>
      <c r="EF43" s="250">
        <f t="shared" si="193"/>
        <v>0</v>
      </c>
      <c r="EG43" s="261">
        <f>'Net NR'!DK43</f>
        <v>0</v>
      </c>
      <c r="EH43" s="261">
        <f t="shared" si="218"/>
        <v>0</v>
      </c>
      <c r="EI43" s="261">
        <f>'Net NR'!DL43</f>
        <v>0</v>
      </c>
      <c r="EJ43" s="251">
        <f t="shared" si="194"/>
        <v>0</v>
      </c>
      <c r="EK43" s="249">
        <v>-5.0000000000000001E-4</v>
      </c>
      <c r="EL43" s="250">
        <f t="shared" si="219"/>
        <v>-4.4112926975637204E-6</v>
      </c>
      <c r="EM43" s="261">
        <v>618559.99999999988</v>
      </c>
      <c r="EN43" s="261">
        <v>98413</v>
      </c>
      <c r="EO43" s="261">
        <v>-28560.000000000058</v>
      </c>
      <c r="EP43" s="251">
        <f t="shared" si="195"/>
        <v>548707</v>
      </c>
    </row>
    <row r="44" spans="1:146" s="301" customFormat="1">
      <c r="A44" s="319" t="s">
        <v>182</v>
      </c>
      <c r="B44" s="299">
        <v>4.4064000000000103</v>
      </c>
      <c r="C44" s="298">
        <f t="shared" si="163"/>
        <v>4.780438217685485E-2</v>
      </c>
      <c r="D44" s="299">
        <v>143534.03837142445</v>
      </c>
      <c r="E44" s="299">
        <v>92014.490871142247</v>
      </c>
      <c r="F44" s="299">
        <v>6681.4103757817929</v>
      </c>
      <c r="G44" s="300">
        <f t="shared" si="196"/>
        <v>44838.137124500412</v>
      </c>
      <c r="H44" s="297">
        <v>6.4224000000000157</v>
      </c>
      <c r="I44" s="298">
        <f t="shared" si="164"/>
        <v>9.055936524969084E-2</v>
      </c>
      <c r="J44" s="320">
        <v>143568.66609712286</v>
      </c>
      <c r="K44" s="299">
        <v>92014.490871142247</v>
      </c>
      <c r="L44" s="299">
        <v>6811.994136485092</v>
      </c>
      <c r="M44" s="300">
        <f t="shared" si="197"/>
        <v>44742.18108949552</v>
      </c>
      <c r="N44" s="297">
        <v>8.0784000000000091</v>
      </c>
      <c r="O44" s="298">
        <f t="shared" si="165"/>
        <v>9.1740863630801597E-2</v>
      </c>
      <c r="P44" s="299">
        <v>143709.05694429256</v>
      </c>
      <c r="Q44" s="299">
        <v>92014.490871142247</v>
      </c>
      <c r="R44" s="299">
        <v>6949.3644309236943</v>
      </c>
      <c r="S44" s="300">
        <f t="shared" si="198"/>
        <v>44745.201642226624</v>
      </c>
      <c r="T44" s="297">
        <v>7.1784000000000106</v>
      </c>
      <c r="U44" s="298">
        <f t="shared" si="166"/>
        <v>8.0675940848432548E-2</v>
      </c>
      <c r="V44" s="299">
        <v>138763.03448335646</v>
      </c>
      <c r="W44" s="299">
        <v>93762.425871142244</v>
      </c>
      <c r="X44" s="299">
        <v>3402.9291674087804</v>
      </c>
      <c r="Y44" s="300">
        <f t="shared" si="199"/>
        <v>41597.679444805435</v>
      </c>
      <c r="Z44" s="297">
        <v>4.2192000000000078</v>
      </c>
      <c r="AA44" s="298">
        <f t="shared" si="167"/>
        <v>4.6591739496167212E-2</v>
      </c>
      <c r="AB44" s="299">
        <v>138450.35263574537</v>
      </c>
      <c r="AC44" s="299">
        <v>91070.613188729156</v>
      </c>
      <c r="AD44" s="299">
        <v>1672.7312857269126</v>
      </c>
      <c r="AE44" s="300">
        <f t="shared" si="200"/>
        <v>45707.008161289297</v>
      </c>
      <c r="AF44" s="297">
        <v>6.3288000000000135</v>
      </c>
      <c r="AG44" s="298">
        <f t="shared" si="168"/>
        <v>6.1202119877113E-2</v>
      </c>
      <c r="AH44" s="299">
        <v>138531.81772035663</v>
      </c>
      <c r="AI44" s="299">
        <v>91070.613188729156</v>
      </c>
      <c r="AJ44" s="299">
        <v>1849.3818715388202</v>
      </c>
      <c r="AK44" s="300">
        <f t="shared" si="201"/>
        <v>45611.822660088656</v>
      </c>
      <c r="AL44" s="321">
        <v>5.8536000000000143</v>
      </c>
      <c r="AM44" s="298">
        <f t="shared" si="169"/>
        <v>3.5869746054380071E-2</v>
      </c>
      <c r="AN44" s="299">
        <v>138763.41009970877</v>
      </c>
      <c r="AO44" s="299">
        <v>86940.994688729144</v>
      </c>
      <c r="AP44" s="299">
        <v>2781.4041546497756</v>
      </c>
      <c r="AQ44" s="300">
        <f t="shared" si="202"/>
        <v>49041.011256329846</v>
      </c>
      <c r="AR44" s="297">
        <v>5.7960000000000171</v>
      </c>
      <c r="AS44" s="298">
        <f t="shared" si="170"/>
        <v>2.5118248619107431E-2</v>
      </c>
      <c r="AT44" s="299">
        <v>138460.43035831698</v>
      </c>
      <c r="AU44" s="299">
        <v>86064.097688729147</v>
      </c>
      <c r="AV44" s="299">
        <v>2770.4527875791314</v>
      </c>
      <c r="AW44" s="300">
        <f t="shared" si="203"/>
        <v>49625.879882008703</v>
      </c>
      <c r="AX44" s="297">
        <v>5.9904000000000135</v>
      </c>
      <c r="AY44" s="298">
        <f t="shared" si="171"/>
        <v>2.9482897616031362E-2</v>
      </c>
      <c r="AZ44" s="299">
        <v>138399.36064369648</v>
      </c>
      <c r="BA44" s="299">
        <v>86064.097688729147</v>
      </c>
      <c r="BB44" s="299">
        <v>3376.206931089735</v>
      </c>
      <c r="BC44" s="300">
        <f t="shared" si="204"/>
        <v>48959.056023877594</v>
      </c>
      <c r="BD44" s="321">
        <v>9.9322499999999838</v>
      </c>
      <c r="BE44" s="298">
        <f t="shared" si="172"/>
        <v>5.4283778360845442E-2</v>
      </c>
      <c r="BF44" s="299">
        <v>138395.78846686322</v>
      </c>
      <c r="BG44" s="299">
        <v>86064.097688729147</v>
      </c>
      <c r="BH44" s="299">
        <v>13892.389941856109</v>
      </c>
      <c r="BI44" s="300">
        <f t="shared" si="205"/>
        <v>38439.300836277966</v>
      </c>
      <c r="BJ44" s="297">
        <v>9.31679999999999</v>
      </c>
      <c r="BK44" s="298">
        <f t="shared" si="173"/>
        <v>0.11980160274402629</v>
      </c>
      <c r="BL44" s="299">
        <v>138194.61188390883</v>
      </c>
      <c r="BM44" s="299">
        <v>82186.416188729141</v>
      </c>
      <c r="BN44" s="299">
        <v>15891.215868109246</v>
      </c>
      <c r="BO44" s="300">
        <f t="shared" si="206"/>
        <v>40116.979827070441</v>
      </c>
      <c r="BP44" s="297">
        <v>6.2617000000000109</v>
      </c>
      <c r="BQ44" s="298">
        <f t="shared" si="174"/>
        <v>7.6160166348972866E-2</v>
      </c>
      <c r="BR44" s="299">
        <v>138099.70615008695</v>
      </c>
      <c r="BS44" s="299">
        <v>82186.416188729141</v>
      </c>
      <c r="BT44" s="299">
        <v>6759.7297858409047</v>
      </c>
      <c r="BU44" s="300">
        <f t="shared" si="207"/>
        <v>49153.560175516897</v>
      </c>
      <c r="BV44" s="322"/>
      <c r="BW44" s="297">
        <v>5.65920000000001</v>
      </c>
      <c r="BX44" s="298">
        <f t="shared" si="175"/>
        <v>7.3056908532988032E-2</v>
      </c>
      <c r="BY44" s="299">
        <v>138102.3360192253</v>
      </c>
      <c r="BZ44" s="299">
        <v>95308.746158729162</v>
      </c>
      <c r="CA44" s="299">
        <v>7166.0234662142993</v>
      </c>
      <c r="CB44" s="300">
        <f t="shared" si="208"/>
        <v>35627.566394281843</v>
      </c>
      <c r="CC44" s="297">
        <v>5.6952000000000176</v>
      </c>
      <c r="CD44" s="298">
        <f t="shared" si="176"/>
        <v>6.5364210477991389E-2</v>
      </c>
      <c r="CE44" s="299">
        <v>138150.00175586433</v>
      </c>
      <c r="CF44" s="299">
        <f t="shared" si="209"/>
        <v>95308.746158729162</v>
      </c>
      <c r="CG44" s="299">
        <v>7973.073816547253</v>
      </c>
      <c r="CH44" s="300">
        <f t="shared" si="210"/>
        <v>34868.181780587918</v>
      </c>
      <c r="CI44" s="297">
        <v>5.4504000000000161</v>
      </c>
      <c r="CJ44" s="298">
        <f t="shared" si="177"/>
        <v>4.1460375233739556E-2</v>
      </c>
      <c r="CK44" s="299">
        <v>138182.96271833242</v>
      </c>
      <c r="CL44" s="299">
        <v>98912.031158729165</v>
      </c>
      <c r="CM44" s="299">
        <v>7904.0143842653679</v>
      </c>
      <c r="CN44" s="300">
        <f t="shared" si="211"/>
        <v>31366.917175337887</v>
      </c>
      <c r="CO44" s="297">
        <v>5.0328000000000106</v>
      </c>
      <c r="CP44" s="298">
        <f t="shared" si="178"/>
        <v>4.0226847512168804E-2</v>
      </c>
      <c r="CQ44" s="299">
        <v>138101.3769670958</v>
      </c>
      <c r="CR44" s="261">
        <f t="shared" ref="CR44:CR60" si="223">CL44+810</f>
        <v>99722.031158729165</v>
      </c>
      <c r="CS44" s="261">
        <v>8444.4106660308316</v>
      </c>
      <c r="CT44" s="300">
        <f t="shared" si="212"/>
        <v>29934.935142335802</v>
      </c>
      <c r="CU44" s="249">
        <v>5.0918500000000115</v>
      </c>
      <c r="CV44" s="250">
        <f t="shared" si="180"/>
        <v>4.4451224648982678E-2</v>
      </c>
      <c r="CW44" s="261">
        <v>138053.58170409553</v>
      </c>
      <c r="CX44" s="261">
        <f>CR44</f>
        <v>99722.031158729165</v>
      </c>
      <c r="CY44" s="261">
        <v>6784.6715830199155</v>
      </c>
      <c r="CZ44" s="251">
        <f t="shared" si="182"/>
        <v>31546.878962346447</v>
      </c>
      <c r="DA44" s="249">
        <v>3.9240000000000061</v>
      </c>
      <c r="DB44" s="250">
        <f t="shared" si="183"/>
        <v>3.6152503864927521E-2</v>
      </c>
      <c r="DC44" s="261">
        <v>137914.2125382261</v>
      </c>
      <c r="DD44" s="261">
        <f t="shared" ref="DD44:DD54" si="224">CX44+5292</f>
        <v>105014.03115872917</v>
      </c>
      <c r="DE44" s="261">
        <v>6541.9291539245587</v>
      </c>
      <c r="DF44" s="251">
        <f t="shared" si="184"/>
        <v>26358.252225572374</v>
      </c>
      <c r="DG44" s="249">
        <v>3.448800000000007</v>
      </c>
      <c r="DH44" s="250">
        <f t="shared" si="185"/>
        <v>1.8731913849164727E-2</v>
      </c>
      <c r="DI44" s="261">
        <v>137871.32915796776</v>
      </c>
      <c r="DJ44" s="261">
        <f>DD44+2890*0.95</f>
        <v>107759.53115872917</v>
      </c>
      <c r="DK44" s="261">
        <v>3337.546392948258</v>
      </c>
      <c r="DL44" s="251">
        <f t="shared" si="186"/>
        <v>26774.251606290338</v>
      </c>
      <c r="DM44" s="249">
        <v>1.7064000000000019</v>
      </c>
      <c r="DN44" s="250">
        <f t="shared" si="187"/>
        <v>8.2955977058798789E-3</v>
      </c>
      <c r="DO44" s="261">
        <v>137926.14861697113</v>
      </c>
      <c r="DP44" s="261">
        <f>DJ44+2890*0.95</f>
        <v>110505.03115872917</v>
      </c>
      <c r="DQ44" s="261">
        <v>3299.5721987810434</v>
      </c>
      <c r="DR44" s="251">
        <f t="shared" si="188"/>
        <v>24121.54525946092</v>
      </c>
      <c r="DS44" s="249">
        <v>5.0760000000000067</v>
      </c>
      <c r="DT44" s="250">
        <f t="shared" si="189"/>
        <v>2.4711366035648951E-2</v>
      </c>
      <c r="DU44" s="261">
        <v>137745.58313632768</v>
      </c>
      <c r="DV44" s="261">
        <f t="shared" si="216"/>
        <v>110505.03115872917</v>
      </c>
      <c r="DW44" s="261">
        <v>3475.7269503546004</v>
      </c>
      <c r="DX44" s="251">
        <f t="shared" si="190"/>
        <v>23764.825027243915</v>
      </c>
      <c r="DY44" s="249">
        <f>'Net NR'!DD44</f>
        <v>4.4064000000000085</v>
      </c>
      <c r="DZ44" s="250">
        <f t="shared" si="191"/>
        <v>2.1320104649664055E-2</v>
      </c>
      <c r="EA44" s="261">
        <f>'Net NR'!DF44</f>
        <v>137941.38525780657</v>
      </c>
      <c r="EB44" s="261">
        <f>DV44+2797</f>
        <v>113302.03115872917</v>
      </c>
      <c r="EC44" s="261">
        <f>'Net NR'!DG44</f>
        <v>3171.7819535221329</v>
      </c>
      <c r="ED44" s="251">
        <f t="shared" si="217"/>
        <v>21467.572145555274</v>
      </c>
      <c r="EE44" s="249">
        <f>'Net NR'!DI44</f>
        <v>4.8168000000000069</v>
      </c>
      <c r="EF44" s="250">
        <f t="shared" si="193"/>
        <v>3.6057894749843916E-2</v>
      </c>
      <c r="EG44" s="261">
        <f>'Net NR'!DK44</f>
        <v>137858.36655040682</v>
      </c>
      <c r="EH44" s="261">
        <f>EB44+3265</f>
        <v>116567.03115872917</v>
      </c>
      <c r="EI44" s="261">
        <f>'Net NR'!DL44</f>
        <v>2520.9765819631202</v>
      </c>
      <c r="EJ44" s="251">
        <f t="shared" si="194"/>
        <v>18770.358809714533</v>
      </c>
      <c r="EK44" s="249">
        <v>4.658400000000011</v>
      </c>
      <c r="EL44" s="250">
        <f t="shared" si="219"/>
        <v>4.1099131804661765E-2</v>
      </c>
      <c r="EM44" s="261">
        <v>137971.5309977672</v>
      </c>
      <c r="EN44" s="261">
        <v>104388</v>
      </c>
      <c r="EO44" s="261">
        <v>4107.8825347758675</v>
      </c>
      <c r="EP44" s="251">
        <f t="shared" si="195"/>
        <v>29475.648462991332</v>
      </c>
    </row>
    <row r="45" spans="1:146" s="301" customFormat="1">
      <c r="A45" s="319" t="s">
        <v>183</v>
      </c>
      <c r="B45" s="299">
        <v>2.8224000000000058</v>
      </c>
      <c r="C45" s="298">
        <f t="shared" si="163"/>
        <v>3.0619800348573686E-2</v>
      </c>
      <c r="D45" s="299">
        <v>143821.54523567515</v>
      </c>
      <c r="E45" s="299">
        <v>92353.963738258084</v>
      </c>
      <c r="F45" s="299">
        <v>6988.5945554031168</v>
      </c>
      <c r="G45" s="300">
        <f t="shared" si="196"/>
        <v>44478.986942013944</v>
      </c>
      <c r="H45" s="297">
        <v>0.51119999999999988</v>
      </c>
      <c r="I45" s="298">
        <f t="shared" si="164"/>
        <v>7.2082005972287358E-3</v>
      </c>
      <c r="J45" s="320">
        <v>143445.03120068074</v>
      </c>
      <c r="K45" s="299">
        <v>92103.154638962238</v>
      </c>
      <c r="L45" s="299">
        <v>7428.5014667214318</v>
      </c>
      <c r="M45" s="300">
        <f t="shared" si="197"/>
        <v>43913.375094997064</v>
      </c>
      <c r="N45" s="297">
        <v>0.16560000000000002</v>
      </c>
      <c r="O45" s="298">
        <f t="shared" si="165"/>
        <v>1.8806059389558239E-3</v>
      </c>
      <c r="P45" s="299">
        <v>143363.47594099276</v>
      </c>
      <c r="Q45" s="299">
        <v>92103.154638962238</v>
      </c>
      <c r="R45" s="299">
        <v>6424.3455062101757</v>
      </c>
      <c r="S45" s="300">
        <f t="shared" si="198"/>
        <v>44835.975795820348</v>
      </c>
      <c r="T45" s="297">
        <v>0.2016</v>
      </c>
      <c r="U45" s="298">
        <f t="shared" si="166"/>
        <v>2.2657235142990052E-3</v>
      </c>
      <c r="V45" s="299">
        <v>138601.8057565848</v>
      </c>
      <c r="W45" s="299">
        <v>93826.38942896224</v>
      </c>
      <c r="X45" s="299">
        <v>9602.9466296006722</v>
      </c>
      <c r="Y45" s="300">
        <f t="shared" si="199"/>
        <v>35172.469698021887</v>
      </c>
      <c r="Z45" s="297">
        <v>7.0199999999999999E-2</v>
      </c>
      <c r="AA45" s="298">
        <f t="shared" si="167"/>
        <v>7.7520385680482839E-4</v>
      </c>
      <c r="AB45" s="299">
        <v>138550.50965202373</v>
      </c>
      <c r="AC45" s="299">
        <v>91004.418735433763</v>
      </c>
      <c r="AD45" s="299">
        <v>1179.4270309411077</v>
      </c>
      <c r="AE45" s="300">
        <f t="shared" si="200"/>
        <v>46366.663885648857</v>
      </c>
      <c r="AF45" s="297">
        <v>7.1999999999999998E-3</v>
      </c>
      <c r="AG45" s="298">
        <f t="shared" si="168"/>
        <v>6.9626985070663102E-5</v>
      </c>
      <c r="AH45" s="299">
        <v>139757.41409907717</v>
      </c>
      <c r="AI45" s="299">
        <v>91004.418735433763</v>
      </c>
      <c r="AJ45" s="299">
        <v>0.4696546327270173</v>
      </c>
      <c r="AK45" s="300">
        <f t="shared" si="201"/>
        <v>48752.525709010682</v>
      </c>
      <c r="AL45" s="321"/>
      <c r="AM45" s="298">
        <f t="shared" si="169"/>
        <v>0</v>
      </c>
      <c r="AN45" s="299">
        <v>0</v>
      </c>
      <c r="AO45" s="299"/>
      <c r="AP45" s="299"/>
      <c r="AQ45" s="300">
        <f t="shared" si="202"/>
        <v>0</v>
      </c>
      <c r="AR45" s="297"/>
      <c r="AS45" s="298">
        <f t="shared" si="170"/>
        <v>0</v>
      </c>
      <c r="AT45" s="299">
        <v>0</v>
      </c>
      <c r="AU45" s="299"/>
      <c r="AV45" s="299"/>
      <c r="AW45" s="300">
        <f t="shared" si="203"/>
        <v>0</v>
      </c>
      <c r="AX45" s="297"/>
      <c r="AY45" s="298">
        <f t="shared" si="171"/>
        <v>0</v>
      </c>
      <c r="AZ45" s="299">
        <v>0</v>
      </c>
      <c r="BA45" s="299"/>
      <c r="BB45" s="299"/>
      <c r="BC45" s="300">
        <f t="shared" si="204"/>
        <v>0</v>
      </c>
      <c r="BD45" s="321"/>
      <c r="BE45" s="298">
        <f t="shared" si="172"/>
        <v>0</v>
      </c>
      <c r="BF45" s="299">
        <v>0</v>
      </c>
      <c r="BG45" s="299"/>
      <c r="BH45" s="299"/>
      <c r="BI45" s="300">
        <f t="shared" si="205"/>
        <v>0</v>
      </c>
      <c r="BJ45" s="297"/>
      <c r="BK45" s="298">
        <f t="shared" si="173"/>
        <v>0</v>
      </c>
      <c r="BL45" s="299">
        <v>0</v>
      </c>
      <c r="BM45" s="299"/>
      <c r="BN45" s="299"/>
      <c r="BO45" s="300">
        <f t="shared" si="206"/>
        <v>0</v>
      </c>
      <c r="BP45" s="297">
        <v>-2.5499999999999997E-3</v>
      </c>
      <c r="BQ45" s="298">
        <f t="shared" si="174"/>
        <v>-3.1015287252643926E-5</v>
      </c>
      <c r="BR45" s="299">
        <v>140580.39215686277</v>
      </c>
      <c r="BS45" s="299">
        <v>92353.963738258084</v>
      </c>
      <c r="BT45" s="299">
        <v>3243.1372549019679</v>
      </c>
      <c r="BU45" s="300">
        <f t="shared" si="207"/>
        <v>44983.291163702721</v>
      </c>
      <c r="BV45" s="322"/>
      <c r="BW45" s="297"/>
      <c r="BX45" s="298">
        <f t="shared" si="175"/>
        <v>0</v>
      </c>
      <c r="BY45" s="299"/>
      <c r="BZ45" s="299"/>
      <c r="CA45" s="299"/>
      <c r="CB45" s="300">
        <f t="shared" si="208"/>
        <v>0</v>
      </c>
      <c r="CC45" s="297"/>
      <c r="CD45" s="298">
        <f t="shared" si="176"/>
        <v>0</v>
      </c>
      <c r="CE45" s="299"/>
      <c r="CF45" s="299">
        <f t="shared" si="209"/>
        <v>0</v>
      </c>
      <c r="CG45" s="299"/>
      <c r="CH45" s="300">
        <f t="shared" si="210"/>
        <v>0</v>
      </c>
      <c r="CI45" s="297">
        <v>0</v>
      </c>
      <c r="CJ45" s="298">
        <f t="shared" si="177"/>
        <v>0</v>
      </c>
      <c r="CK45" s="299">
        <v>0</v>
      </c>
      <c r="CL45" s="299">
        <f t="shared" si="220"/>
        <v>0</v>
      </c>
      <c r="CM45" s="299"/>
      <c r="CN45" s="300">
        <f t="shared" si="211"/>
        <v>0</v>
      </c>
      <c r="CO45" s="297">
        <v>0</v>
      </c>
      <c r="CP45" s="298">
        <f t="shared" si="178"/>
        <v>0</v>
      </c>
      <c r="CQ45" s="299">
        <v>0</v>
      </c>
      <c r="CR45" s="299"/>
      <c r="CS45" s="261">
        <v>0</v>
      </c>
      <c r="CT45" s="300">
        <f t="shared" si="212"/>
        <v>0</v>
      </c>
      <c r="CU45" s="249">
        <v>0</v>
      </c>
      <c r="CV45" s="250">
        <f t="shared" si="180"/>
        <v>0</v>
      </c>
      <c r="CW45" s="261">
        <v>0</v>
      </c>
      <c r="CX45" s="261"/>
      <c r="CY45" s="261"/>
      <c r="CZ45" s="251">
        <f t="shared" si="182"/>
        <v>0</v>
      </c>
      <c r="DA45" s="249">
        <v>0</v>
      </c>
      <c r="DB45" s="250">
        <f t="shared" si="183"/>
        <v>0</v>
      </c>
      <c r="DC45" s="261">
        <v>0</v>
      </c>
      <c r="DD45" s="261"/>
      <c r="DE45" s="261"/>
      <c r="DF45" s="251">
        <f t="shared" si="184"/>
        <v>0</v>
      </c>
      <c r="DG45" s="249">
        <v>-7.1999999999999998E-3</v>
      </c>
      <c r="DH45" s="250">
        <f t="shared" si="185"/>
        <v>-3.9106291960677851E-5</v>
      </c>
      <c r="DI45" s="261">
        <v>137972.22222222222</v>
      </c>
      <c r="DJ45" s="261">
        <f t="shared" si="214"/>
        <v>0</v>
      </c>
      <c r="DK45" s="261">
        <v>-27.777777777777779</v>
      </c>
      <c r="DL45" s="251">
        <f t="shared" si="186"/>
        <v>138000</v>
      </c>
      <c r="DM45" s="249">
        <v>0</v>
      </c>
      <c r="DN45" s="250">
        <f t="shared" si="187"/>
        <v>0</v>
      </c>
      <c r="DO45" s="261">
        <v>0</v>
      </c>
      <c r="DP45" s="261">
        <f t="shared" ref="DP45" si="225">DJ45</f>
        <v>0</v>
      </c>
      <c r="DQ45" s="261"/>
      <c r="DR45" s="251">
        <f t="shared" si="188"/>
        <v>0</v>
      </c>
      <c r="DS45" s="249">
        <v>0</v>
      </c>
      <c r="DT45" s="250">
        <f t="shared" si="189"/>
        <v>0</v>
      </c>
      <c r="DU45" s="261">
        <v>0</v>
      </c>
      <c r="DV45" s="261">
        <f t="shared" si="216"/>
        <v>0</v>
      </c>
      <c r="DW45" s="261"/>
      <c r="DX45" s="251">
        <f t="shared" si="190"/>
        <v>0</v>
      </c>
      <c r="DY45" s="249">
        <f>'Net NR'!DD45</f>
        <v>0</v>
      </c>
      <c r="DZ45" s="250">
        <f t="shared" si="191"/>
        <v>0</v>
      </c>
      <c r="EA45" s="261">
        <f>'Net NR'!DF45</f>
        <v>0</v>
      </c>
      <c r="EB45" s="261">
        <f t="shared" si="222"/>
        <v>0</v>
      </c>
      <c r="EC45" s="261">
        <f>'Net NR'!DG45</f>
        <v>0</v>
      </c>
      <c r="ED45" s="251">
        <f t="shared" si="217"/>
        <v>0</v>
      </c>
      <c r="EE45" s="249">
        <f>'Net NR'!DI45</f>
        <v>0</v>
      </c>
      <c r="EF45" s="250">
        <f t="shared" si="193"/>
        <v>0</v>
      </c>
      <c r="EG45" s="261">
        <f>'Net NR'!DK45</f>
        <v>0</v>
      </c>
      <c r="EH45" s="261">
        <f t="shared" si="218"/>
        <v>0</v>
      </c>
      <c r="EI45" s="261">
        <f>'Net NR'!DL45</f>
        <v>0</v>
      </c>
      <c r="EJ45" s="251">
        <f t="shared" si="194"/>
        <v>0</v>
      </c>
      <c r="EK45" s="249"/>
      <c r="EL45" s="250">
        <f t="shared" si="219"/>
        <v>0</v>
      </c>
      <c r="EM45" s="261"/>
      <c r="EN45" s="261"/>
      <c r="EO45" s="261"/>
      <c r="EP45" s="251">
        <f t="shared" si="195"/>
        <v>0</v>
      </c>
    </row>
    <row r="46" spans="1:146" s="301" customFormat="1">
      <c r="A46" s="319" t="s">
        <v>184</v>
      </c>
      <c r="B46" s="299">
        <v>3.450000000000002</v>
      </c>
      <c r="C46" s="298">
        <f t="shared" si="163"/>
        <v>3.7428539966900175E-2</v>
      </c>
      <c r="D46" s="299">
        <v>158284.85967432556</v>
      </c>
      <c r="E46" s="299">
        <v>88121.390889819813</v>
      </c>
      <c r="F46" s="299">
        <v>3088.9256956984941</v>
      </c>
      <c r="G46" s="300">
        <f t="shared" si="196"/>
        <v>67074.543088807259</v>
      </c>
      <c r="H46" s="297">
        <v>3.4981249999999986</v>
      </c>
      <c r="I46" s="298">
        <f t="shared" si="164"/>
        <v>4.9325482617724507E-2</v>
      </c>
      <c r="J46" s="320">
        <v>178334.02212442714</v>
      </c>
      <c r="K46" s="299">
        <v>83645.627906142239</v>
      </c>
      <c r="L46" s="299">
        <v>1884.6191942902092</v>
      </c>
      <c r="M46" s="300">
        <f t="shared" si="197"/>
        <v>92803.775023994691</v>
      </c>
      <c r="N46" s="297">
        <v>4.0632499999999991</v>
      </c>
      <c r="O46" s="298">
        <f t="shared" si="165"/>
        <v>4.6143551216559477E-2</v>
      </c>
      <c r="P46" s="299">
        <v>170046.37132667482</v>
      </c>
      <c r="Q46" s="299">
        <v>83645.627906142239</v>
      </c>
      <c r="R46" s="299">
        <v>3435.5134901231681</v>
      </c>
      <c r="S46" s="300">
        <f t="shared" si="198"/>
        <v>82965.229930409419</v>
      </c>
      <c r="T46" s="297">
        <v>3.2099999999999995</v>
      </c>
      <c r="U46" s="298">
        <f t="shared" si="166"/>
        <v>3.6076252385415702E-2</v>
      </c>
      <c r="V46" s="299">
        <v>161323.53819441647</v>
      </c>
      <c r="W46" s="299">
        <v>86808.088202142244</v>
      </c>
      <c r="X46" s="299">
        <v>489.19977337463018</v>
      </c>
      <c r="Y46" s="300">
        <f t="shared" si="199"/>
        <v>74026.2502188996</v>
      </c>
      <c r="Z46" s="297">
        <v>3.3239999999999976</v>
      </c>
      <c r="AA46" s="298">
        <f t="shared" si="167"/>
        <v>3.6706233903408089E-2</v>
      </c>
      <c r="AB46" s="299">
        <v>161149.65016334728</v>
      </c>
      <c r="AC46" s="299">
        <v>85178.826990189991</v>
      </c>
      <c r="AD46" s="299">
        <v>476.03910053466058</v>
      </c>
      <c r="AE46" s="300">
        <f t="shared" si="200"/>
        <v>75494.784072622628</v>
      </c>
      <c r="AF46" s="297">
        <v>3.7649999999999997</v>
      </c>
      <c r="AG46" s="298">
        <f t="shared" si="168"/>
        <v>3.6409110943200915E-2</v>
      </c>
      <c r="AH46" s="299">
        <v>155824.55465615599</v>
      </c>
      <c r="AI46" s="299">
        <v>85178.826990189991</v>
      </c>
      <c r="AJ46" s="299">
        <v>537.86817504675901</v>
      </c>
      <c r="AK46" s="300">
        <f t="shared" si="201"/>
        <v>70107.859490919232</v>
      </c>
      <c r="AL46" s="321">
        <v>21.734500000000068</v>
      </c>
      <c r="AM46" s="298">
        <f t="shared" si="169"/>
        <v>0.13318487693366887</v>
      </c>
      <c r="AN46" s="299">
        <v>147651.63864022415</v>
      </c>
      <c r="AO46" s="299">
        <v>80855.289174189995</v>
      </c>
      <c r="AP46" s="299">
        <v>9034.6489061261691</v>
      </c>
      <c r="AQ46" s="300">
        <f t="shared" si="202"/>
        <v>57761.700559907986</v>
      </c>
      <c r="AR46" s="297">
        <v>31.355000000000111</v>
      </c>
      <c r="AS46" s="298">
        <f t="shared" si="170"/>
        <v>0.13588383116841166</v>
      </c>
      <c r="AT46" s="299">
        <v>137842.87529914989</v>
      </c>
      <c r="AU46" s="299">
        <v>79706.019222189992</v>
      </c>
      <c r="AV46" s="299">
        <v>842.54483284027197</v>
      </c>
      <c r="AW46" s="300">
        <f t="shared" si="203"/>
        <v>57294.311244119628</v>
      </c>
      <c r="AX46" s="297">
        <v>53.916750000000107</v>
      </c>
      <c r="AY46" s="298">
        <f t="shared" si="171"/>
        <v>0.26536158187085312</v>
      </c>
      <c r="AZ46" s="299">
        <v>137543.38920650797</v>
      </c>
      <c r="BA46" s="299">
        <v>79706.019222189992</v>
      </c>
      <c r="BB46" s="299">
        <v>293.65902061974953</v>
      </c>
      <c r="BC46" s="300">
        <f t="shared" si="204"/>
        <v>57543.710963698228</v>
      </c>
      <c r="BD46" s="321">
        <v>12.691995000000002</v>
      </c>
      <c r="BE46" s="298">
        <f t="shared" si="172"/>
        <v>6.9366905135992335E-2</v>
      </c>
      <c r="BF46" s="299">
        <v>139024.37560052585</v>
      </c>
      <c r="BG46" s="299">
        <v>79706.019222189992</v>
      </c>
      <c r="BH46" s="299">
        <v>726.6462049504413</v>
      </c>
      <c r="BI46" s="300">
        <f t="shared" si="205"/>
        <v>58591.710173385414</v>
      </c>
      <c r="BJ46" s="297">
        <v>5.2049999999999921</v>
      </c>
      <c r="BK46" s="298">
        <f t="shared" si="173"/>
        <v>6.6929347231093991E-2</v>
      </c>
      <c r="BL46" s="299">
        <v>142922.23439000989</v>
      </c>
      <c r="BM46" s="299">
        <v>77531.458782189991</v>
      </c>
      <c r="BN46" s="299">
        <v>208.57444764649409</v>
      </c>
      <c r="BO46" s="300">
        <f t="shared" si="206"/>
        <v>65182.201160173405</v>
      </c>
      <c r="BP46" s="297">
        <v>2.2066249999999989</v>
      </c>
      <c r="BQ46" s="298">
        <f t="shared" si="174"/>
        <v>2.6838865974064853E-2</v>
      </c>
      <c r="BR46" s="299">
        <v>142994.49158783228</v>
      </c>
      <c r="BS46" s="299">
        <v>88121.390889819813</v>
      </c>
      <c r="BT46" s="299">
        <v>-9.3581827451437505</v>
      </c>
      <c r="BU46" s="300">
        <f t="shared" si="207"/>
        <v>54882.458880757607</v>
      </c>
      <c r="BV46" s="322"/>
      <c r="BW46" s="297">
        <v>2.6849999999999992</v>
      </c>
      <c r="BX46" s="298">
        <f t="shared" si="175"/>
        <v>3.4661754207497959E-2</v>
      </c>
      <c r="BY46" s="299">
        <v>144503.92551210438</v>
      </c>
      <c r="BZ46" s="299">
        <v>85640.931374959226</v>
      </c>
      <c r="CA46" s="299">
        <v>4646.990689013036</v>
      </c>
      <c r="CB46" s="300">
        <f t="shared" si="208"/>
        <v>54216.00344813212</v>
      </c>
      <c r="CC46" s="297">
        <v>2.0429999999999979</v>
      </c>
      <c r="CD46" s="298">
        <f t="shared" si="176"/>
        <v>2.3447654517231326E-2</v>
      </c>
      <c r="CE46" s="299">
        <v>141183.69554576636</v>
      </c>
      <c r="CF46" s="299">
        <f t="shared" si="209"/>
        <v>85640.931374959226</v>
      </c>
      <c r="CG46" s="299">
        <v>3677.0044052863468</v>
      </c>
      <c r="CH46" s="300">
        <f t="shared" si="210"/>
        <v>51865.759765520786</v>
      </c>
      <c r="CI46" s="297">
        <v>2.6182499999999989</v>
      </c>
      <c r="CJ46" s="298">
        <f t="shared" si="177"/>
        <v>1.9916635009492555E-2</v>
      </c>
      <c r="CK46" s="299">
        <v>144747.60622553257</v>
      </c>
      <c r="CL46" s="299">
        <v>88888.012574959226</v>
      </c>
      <c r="CM46" s="299">
        <v>4963.0554759858733</v>
      </c>
      <c r="CN46" s="300">
        <f t="shared" si="211"/>
        <v>50896.538174587469</v>
      </c>
      <c r="CO46" s="297">
        <v>2.2689999999999979</v>
      </c>
      <c r="CP46" s="298">
        <f t="shared" si="178"/>
        <v>1.8135971428451508E-2</v>
      </c>
      <c r="CQ46" s="299">
        <v>138079.81489643047</v>
      </c>
      <c r="CR46" s="261">
        <f t="shared" si="223"/>
        <v>89698.012574959226</v>
      </c>
      <c r="CS46" s="261">
        <v>2420.5068312031749</v>
      </c>
      <c r="CT46" s="300">
        <f t="shared" si="212"/>
        <v>45961.295490268072</v>
      </c>
      <c r="CU46" s="249">
        <v>2.4719999999999995</v>
      </c>
      <c r="CV46" s="250">
        <f t="shared" si="180"/>
        <v>2.1580256160783393E-2</v>
      </c>
      <c r="CW46" s="261">
        <v>151197.80339805828</v>
      </c>
      <c r="CX46" s="261">
        <f>CR46</f>
        <v>89698.012574959226</v>
      </c>
      <c r="CY46" s="261">
        <v>8741.4037216828528</v>
      </c>
      <c r="CZ46" s="251">
        <f t="shared" si="182"/>
        <v>52758.387101416207</v>
      </c>
      <c r="DA46" s="249">
        <v>4.9768749999999899</v>
      </c>
      <c r="DB46" s="250">
        <f t="shared" si="183"/>
        <v>4.5852826878889023E-2</v>
      </c>
      <c r="DC46" s="261">
        <v>144339.30930553839</v>
      </c>
      <c r="DD46" s="261">
        <f t="shared" si="224"/>
        <v>94990.012574959226</v>
      </c>
      <c r="DE46" s="261">
        <v>3177.4557327640409</v>
      </c>
      <c r="DF46" s="251">
        <f t="shared" si="184"/>
        <v>46171.840997815125</v>
      </c>
      <c r="DG46" s="249">
        <v>18.968250000000022</v>
      </c>
      <c r="DH46" s="250">
        <f t="shared" si="185"/>
        <v>0.10302471145599007</v>
      </c>
      <c r="DI46" s="261">
        <v>155821.52175345627</v>
      </c>
      <c r="DJ46" s="261">
        <f>DD46+2890*0.95</f>
        <v>97735.512574959226</v>
      </c>
      <c r="DK46" s="261">
        <v>1631.6096635166648</v>
      </c>
      <c r="DL46" s="251">
        <f t="shared" si="186"/>
        <v>56454.399514980381</v>
      </c>
      <c r="DM46" s="249">
        <v>37.592375000000061</v>
      </c>
      <c r="DN46" s="250">
        <f t="shared" si="187"/>
        <v>0.18275387940024393</v>
      </c>
      <c r="DO46" s="261">
        <v>165119.27405491093</v>
      </c>
      <c r="DP46" s="261">
        <f>DJ46+2890*0.95</f>
        <v>100481.01257495923</v>
      </c>
      <c r="DQ46" s="261">
        <v>738.40692427653119</v>
      </c>
      <c r="DR46" s="251">
        <f t="shared" si="188"/>
        <v>63899.854555675171</v>
      </c>
      <c r="DS46" s="249">
        <v>25.919500000000028</v>
      </c>
      <c r="DT46" s="250">
        <f t="shared" si="189"/>
        <v>0.12618326476773106</v>
      </c>
      <c r="DU46" s="261">
        <v>164812.1082582603</v>
      </c>
      <c r="DV46" s="261">
        <f>DP46-321</f>
        <v>100160.01257495923</v>
      </c>
      <c r="DW46" s="261">
        <v>422.55714809313417</v>
      </c>
      <c r="DX46" s="251">
        <f t="shared" si="190"/>
        <v>64229.538535207939</v>
      </c>
      <c r="DY46" s="249">
        <f>'Net NR'!DD46</f>
        <v>13.919999999999989</v>
      </c>
      <c r="DZ46" s="250">
        <f t="shared" si="191"/>
        <v>6.7351093119853586E-2</v>
      </c>
      <c r="EA46" s="261">
        <f>'Net NR'!DF46</f>
        <v>165132.48563218385</v>
      </c>
      <c r="EB46" s="261">
        <f>DV46</f>
        <v>100160.01257495923</v>
      </c>
      <c r="EC46" s="261">
        <f>'Net NR'!DG46</f>
        <v>386.70330459770156</v>
      </c>
      <c r="ED46" s="251">
        <f t="shared" si="217"/>
        <v>64585.769752626918</v>
      </c>
      <c r="EE46" s="249">
        <f>'Net NR'!DI46</f>
        <v>2.5779999999999998</v>
      </c>
      <c r="EF46" s="250">
        <f t="shared" si="193"/>
        <v>1.9298549382390274E-2</v>
      </c>
      <c r="EG46" s="261">
        <f>'Net NR'!DK46</f>
        <v>164452.3312645462</v>
      </c>
      <c r="EH46" s="261">
        <f t="shared" si="218"/>
        <v>100160.01257495923</v>
      </c>
      <c r="EI46" s="261">
        <f>'Net NR'!DL46</f>
        <v>922.6299456943367</v>
      </c>
      <c r="EJ46" s="251">
        <f t="shared" si="194"/>
        <v>63369.688743892635</v>
      </c>
      <c r="EK46" s="249">
        <v>2.141</v>
      </c>
      <c r="EL46" s="250">
        <f t="shared" si="219"/>
        <v>1.8889155330967848E-2</v>
      </c>
      <c r="EM46" s="261">
        <v>164694.02148528732</v>
      </c>
      <c r="EN46" s="261">
        <v>98413</v>
      </c>
      <c r="EO46" s="235">
        <v>1740.7613264829533</v>
      </c>
      <c r="EP46" s="251">
        <f t="shared" si="195"/>
        <v>64540.260158804362</v>
      </c>
    </row>
    <row r="47" spans="1:146" s="301" customFormat="1">
      <c r="A47" s="319" t="s">
        <v>185</v>
      </c>
      <c r="B47" s="299">
        <v>1.3679999999999997</v>
      </c>
      <c r="C47" s="298">
        <f t="shared" si="163"/>
        <v>1.4841229760788232E-2</v>
      </c>
      <c r="D47" s="299">
        <v>143563.3541112825</v>
      </c>
      <c r="E47" s="299">
        <v>95040.93524643789</v>
      </c>
      <c r="F47" s="299">
        <v>6914.4359826274394</v>
      </c>
      <c r="G47" s="300">
        <f t="shared" si="196"/>
        <v>41607.982882217177</v>
      </c>
      <c r="H47" s="297">
        <v>1.5840000000000023</v>
      </c>
      <c r="I47" s="298">
        <f t="shared" si="164"/>
        <v>2.2335269456201755E-2</v>
      </c>
      <c r="J47" s="320">
        <v>143380.25986125704</v>
      </c>
      <c r="K47" s="299">
        <v>90567.205776372241</v>
      </c>
      <c r="L47" s="299">
        <v>6125.5628915602583</v>
      </c>
      <c r="M47" s="300">
        <f t="shared" si="197"/>
        <v>46687.491193324546</v>
      </c>
      <c r="N47" s="297">
        <v>1.8216000000000003</v>
      </c>
      <c r="O47" s="298">
        <f t="shared" si="165"/>
        <v>2.0686665328514067E-2</v>
      </c>
      <c r="P47" s="299">
        <v>143786.09915541901</v>
      </c>
      <c r="Q47" s="299">
        <v>90567.205776372241</v>
      </c>
      <c r="R47" s="299">
        <v>6942.522080320171</v>
      </c>
      <c r="S47" s="300">
        <f t="shared" si="198"/>
        <v>46276.371298726597</v>
      </c>
      <c r="T47" s="297">
        <v>1.7064000000000006</v>
      </c>
      <c r="U47" s="298">
        <f t="shared" si="166"/>
        <v>1.9177731174602301E-2</v>
      </c>
      <c r="V47" s="299">
        <v>138741.82200983839</v>
      </c>
      <c r="W47" s="299">
        <v>93729.666072372231</v>
      </c>
      <c r="X47" s="299">
        <v>1916.1949587367069</v>
      </c>
      <c r="Y47" s="300">
        <f t="shared" si="199"/>
        <v>43095.960978729454</v>
      </c>
      <c r="Z47" s="297">
        <v>2.3040000000000003</v>
      </c>
      <c r="AA47" s="298">
        <f t="shared" si="167"/>
        <v>2.5442588120773858E-2</v>
      </c>
      <c r="AB47" s="299">
        <v>138576.97467737304</v>
      </c>
      <c r="AC47" s="299">
        <v>91722.617181629976</v>
      </c>
      <c r="AD47" s="299">
        <v>2606.5232884841375</v>
      </c>
      <c r="AE47" s="300">
        <f t="shared" si="200"/>
        <v>44247.834207258929</v>
      </c>
      <c r="AF47" s="297">
        <v>3.2184000000000026</v>
      </c>
      <c r="AG47" s="298">
        <f t="shared" si="168"/>
        <v>3.1123262326586434E-2</v>
      </c>
      <c r="AH47" s="299">
        <v>138281.16323671499</v>
      </c>
      <c r="AI47" s="299">
        <v>91722.617181629976</v>
      </c>
      <c r="AJ47" s="299">
        <v>1383.0181957010373</v>
      </c>
      <c r="AK47" s="300">
        <f t="shared" si="201"/>
        <v>45175.527859383976</v>
      </c>
      <c r="AL47" s="321">
        <v>13.953599999999996</v>
      </c>
      <c r="AM47" s="298">
        <f t="shared" si="169"/>
        <v>8.5505003509702818E-2</v>
      </c>
      <c r="AN47" s="299">
        <v>138358.34012503401</v>
      </c>
      <c r="AO47" s="299">
        <v>87399.079365629979</v>
      </c>
      <c r="AP47" s="299">
        <v>2973.9095838116377</v>
      </c>
      <c r="AQ47" s="300">
        <f t="shared" si="202"/>
        <v>47985.35117559239</v>
      </c>
      <c r="AR47" s="297">
        <v>40.823999999999991</v>
      </c>
      <c r="AS47" s="298">
        <f t="shared" si="170"/>
        <v>0.17691983809979961</v>
      </c>
      <c r="AT47" s="299">
        <v>138543.5370789528</v>
      </c>
      <c r="AU47" s="299">
        <v>86249.809413629977</v>
      </c>
      <c r="AV47" s="299">
        <v>2906.6700399559486</v>
      </c>
      <c r="AW47" s="300">
        <f t="shared" si="203"/>
        <v>49387.05762536687</v>
      </c>
      <c r="AX47" s="297">
        <v>31.240800000000018</v>
      </c>
      <c r="AY47" s="298">
        <f t="shared" si="171"/>
        <v>0.15375756340860561</v>
      </c>
      <c r="AZ47" s="299">
        <v>138404.42114158414</v>
      </c>
      <c r="BA47" s="299">
        <v>86249.809413629977</v>
      </c>
      <c r="BB47" s="299">
        <v>2737.9266856162444</v>
      </c>
      <c r="BC47" s="300">
        <f t="shared" si="204"/>
        <v>49416.685042337922</v>
      </c>
      <c r="BD47" s="321">
        <v>17.445599999999981</v>
      </c>
      <c r="BE47" s="298">
        <f t="shared" si="172"/>
        <v>9.5347286241482629E-2</v>
      </c>
      <c r="BF47" s="299">
        <v>138262.9763378732</v>
      </c>
      <c r="BG47" s="299">
        <v>86249.809413629977</v>
      </c>
      <c r="BH47" s="299">
        <v>12097.420553033462</v>
      </c>
      <c r="BI47" s="300">
        <f t="shared" si="205"/>
        <v>39915.746371209767</v>
      </c>
      <c r="BJ47" s="297">
        <v>1.6056000000000008</v>
      </c>
      <c r="BK47" s="298">
        <f t="shared" si="173"/>
        <v>2.0645871261142121E-2</v>
      </c>
      <c r="BL47" s="299">
        <v>138148.62356751351</v>
      </c>
      <c r="BM47" s="299">
        <v>84075.248973629976</v>
      </c>
      <c r="BN47" s="299">
        <v>5055.6053811659176</v>
      </c>
      <c r="BO47" s="300">
        <f t="shared" si="206"/>
        <v>49017.76921271762</v>
      </c>
      <c r="BP47" s="297">
        <v>1.5832000000000006</v>
      </c>
      <c r="BQ47" s="298">
        <f t="shared" si="174"/>
        <v>1.9256236383680739E-2</v>
      </c>
      <c r="BR47" s="299">
        <v>138115.38655886796</v>
      </c>
      <c r="BS47" s="299">
        <v>95040.93524643789</v>
      </c>
      <c r="BT47" s="299">
        <v>9113.573774633649</v>
      </c>
      <c r="BU47" s="300">
        <f t="shared" si="207"/>
        <v>33960.877537796419</v>
      </c>
      <c r="BV47" s="322"/>
      <c r="BW47" s="297">
        <v>2.1024000000000043</v>
      </c>
      <c r="BX47" s="298">
        <f t="shared" si="175"/>
        <v>2.714073446772584E-2</v>
      </c>
      <c r="BY47" s="299">
        <v>138127.33066971044</v>
      </c>
      <c r="BZ47" s="299">
        <v>92132.597659368446</v>
      </c>
      <c r="CA47" s="299">
        <v>8816.4145738203661</v>
      </c>
      <c r="CB47" s="300">
        <f t="shared" si="208"/>
        <v>37178.318436521629</v>
      </c>
      <c r="CC47" s="297">
        <v>1.1736000000000006</v>
      </c>
      <c r="CD47" s="298">
        <f t="shared" si="176"/>
        <v>1.3469489643378721E-2</v>
      </c>
      <c r="CE47" s="299">
        <v>138145.65439672777</v>
      </c>
      <c r="CF47" s="299">
        <f t="shared" si="209"/>
        <v>92132.597659368446</v>
      </c>
      <c r="CG47" s="299">
        <v>12060.429447852748</v>
      </c>
      <c r="CH47" s="300">
        <f t="shared" si="210"/>
        <v>33952.627289506578</v>
      </c>
      <c r="CI47" s="297">
        <v>1.0223999999999995</v>
      </c>
      <c r="CJ47" s="298">
        <f t="shared" si="177"/>
        <v>7.7772434388256239E-3</v>
      </c>
      <c r="CK47" s="299">
        <v>138189.95500782467</v>
      </c>
      <c r="CL47" s="299">
        <v>95379.678859368447</v>
      </c>
      <c r="CM47" s="299">
        <v>9415.0821596244114</v>
      </c>
      <c r="CN47" s="300">
        <f t="shared" si="211"/>
        <v>33395.193988831808</v>
      </c>
      <c r="CO47" s="297">
        <v>0.94109999999999938</v>
      </c>
      <c r="CP47" s="298">
        <f t="shared" si="178"/>
        <v>7.5221519221312112E-3</v>
      </c>
      <c r="CQ47" s="299">
        <v>137203.34714695576</v>
      </c>
      <c r="CR47" s="261">
        <f t="shared" si="223"/>
        <v>96189.678859368447</v>
      </c>
      <c r="CS47" s="261">
        <v>10867.644246094991</v>
      </c>
      <c r="CT47" s="300">
        <f t="shared" si="212"/>
        <v>30146.024041492317</v>
      </c>
      <c r="CU47" s="249">
        <v>0.52560000000000007</v>
      </c>
      <c r="CV47" s="250">
        <f t="shared" si="180"/>
        <v>4.5884233972927806E-3</v>
      </c>
      <c r="CW47" s="261">
        <v>138091.57153729073</v>
      </c>
      <c r="CX47" s="261">
        <f>CR47</f>
        <v>96189.678859368447</v>
      </c>
      <c r="CY47" s="261">
        <v>5893.9497716894948</v>
      </c>
      <c r="CZ47" s="251">
        <f t="shared" si="182"/>
        <v>36007.942906232784</v>
      </c>
      <c r="DA47" s="249">
        <v>2.6640000000000001</v>
      </c>
      <c r="DB47" s="250">
        <f t="shared" si="183"/>
        <v>2.4543901706464519E-2</v>
      </c>
      <c r="DC47" s="261">
        <v>137955.41666666666</v>
      </c>
      <c r="DD47" s="261">
        <f t="shared" si="224"/>
        <v>101481.67885936845</v>
      </c>
      <c r="DE47" s="261">
        <v>8043.438438438433</v>
      </c>
      <c r="DF47" s="251">
        <f t="shared" si="184"/>
        <v>28430.299368859778</v>
      </c>
      <c r="DG47" s="249">
        <v>4.8096000000000023</v>
      </c>
      <c r="DH47" s="250">
        <f t="shared" si="185"/>
        <v>2.6123003029732816E-2</v>
      </c>
      <c r="DI47" s="261">
        <v>137953.96082834326</v>
      </c>
      <c r="DJ47" s="261">
        <f>DD47+2890*0.95</f>
        <v>104227.17885936845</v>
      </c>
      <c r="DK47" s="261">
        <v>2929.5887391882875</v>
      </c>
      <c r="DL47" s="251">
        <f t="shared" si="186"/>
        <v>30797.193229786528</v>
      </c>
      <c r="DM47" s="249">
        <v>25.963199999999993</v>
      </c>
      <c r="DN47" s="250">
        <f t="shared" si="187"/>
        <v>0.12621909420845062</v>
      </c>
      <c r="DO47" s="261">
        <v>137932.91196770812</v>
      </c>
      <c r="DP47" s="261">
        <f>DJ47+2890*0.95</f>
        <v>106972.67885936845</v>
      </c>
      <c r="DQ47" s="261">
        <v>2360.3053552720771</v>
      </c>
      <c r="DR47" s="251">
        <f t="shared" si="188"/>
        <v>28599.927753067594</v>
      </c>
      <c r="DS47" s="249">
        <v>31.910400000000013</v>
      </c>
      <c r="DT47" s="250">
        <f t="shared" si="189"/>
        <v>0.15534861598581001</v>
      </c>
      <c r="DU47" s="261">
        <v>137913.09667067777</v>
      </c>
      <c r="DV47" s="261">
        <f>DP47-321</f>
        <v>106651.67885936845</v>
      </c>
      <c r="DW47" s="261">
        <v>2333.2249047332516</v>
      </c>
      <c r="DX47" s="251">
        <f t="shared" si="190"/>
        <v>28928.192906576071</v>
      </c>
      <c r="DY47" s="249">
        <f>'Net NR'!DD47</f>
        <v>8.5104000000000006</v>
      </c>
      <c r="DZ47" s="250">
        <f t="shared" si="191"/>
        <v>4.1177064862586384E-2</v>
      </c>
      <c r="EA47" s="261">
        <f>'Net NR'!DF47</f>
        <v>137897.25864824216</v>
      </c>
      <c r="EB47" s="261">
        <f>DV47</f>
        <v>106651.67885936845</v>
      </c>
      <c r="EC47" s="261">
        <f>'Net NR'!DG47</f>
        <v>2129.8916619665347</v>
      </c>
      <c r="ED47" s="251">
        <f t="shared" si="217"/>
        <v>29115.688126907178</v>
      </c>
      <c r="EE47" s="249">
        <f>'Net NR'!DI47</f>
        <v>4.4064000000000085</v>
      </c>
      <c r="EF47" s="250">
        <f t="shared" si="193"/>
        <v>3.298569743931911E-2</v>
      </c>
      <c r="EG47" s="261">
        <f>'Net NR'!DK47</f>
        <v>137872.65341321702</v>
      </c>
      <c r="EH47" s="261">
        <f t="shared" si="218"/>
        <v>106651.67885936845</v>
      </c>
      <c r="EI47" s="261">
        <f>'Net NR'!DL47</f>
        <v>3514.2043391430498</v>
      </c>
      <c r="EJ47" s="251">
        <f t="shared" si="194"/>
        <v>27706.770214705524</v>
      </c>
      <c r="EK47" s="249">
        <v>1.4112000000000005</v>
      </c>
      <c r="EL47" s="250">
        <f t="shared" si="219"/>
        <v>1.2450432509603848E-2</v>
      </c>
      <c r="EM47" s="261">
        <v>137927.76360544199</v>
      </c>
      <c r="EN47" s="261">
        <v>104388</v>
      </c>
      <c r="EO47" s="261">
        <v>5911.9543650793557</v>
      </c>
      <c r="EP47" s="251">
        <f t="shared" si="195"/>
        <v>27627.809240362629</v>
      </c>
    </row>
    <row r="48" spans="1:146" s="301" customFormat="1">
      <c r="A48" s="319" t="s">
        <v>186</v>
      </c>
      <c r="B48" s="299">
        <v>1.1807999999999998</v>
      </c>
      <c r="C48" s="298">
        <f t="shared" si="163"/>
        <v>1.2810324635627739E-2</v>
      </c>
      <c r="D48" s="299">
        <v>165113.90404898967</v>
      </c>
      <c r="E48" s="299">
        <v>94053.595161089761</v>
      </c>
      <c r="F48" s="299">
        <v>6869.2224771739475</v>
      </c>
      <c r="G48" s="300">
        <f t="shared" si="196"/>
        <v>64191.086410725962</v>
      </c>
      <c r="H48" s="297">
        <v>1.1319000000000001</v>
      </c>
      <c r="I48" s="298">
        <f t="shared" si="164"/>
        <v>1.5960411298910814E-2</v>
      </c>
      <c r="J48" s="320">
        <v>168064.14910281129</v>
      </c>
      <c r="K48" s="299">
        <v>89581.522125722244</v>
      </c>
      <c r="L48" s="299">
        <v>4804.9935961488145</v>
      </c>
      <c r="M48" s="300">
        <f t="shared" si="197"/>
        <v>73677.633380940242</v>
      </c>
      <c r="N48" s="297">
        <v>1.329599999999999</v>
      </c>
      <c r="O48" s="298">
        <f t="shared" si="165"/>
        <v>1.5099357828717762E-2</v>
      </c>
      <c r="P48" s="299">
        <v>165658.4998816908</v>
      </c>
      <c r="Q48" s="299">
        <v>89581.522125722244</v>
      </c>
      <c r="R48" s="299">
        <v>5590.2173739936197</v>
      </c>
      <c r="S48" s="300">
        <f t="shared" si="198"/>
        <v>70486.760381974935</v>
      </c>
      <c r="T48" s="297">
        <v>2.3184000000000005</v>
      </c>
      <c r="U48" s="298">
        <f t="shared" si="166"/>
        <v>2.6055820414438564E-2</v>
      </c>
      <c r="V48" s="299">
        <v>159511.97906615533</v>
      </c>
      <c r="W48" s="299">
        <v>92743.982421722234</v>
      </c>
      <c r="X48" s="299">
        <v>2242.588317001419</v>
      </c>
      <c r="Y48" s="300">
        <f t="shared" si="199"/>
        <v>64525.408327431673</v>
      </c>
      <c r="Z48" s="297">
        <v>4.6863000000000001</v>
      </c>
      <c r="AA48" s="298">
        <f t="shared" si="167"/>
        <v>5.1749826697214639E-2</v>
      </c>
      <c r="AB48" s="299">
        <v>159299.01055260136</v>
      </c>
      <c r="AC48" s="299">
        <v>91139.740470841978</v>
      </c>
      <c r="AD48" s="299">
        <v>2670.9127008668856</v>
      </c>
      <c r="AE48" s="300">
        <f t="shared" si="200"/>
        <v>65488.357380892499</v>
      </c>
      <c r="AF48" s="297">
        <v>6.2640000000000091</v>
      </c>
      <c r="AG48" s="298">
        <f t="shared" si="168"/>
        <v>6.0575477011476989E-2</v>
      </c>
      <c r="AH48" s="299">
        <v>159089.62046429815</v>
      </c>
      <c r="AI48" s="299">
        <v>91139.740470841978</v>
      </c>
      <c r="AJ48" s="299">
        <v>18731.634900636771</v>
      </c>
      <c r="AK48" s="300">
        <f t="shared" si="201"/>
        <v>49218.245092819401</v>
      </c>
      <c r="AL48" s="321">
        <v>18.629999999999981</v>
      </c>
      <c r="AM48" s="298">
        <f t="shared" si="169"/>
        <v>0.11416109214724245</v>
      </c>
      <c r="AN48" s="299">
        <v>149176.22743812745</v>
      </c>
      <c r="AO48" s="299">
        <v>86816.202654841982</v>
      </c>
      <c r="AP48" s="299">
        <v>14627.590388734143</v>
      </c>
      <c r="AQ48" s="300">
        <f t="shared" si="202"/>
        <v>47732.434394551325</v>
      </c>
      <c r="AR48" s="297">
        <v>30.468600000000016</v>
      </c>
      <c r="AS48" s="298">
        <f t="shared" si="170"/>
        <v>0.13204242061354982</v>
      </c>
      <c r="AT48" s="299">
        <v>137107.9074064201</v>
      </c>
      <c r="AU48" s="299">
        <v>85666.932702841979</v>
      </c>
      <c r="AV48" s="299">
        <v>1886.9209640371932</v>
      </c>
      <c r="AW48" s="300">
        <f t="shared" si="203"/>
        <v>49554.053739540926</v>
      </c>
      <c r="AX48" s="297">
        <v>9.7199999999999995E-2</v>
      </c>
      <c r="AY48" s="298">
        <f t="shared" si="171"/>
        <v>4.7838836276012321E-4</v>
      </c>
      <c r="AZ48" s="299">
        <v>159654.21810699589</v>
      </c>
      <c r="BA48" s="299">
        <v>85666.932702841979</v>
      </c>
      <c r="BB48" s="299">
        <v>2591.0493827160435</v>
      </c>
      <c r="BC48" s="300">
        <f t="shared" si="204"/>
        <v>71396.236021437871</v>
      </c>
      <c r="BD48" s="321">
        <v>42.94289999999981</v>
      </c>
      <c r="BE48" s="298">
        <f t="shared" si="172"/>
        <v>0.23470038166296089</v>
      </c>
      <c r="BF48" s="299">
        <v>136859.79591504188</v>
      </c>
      <c r="BG48" s="299">
        <v>85666.932702841979</v>
      </c>
      <c r="BH48" s="299">
        <v>44384.870840115662</v>
      </c>
      <c r="BI48" s="300">
        <f t="shared" si="205"/>
        <v>6807.9923720842344</v>
      </c>
      <c r="BJ48" s="297">
        <v>1.7660999999999989</v>
      </c>
      <c r="BK48" s="298">
        <f t="shared" si="173"/>
        <v>2.2709686867403499E-2</v>
      </c>
      <c r="BL48" s="299">
        <v>136100.56055716003</v>
      </c>
      <c r="BM48" s="299">
        <v>83492.372262841978</v>
      </c>
      <c r="BN48" s="299">
        <v>479.1687899892421</v>
      </c>
      <c r="BO48" s="300">
        <f t="shared" si="206"/>
        <v>52129.019504328811</v>
      </c>
      <c r="BP48" s="297">
        <v>0.47940000000000005</v>
      </c>
      <c r="BQ48" s="298">
        <f t="shared" si="174"/>
        <v>5.8308740034970592E-3</v>
      </c>
      <c r="BR48" s="299">
        <v>158053.7546933667</v>
      </c>
      <c r="BS48" s="299">
        <v>94053.595161089761</v>
      </c>
      <c r="BT48" s="299">
        <v>-3176.199415936589</v>
      </c>
      <c r="BU48" s="300">
        <f t="shared" si="207"/>
        <v>67176.358948213528</v>
      </c>
      <c r="BV48" s="322"/>
      <c r="BW48" s="297">
        <v>0.833699999999999</v>
      </c>
      <c r="BX48" s="298">
        <f t="shared" si="175"/>
        <v>1.0762571501970585E-2</v>
      </c>
      <c r="BY48" s="299">
        <v>136562.93630802454</v>
      </c>
      <c r="BZ48" s="299">
        <v>91558.297642811231</v>
      </c>
      <c r="CA48" s="299">
        <v>1417.0325056974877</v>
      </c>
      <c r="CB48" s="300">
        <f t="shared" si="208"/>
        <v>43587.606159515817</v>
      </c>
      <c r="CC48" s="297">
        <v>0.91454999999999953</v>
      </c>
      <c r="CD48" s="298">
        <f t="shared" si="176"/>
        <v>1.049635459556237E-2</v>
      </c>
      <c r="CE48" s="299">
        <v>137361.62046908317</v>
      </c>
      <c r="CF48" s="299">
        <f t="shared" si="209"/>
        <v>91558.297642811231</v>
      </c>
      <c r="CG48" s="299">
        <v>1056.5414684817645</v>
      </c>
      <c r="CH48" s="300">
        <f t="shared" si="210"/>
        <v>44746.781357790169</v>
      </c>
      <c r="CI48" s="297">
        <v>0.44460000000000005</v>
      </c>
      <c r="CJ48" s="298">
        <f t="shared" si="177"/>
        <v>3.3820055094893136E-3</v>
      </c>
      <c r="CK48" s="299">
        <v>137631.73639226271</v>
      </c>
      <c r="CL48" s="299">
        <v>94805.378842811217</v>
      </c>
      <c r="CM48" s="299">
        <v>1375.2811515969418</v>
      </c>
      <c r="CN48" s="300">
        <f t="shared" si="211"/>
        <v>41451.076397854551</v>
      </c>
      <c r="CO48" s="297">
        <v>6.7949999999999997E-2</v>
      </c>
      <c r="CP48" s="298">
        <f t="shared" si="178"/>
        <v>5.4311999055234946E-4</v>
      </c>
      <c r="CQ48" s="299">
        <v>399110.08094186912</v>
      </c>
      <c r="CR48" s="261">
        <f t="shared" si="223"/>
        <v>95615.378842811217</v>
      </c>
      <c r="CS48" s="261">
        <v>43203.679175864629</v>
      </c>
      <c r="CT48" s="300">
        <f t="shared" si="212"/>
        <v>260291.02292319329</v>
      </c>
      <c r="CU48" s="249">
        <v>0.2994</v>
      </c>
      <c r="CV48" s="250">
        <f t="shared" si="180"/>
        <v>2.6137252000560472E-3</v>
      </c>
      <c r="CW48" s="261">
        <v>136709.98663994655</v>
      </c>
      <c r="CX48" s="261">
        <f>CR48</f>
        <v>95615.378842811217</v>
      </c>
      <c r="CY48" s="261">
        <v>11182.999331997333</v>
      </c>
      <c r="CZ48" s="251">
        <f t="shared" si="182"/>
        <v>29911.608465138004</v>
      </c>
      <c r="DA48" s="249">
        <v>1.3982999999999994</v>
      </c>
      <c r="DB48" s="250">
        <f t="shared" si="183"/>
        <v>1.2882784442998995E-2</v>
      </c>
      <c r="DC48" s="261">
        <v>135657.21232925705</v>
      </c>
      <c r="DD48" s="261">
        <f t="shared" si="224"/>
        <v>100907.37884281122</v>
      </c>
      <c r="DE48" s="261">
        <v>-185.56103840377486</v>
      </c>
      <c r="DF48" s="251">
        <f t="shared" si="184"/>
        <v>34935.394524849602</v>
      </c>
      <c r="DG48" s="249">
        <v>14.669700000000025</v>
      </c>
      <c r="DH48" s="250">
        <f t="shared" si="185"/>
        <v>7.967744044104956E-2</v>
      </c>
      <c r="DI48" s="261">
        <v>151677.23129988994</v>
      </c>
      <c r="DJ48" s="261">
        <f>DD48+2890*0.95</f>
        <v>103652.87884281122</v>
      </c>
      <c r="DK48" s="261">
        <v>379.22861408208689</v>
      </c>
      <c r="DL48" s="251">
        <f t="shared" si="186"/>
        <v>47645.12384299664</v>
      </c>
      <c r="DM48" s="249">
        <v>12.09997740000002</v>
      </c>
      <c r="DN48" s="250">
        <f t="shared" si="187"/>
        <v>5.8823572878948911E-2</v>
      </c>
      <c r="DO48" s="261">
        <v>152547.33368344957</v>
      </c>
      <c r="DP48" s="261">
        <f>DJ48+2890*0.95</f>
        <v>106398.37884281122</v>
      </c>
      <c r="DQ48" s="261">
        <v>538.92084129016541</v>
      </c>
      <c r="DR48" s="251">
        <f t="shared" si="188"/>
        <v>45610.03399934819</v>
      </c>
      <c r="DS48" s="249">
        <v>15.206400000000022</v>
      </c>
      <c r="DT48" s="250">
        <f t="shared" si="189"/>
        <v>7.4028943357858992E-2</v>
      </c>
      <c r="DU48" s="261">
        <v>156653.81944444432</v>
      </c>
      <c r="DV48" s="261">
        <f>DP48-321</f>
        <v>106077.37884281122</v>
      </c>
      <c r="DW48" s="261">
        <v>259.20664983164949</v>
      </c>
      <c r="DX48" s="251">
        <f t="shared" si="190"/>
        <v>50317.233951801456</v>
      </c>
      <c r="DY48" s="249">
        <f>'Net NR'!DD48</f>
        <v>4.0392000000000028</v>
      </c>
      <c r="DZ48" s="250">
        <f t="shared" si="191"/>
        <v>1.9543429262192026E-2</v>
      </c>
      <c r="EA48" s="261">
        <f>'Net NR'!DF48</f>
        <v>158058.87056842932</v>
      </c>
      <c r="EB48" s="261">
        <f>DV48</f>
        <v>106077.37884281122</v>
      </c>
      <c r="EC48" s="261">
        <f>'Net NR'!DG48</f>
        <v>2239.3766092295491</v>
      </c>
      <c r="ED48" s="251">
        <f t="shared" si="217"/>
        <v>49742.115116388559</v>
      </c>
      <c r="EE48" s="249">
        <f>'Net NR'!DI48</f>
        <v>0.61920000000000019</v>
      </c>
      <c r="EF48" s="250">
        <f t="shared" si="193"/>
        <v>4.6352450650023512E-3</v>
      </c>
      <c r="EG48" s="261">
        <f>'Net NR'!DK48</f>
        <v>158999.32170542632</v>
      </c>
      <c r="EH48" s="261">
        <f t="shared" si="218"/>
        <v>106077.37884281122</v>
      </c>
      <c r="EI48" s="261">
        <f>'Net NR'!DL48</f>
        <v>3074.7577519379847</v>
      </c>
      <c r="EJ48" s="251">
        <f t="shared" si="194"/>
        <v>49847.185110677121</v>
      </c>
      <c r="EK48" s="249">
        <v>0.66030000000000022</v>
      </c>
      <c r="EL48" s="250">
        <f t="shared" si="219"/>
        <v>5.8255531364026511E-3</v>
      </c>
      <c r="EM48" s="261">
        <v>158764.45555050726</v>
      </c>
      <c r="EN48" s="261">
        <v>101097</v>
      </c>
      <c r="EO48" s="261">
        <v>2448.0539148871721</v>
      </c>
      <c r="EP48" s="251">
        <f t="shared" si="195"/>
        <v>55219.401635620088</v>
      </c>
    </row>
    <row r="49" spans="1:146" s="301" customFormat="1">
      <c r="A49" s="319" t="s">
        <v>187</v>
      </c>
      <c r="B49" s="299">
        <v>0.80400000000000038</v>
      </c>
      <c r="C49" s="298">
        <f t="shared" si="163"/>
        <v>8.722477140112388E-3</v>
      </c>
      <c r="D49" s="299">
        <v>165250.90698347561</v>
      </c>
      <c r="E49" s="299">
        <v>88771.034789909245</v>
      </c>
      <c r="F49" s="299">
        <v>8986.0062307323351</v>
      </c>
      <c r="G49" s="300">
        <f t="shared" si="196"/>
        <v>67493.865962834025</v>
      </c>
      <c r="H49" s="297">
        <v>0.90130000000000043</v>
      </c>
      <c r="I49" s="298">
        <f t="shared" si="164"/>
        <v>1.2708824722774383E-2</v>
      </c>
      <c r="J49" s="320">
        <v>164858.62798252367</v>
      </c>
      <c r="K49" s="299">
        <v>84300.970880872235</v>
      </c>
      <c r="L49" s="299">
        <v>7286.2361002755479</v>
      </c>
      <c r="M49" s="300">
        <f t="shared" si="197"/>
        <v>73271.421001375886</v>
      </c>
      <c r="N49" s="297">
        <v>1.8720000000000012</v>
      </c>
      <c r="O49" s="298">
        <f t="shared" si="165"/>
        <v>2.12590236577615E-2</v>
      </c>
      <c r="P49" s="299">
        <v>164789.28332028646</v>
      </c>
      <c r="Q49" s="299">
        <v>84300.970880872235</v>
      </c>
      <c r="R49" s="299">
        <v>2476.6853492742139</v>
      </c>
      <c r="S49" s="300">
        <f t="shared" si="198"/>
        <v>78011.627090140013</v>
      </c>
      <c r="T49" s="297">
        <v>12.096000000000002</v>
      </c>
      <c r="U49" s="298">
        <f t="shared" si="166"/>
        <v>0.13594341085794032</v>
      </c>
      <c r="V49" s="299">
        <v>159558.1313930242</v>
      </c>
      <c r="W49" s="299">
        <v>87459.561520872245</v>
      </c>
      <c r="X49" s="299">
        <v>57305.608905916059</v>
      </c>
      <c r="Y49" s="300">
        <f t="shared" si="199"/>
        <v>14792.9609662359</v>
      </c>
      <c r="Z49" s="297">
        <v>7.367999999999995</v>
      </c>
      <c r="AA49" s="298">
        <f t="shared" si="167"/>
        <v>8.1363276594558012E-2</v>
      </c>
      <c r="AB49" s="299">
        <v>159353.56211094666</v>
      </c>
      <c r="AC49" s="299">
        <v>85901.839367232242</v>
      </c>
      <c r="AD49" s="299">
        <v>64864.255559912373</v>
      </c>
      <c r="AE49" s="300">
        <f t="shared" si="200"/>
        <v>8587.467183802044</v>
      </c>
      <c r="AF49" s="297">
        <v>2.0983000000000005</v>
      </c>
      <c r="AG49" s="298">
        <f t="shared" si="168"/>
        <v>2.0291430940801727E-2</v>
      </c>
      <c r="AH49" s="299">
        <v>159150.66853631401</v>
      </c>
      <c r="AI49" s="299">
        <v>85901.839367232242</v>
      </c>
      <c r="AJ49" s="299">
        <v>49501.180537448039</v>
      </c>
      <c r="AK49" s="300">
        <f t="shared" si="201"/>
        <v>23747.648631633732</v>
      </c>
      <c r="AL49" s="321">
        <v>0.50400000000000011</v>
      </c>
      <c r="AM49" s="298">
        <f t="shared" si="169"/>
        <v>3.0884160194423116E-3</v>
      </c>
      <c r="AN49" s="299">
        <v>158668.38900170708</v>
      </c>
      <c r="AO49" s="299">
        <v>81583.591927232235</v>
      </c>
      <c r="AP49" s="299">
        <v>38946.504081072126</v>
      </c>
      <c r="AQ49" s="300">
        <f t="shared" si="202"/>
        <v>38138.29299340272</v>
      </c>
      <c r="AR49" s="297">
        <v>0.10309999999999998</v>
      </c>
      <c r="AS49" s="298">
        <f t="shared" si="170"/>
        <v>4.4680666539509455E-4</v>
      </c>
      <c r="AT49" s="299">
        <v>158668.38900170711</v>
      </c>
      <c r="AU49" s="299">
        <v>80435.72824723224</v>
      </c>
      <c r="AV49" s="299">
        <v>64921.347294626583</v>
      </c>
      <c r="AW49" s="300">
        <f t="shared" si="203"/>
        <v>13311.313459848287</v>
      </c>
      <c r="AX49" s="297"/>
      <c r="AY49" s="298">
        <f t="shared" si="171"/>
        <v>0</v>
      </c>
      <c r="AZ49" s="299">
        <v>0</v>
      </c>
      <c r="BA49" s="299">
        <v>80435.72824723224</v>
      </c>
      <c r="BB49" s="299"/>
      <c r="BC49" s="300">
        <f t="shared" si="204"/>
        <v>-80435.72824723224</v>
      </c>
      <c r="BD49" s="321">
        <v>0.108</v>
      </c>
      <c r="BE49" s="298">
        <f t="shared" si="172"/>
        <v>5.9026384383914195E-4</v>
      </c>
      <c r="BF49" s="299">
        <v>158668.42592592593</v>
      </c>
      <c r="BG49" s="299">
        <v>80435.72824723224</v>
      </c>
      <c r="BH49" s="299">
        <v>70520.092592592599</v>
      </c>
      <c r="BI49" s="300">
        <f t="shared" si="205"/>
        <v>7712.6050861010881</v>
      </c>
      <c r="BJ49" s="297"/>
      <c r="BK49" s="298">
        <f t="shared" si="173"/>
        <v>0</v>
      </c>
      <c r="BL49" s="299">
        <v>0</v>
      </c>
      <c r="BM49" s="299"/>
      <c r="BN49" s="299"/>
      <c r="BO49" s="300">
        <f t="shared" si="206"/>
        <v>0</v>
      </c>
      <c r="BP49" s="297">
        <v>-1.5900000000000001E-2</v>
      </c>
      <c r="BQ49" s="298">
        <f t="shared" si="174"/>
        <v>-1.9338943816354451E-4</v>
      </c>
      <c r="BR49" s="299">
        <v>275463.52201257861</v>
      </c>
      <c r="BS49" s="299">
        <v>88771.034789909245</v>
      </c>
      <c r="BT49" s="299">
        <v>25065.408805031439</v>
      </c>
      <c r="BU49" s="300">
        <f t="shared" si="207"/>
        <v>161627.07841763791</v>
      </c>
      <c r="BV49" s="322"/>
      <c r="BW49" s="297"/>
      <c r="BX49" s="298">
        <f t="shared" si="175"/>
        <v>0</v>
      </c>
      <c r="BY49" s="299"/>
      <c r="BZ49" s="299"/>
      <c r="CA49" s="299"/>
      <c r="CB49" s="300">
        <f t="shared" si="208"/>
        <v>0</v>
      </c>
      <c r="CC49" s="297"/>
      <c r="CD49" s="298">
        <f t="shared" si="176"/>
        <v>0</v>
      </c>
      <c r="CE49" s="299"/>
      <c r="CF49" s="299">
        <f t="shared" si="209"/>
        <v>0</v>
      </c>
      <c r="CG49" s="299"/>
      <c r="CH49" s="300">
        <f t="shared" si="210"/>
        <v>0</v>
      </c>
      <c r="CI49" s="297">
        <v>0</v>
      </c>
      <c r="CJ49" s="298">
        <f t="shared" si="177"/>
        <v>0</v>
      </c>
      <c r="CK49" s="299">
        <v>0</v>
      </c>
      <c r="CL49" s="299">
        <f t="shared" si="220"/>
        <v>0</v>
      </c>
      <c r="CM49" s="299"/>
      <c r="CN49" s="300">
        <f t="shared" si="211"/>
        <v>0</v>
      </c>
      <c r="CO49" s="297">
        <v>0</v>
      </c>
      <c r="CP49" s="298">
        <f t="shared" si="178"/>
        <v>0</v>
      </c>
      <c r="CQ49" s="299">
        <v>0</v>
      </c>
      <c r="CR49" s="299"/>
      <c r="CS49" s="261">
        <v>0</v>
      </c>
      <c r="CT49" s="300">
        <f t="shared" si="212"/>
        <v>0</v>
      </c>
      <c r="CU49" s="249">
        <v>0</v>
      </c>
      <c r="CV49" s="250">
        <f t="shared" si="180"/>
        <v>0</v>
      </c>
      <c r="CW49" s="261">
        <v>0</v>
      </c>
      <c r="CX49" s="261"/>
      <c r="CY49" s="261"/>
      <c r="CZ49" s="251">
        <f t="shared" si="182"/>
        <v>0</v>
      </c>
      <c r="DA49" s="249">
        <v>0</v>
      </c>
      <c r="DB49" s="250">
        <f t="shared" si="183"/>
        <v>0</v>
      </c>
      <c r="DC49" s="261">
        <v>0</v>
      </c>
      <c r="DD49" s="261"/>
      <c r="DE49" s="261"/>
      <c r="DF49" s="251">
        <f t="shared" si="184"/>
        <v>0</v>
      </c>
      <c r="DG49" s="249">
        <v>0</v>
      </c>
      <c r="DH49" s="250">
        <f t="shared" si="185"/>
        <v>0</v>
      </c>
      <c r="DI49" s="261">
        <v>0</v>
      </c>
      <c r="DJ49" s="261">
        <f t="shared" si="214"/>
        <v>0</v>
      </c>
      <c r="DK49" s="261"/>
      <c r="DL49" s="251">
        <f t="shared" si="186"/>
        <v>0</v>
      </c>
      <c r="DM49" s="249">
        <v>0</v>
      </c>
      <c r="DN49" s="250">
        <f t="shared" si="187"/>
        <v>0</v>
      </c>
      <c r="DO49" s="261">
        <v>0</v>
      </c>
      <c r="DP49" s="261">
        <f t="shared" ref="DP49" si="226">DJ49</f>
        <v>0</v>
      </c>
      <c r="DQ49" s="261"/>
      <c r="DR49" s="251">
        <f t="shared" si="188"/>
        <v>0</v>
      </c>
      <c r="DS49" s="249">
        <v>0</v>
      </c>
      <c r="DT49" s="250">
        <f t="shared" si="189"/>
        <v>0</v>
      </c>
      <c r="DU49" s="261">
        <v>0</v>
      </c>
      <c r="DV49" s="261">
        <f t="shared" si="216"/>
        <v>0</v>
      </c>
      <c r="DW49" s="261"/>
      <c r="DX49" s="251">
        <f t="shared" si="190"/>
        <v>0</v>
      </c>
      <c r="DY49" s="249">
        <f>'Net NR'!DD49</f>
        <v>0</v>
      </c>
      <c r="DZ49" s="250">
        <f t="shared" si="191"/>
        <v>0</v>
      </c>
      <c r="EA49" s="261">
        <f>'Net NR'!DF49</f>
        <v>0</v>
      </c>
      <c r="EB49" s="261">
        <f t="shared" si="222"/>
        <v>0</v>
      </c>
      <c r="EC49" s="261">
        <f>'Net NR'!DG49</f>
        <v>0</v>
      </c>
      <c r="ED49" s="251">
        <f t="shared" si="217"/>
        <v>0</v>
      </c>
      <c r="EE49" s="249">
        <f>'Net NR'!DI49</f>
        <v>0</v>
      </c>
      <c r="EF49" s="250">
        <f t="shared" si="193"/>
        <v>0</v>
      </c>
      <c r="EG49" s="261">
        <f>'Net NR'!DK49</f>
        <v>0</v>
      </c>
      <c r="EH49" s="261">
        <f t="shared" si="218"/>
        <v>0</v>
      </c>
      <c r="EI49" s="261">
        <f>'Net NR'!DL49</f>
        <v>0</v>
      </c>
      <c r="EJ49" s="251">
        <f t="shared" si="194"/>
        <v>0</v>
      </c>
      <c r="EK49" s="249"/>
      <c r="EL49" s="250">
        <f t="shared" si="219"/>
        <v>0</v>
      </c>
      <c r="EM49" s="261"/>
      <c r="EN49" s="261"/>
      <c r="EO49" s="261"/>
      <c r="EP49" s="251">
        <f t="shared" si="195"/>
        <v>0</v>
      </c>
    </row>
    <row r="50" spans="1:146" s="301" customFormat="1">
      <c r="A50" s="319" t="s">
        <v>188</v>
      </c>
      <c r="B50" s="299">
        <v>1.26</v>
      </c>
      <c r="C50" s="298">
        <f t="shared" si="163"/>
        <v>1.3669553727041796E-2</v>
      </c>
      <c r="D50" s="299">
        <v>202046.28568174518</v>
      </c>
      <c r="E50" s="299">
        <v>85121.019787777244</v>
      </c>
      <c r="F50" s="299">
        <v>2244.6431819546715</v>
      </c>
      <c r="G50" s="300">
        <f t="shared" si="196"/>
        <v>114680.62271201327</v>
      </c>
      <c r="H50" s="297">
        <v>2.3099999999999996</v>
      </c>
      <c r="I50" s="298">
        <f t="shared" si="164"/>
        <v>3.2572267956960839E-2</v>
      </c>
      <c r="J50" s="320">
        <v>187497.70750978438</v>
      </c>
      <c r="K50" s="299">
        <v>85121.019787777244</v>
      </c>
      <c r="L50" s="299">
        <v>2178.3258096963427</v>
      </c>
      <c r="M50" s="300">
        <f t="shared" si="197"/>
        <v>100198.36191231079</v>
      </c>
      <c r="N50" s="297">
        <v>6.8849999999999927</v>
      </c>
      <c r="O50" s="298">
        <f t="shared" si="165"/>
        <v>7.8188236048978454E-2</v>
      </c>
      <c r="P50" s="299">
        <v>181010.03839130493</v>
      </c>
      <c r="Q50" s="299">
        <v>85121.019787777244</v>
      </c>
      <c r="R50" s="299">
        <v>3258.5214855395288</v>
      </c>
      <c r="S50" s="300">
        <f t="shared" si="198"/>
        <v>92630.497117988154</v>
      </c>
      <c r="T50" s="297">
        <v>5.9249999999999936</v>
      </c>
      <c r="U50" s="298">
        <f t="shared" si="166"/>
        <v>6.6589344356257893E-2</v>
      </c>
      <c r="V50" s="299">
        <v>169663.99710034794</v>
      </c>
      <c r="W50" s="299">
        <v>86868.954787777242</v>
      </c>
      <c r="X50" s="299">
        <v>177.23865608741548</v>
      </c>
      <c r="Y50" s="300">
        <f t="shared" si="199"/>
        <v>82617.803656483287</v>
      </c>
      <c r="Z50" s="297">
        <v>4.154999999999994</v>
      </c>
      <c r="AA50" s="298">
        <f t="shared" si="167"/>
        <v>4.588279237926008E-2</v>
      </c>
      <c r="AB50" s="299">
        <v>164389.4406114486</v>
      </c>
      <c r="AC50" s="299">
        <v>84511.428741617623</v>
      </c>
      <c r="AD50" s="299">
        <v>215.90268947946723</v>
      </c>
      <c r="AE50" s="300">
        <f t="shared" si="200"/>
        <v>79662.109180351516</v>
      </c>
      <c r="AF50" s="297">
        <v>5.999999999999992</v>
      </c>
      <c r="AG50" s="298">
        <f t="shared" si="168"/>
        <v>5.8022487558885845E-2</v>
      </c>
      <c r="AH50" s="299">
        <v>171820.03347182504</v>
      </c>
      <c r="AI50" s="299">
        <v>84511.428741617623</v>
      </c>
      <c r="AJ50" s="299">
        <v>82.695586827235232</v>
      </c>
      <c r="AK50" s="300">
        <f t="shared" si="201"/>
        <v>87225.90914338018</v>
      </c>
      <c r="AL50" s="321">
        <v>13.259500000000001</v>
      </c>
      <c r="AM50" s="298">
        <f t="shared" si="169"/>
        <v>8.1251690892451045E-2</v>
      </c>
      <c r="AN50" s="299">
        <v>160810.99880788272</v>
      </c>
      <c r="AO50" s="299">
        <v>80381.810241617612</v>
      </c>
      <c r="AP50" s="299">
        <v>9677.7809511463347</v>
      </c>
      <c r="AQ50" s="300">
        <f t="shared" si="202"/>
        <v>70751.407615118776</v>
      </c>
      <c r="AR50" s="297">
        <v>9.1599999999999895</v>
      </c>
      <c r="AS50" s="298">
        <f t="shared" si="170"/>
        <v>3.9696887051591294E-2</v>
      </c>
      <c r="AT50" s="299">
        <v>154714.76979789109</v>
      </c>
      <c r="AU50" s="299">
        <v>79504.913241617614</v>
      </c>
      <c r="AV50" s="299">
        <v>3314.5708881323244</v>
      </c>
      <c r="AW50" s="300">
        <f t="shared" si="203"/>
        <v>71895.28566814115</v>
      </c>
      <c r="AX50" s="297">
        <v>14.997000000000034</v>
      </c>
      <c r="AY50" s="298">
        <f t="shared" si="171"/>
        <v>7.3810599550551276E-2</v>
      </c>
      <c r="AZ50" s="299">
        <v>144612.90458091561</v>
      </c>
      <c r="BA50" s="299">
        <v>79504.913241617614</v>
      </c>
      <c r="BB50" s="299">
        <v>180.79282523171111</v>
      </c>
      <c r="BC50" s="300">
        <f t="shared" si="204"/>
        <v>64927.19851406628</v>
      </c>
      <c r="BD50" s="321">
        <v>8.5949999999999935</v>
      </c>
      <c r="BE50" s="298">
        <f t="shared" si="172"/>
        <v>4.6975164238865011E-2</v>
      </c>
      <c r="BF50" s="299">
        <v>149376.31529959277</v>
      </c>
      <c r="BG50" s="299">
        <v>79504.913241617614</v>
      </c>
      <c r="BH50" s="299">
        <v>186.90401396160473</v>
      </c>
      <c r="BI50" s="300">
        <f t="shared" si="205"/>
        <v>69684.49804401354</v>
      </c>
      <c r="BJ50" s="297">
        <v>9.4699999999999971</v>
      </c>
      <c r="BK50" s="298">
        <f t="shared" si="173"/>
        <v>0.12177155010152947</v>
      </c>
      <c r="BL50" s="299">
        <v>150465.32418162614</v>
      </c>
      <c r="BM50" s="299">
        <v>75627.231741617608</v>
      </c>
      <c r="BN50" s="299">
        <v>1170.7391763463575</v>
      </c>
      <c r="BO50" s="300">
        <f t="shared" si="206"/>
        <v>73667.353263662182</v>
      </c>
      <c r="BP50" s="297">
        <v>8.5459999999999869</v>
      </c>
      <c r="BQ50" s="298">
        <f t="shared" si="174"/>
        <v>0.10394378229846847</v>
      </c>
      <c r="BR50" s="299">
        <v>146621.88626257915</v>
      </c>
      <c r="BS50" s="299">
        <v>75627.231741617608</v>
      </c>
      <c r="BT50" s="299">
        <v>199.07208050549926</v>
      </c>
      <c r="BU50" s="300">
        <f t="shared" si="207"/>
        <v>70795.582440456041</v>
      </c>
      <c r="BV50" s="322"/>
      <c r="BW50" s="297">
        <v>8.8049999999999997</v>
      </c>
      <c r="BX50" s="298">
        <f t="shared" si="175"/>
        <v>0.11366731687039837</v>
      </c>
      <c r="BY50" s="299">
        <v>148528.80749574097</v>
      </c>
      <c r="BZ50" s="299">
        <v>86602.544111617637</v>
      </c>
      <c r="CA50" s="299">
        <v>13724.02612152186</v>
      </c>
      <c r="CB50" s="300">
        <f t="shared" si="208"/>
        <v>48202.237262601469</v>
      </c>
      <c r="CC50" s="297">
        <v>5.5649999999999888</v>
      </c>
      <c r="CD50" s="298">
        <f t="shared" si="176"/>
        <v>6.3869895931665296E-2</v>
      </c>
      <c r="CE50" s="299">
        <v>151561.63881401671</v>
      </c>
      <c r="CF50" s="299">
        <f t="shared" si="209"/>
        <v>86602.544111617637</v>
      </c>
      <c r="CG50" s="299">
        <v>11491.486073674774</v>
      </c>
      <c r="CH50" s="300">
        <f t="shared" si="210"/>
        <v>53467.608628724302</v>
      </c>
      <c r="CI50" s="297">
        <v>8.9883750000000049</v>
      </c>
      <c r="CJ50" s="298">
        <f t="shared" si="177"/>
        <v>6.8373220358425607E-2</v>
      </c>
      <c r="CK50" s="299">
        <v>153119.21120335991</v>
      </c>
      <c r="CL50" s="299">
        <v>90205.829111617611</v>
      </c>
      <c r="CM50" s="299">
        <v>17294.397485641162</v>
      </c>
      <c r="CN50" s="300">
        <f t="shared" si="211"/>
        <v>45618.984606101134</v>
      </c>
      <c r="CO50" s="297">
        <v>6.7499999999999911</v>
      </c>
      <c r="CP50" s="298">
        <f t="shared" si="178"/>
        <v>5.3952316942286305E-2</v>
      </c>
      <c r="CQ50" s="299">
        <v>151988.00888888925</v>
      </c>
      <c r="CR50" s="261">
        <f t="shared" si="223"/>
        <v>91015.829111617611</v>
      </c>
      <c r="CS50" s="261">
        <v>21130.595555555577</v>
      </c>
      <c r="CT50" s="300">
        <f t="shared" si="212"/>
        <v>39841.584221716061</v>
      </c>
      <c r="CU50" s="249">
        <v>7.4509999999999952</v>
      </c>
      <c r="CV50" s="250">
        <f t="shared" si="180"/>
        <v>6.5046314180419493E-2</v>
      </c>
      <c r="CW50" s="261">
        <v>161004.46651456208</v>
      </c>
      <c r="CX50" s="261">
        <f>CR50</f>
        <v>91015.829111617611</v>
      </c>
      <c r="CY50" s="261">
        <v>17810.429472554028</v>
      </c>
      <c r="CZ50" s="251">
        <f t="shared" si="182"/>
        <v>52178.207930390447</v>
      </c>
      <c r="DA50" s="249">
        <v>9.0750000000000011</v>
      </c>
      <c r="DB50" s="250">
        <f t="shared" si="183"/>
        <v>8.3609575069881953E-2</v>
      </c>
      <c r="DC50" s="261">
        <v>157628.27438016524</v>
      </c>
      <c r="DD50" s="261">
        <f t="shared" si="224"/>
        <v>96307.829111617611</v>
      </c>
      <c r="DE50" s="261">
        <v>16523.946005509635</v>
      </c>
      <c r="DF50" s="251">
        <f t="shared" si="184"/>
        <v>44796.499263037993</v>
      </c>
      <c r="DG50" s="249">
        <v>9.9580000000000037</v>
      </c>
      <c r="DH50" s="250">
        <f t="shared" si="185"/>
        <v>5.4086174353393079E-2</v>
      </c>
      <c r="DI50" s="261">
        <v>153382.499497891</v>
      </c>
      <c r="DJ50" s="261">
        <f>DD50+2890*0.95</f>
        <v>99053.329111617611</v>
      </c>
      <c r="DK50" s="261">
        <v>12616.204057039562</v>
      </c>
      <c r="DL50" s="251">
        <f t="shared" si="186"/>
        <v>41712.966329233823</v>
      </c>
      <c r="DM50" s="249">
        <v>8.9568750000000037</v>
      </c>
      <c r="DN50" s="250">
        <f t="shared" si="187"/>
        <v>4.3543501934981708E-2</v>
      </c>
      <c r="DO50" s="261">
        <v>154586.20668480903</v>
      </c>
      <c r="DP50" s="261">
        <f>DJ50+2890*0.95</f>
        <v>101798.82911161761</v>
      </c>
      <c r="DQ50" s="261">
        <v>14944.111646081912</v>
      </c>
      <c r="DR50" s="251">
        <f t="shared" si="188"/>
        <v>37843.265927109511</v>
      </c>
      <c r="DS50" s="249">
        <v>6.089999999999991</v>
      </c>
      <c r="DT50" s="250">
        <f t="shared" si="189"/>
        <v>2.964779731227378E-2</v>
      </c>
      <c r="DU50" s="261">
        <v>158967.31362890021</v>
      </c>
      <c r="DV50" s="261">
        <f t="shared" si="216"/>
        <v>101798.82911161761</v>
      </c>
      <c r="DW50" s="261">
        <v>15954.899835796408</v>
      </c>
      <c r="DX50" s="251">
        <f t="shared" si="190"/>
        <v>41213.584681486194</v>
      </c>
      <c r="DY50" s="249">
        <f>'Net NR'!DD50</f>
        <v>8.7299999999999951</v>
      </c>
      <c r="DZ50" s="250">
        <f t="shared" si="191"/>
        <v>4.2239586417839224E-2</v>
      </c>
      <c r="EA50" s="261">
        <f>'Net NR'!DF50</f>
        <v>153717.83963344805</v>
      </c>
      <c r="EB50" s="261">
        <f>DV50+2797</f>
        <v>104595.82911161761</v>
      </c>
      <c r="EC50" s="261">
        <f>'Net NR'!DG50</f>
        <v>18139.7857961054</v>
      </c>
      <c r="ED50" s="251">
        <f t="shared" si="217"/>
        <v>30982.224725725038</v>
      </c>
      <c r="EE50" s="249">
        <f>'Net NR'!DI50</f>
        <v>5.8349999999999973</v>
      </c>
      <c r="EF50" s="250">
        <f t="shared" si="193"/>
        <v>4.3679998311189759E-2</v>
      </c>
      <c r="EG50" s="261">
        <f>'Net NR'!DK50</f>
        <v>155805.80119965738</v>
      </c>
      <c r="EH50" s="261">
        <f>EB50+3265</f>
        <v>107860.82911161761</v>
      </c>
      <c r="EI50" s="261">
        <f>'Net NR'!DL50</f>
        <v>14937.859468723227</v>
      </c>
      <c r="EJ50" s="251">
        <f t="shared" si="194"/>
        <v>33007.11261931654</v>
      </c>
      <c r="EK50" s="249">
        <v>6.5914999999999946</v>
      </c>
      <c r="EL50" s="250">
        <f t="shared" si="219"/>
        <v>5.8154071631982475E-2</v>
      </c>
      <c r="EM50" s="261">
        <v>153735.89622999344</v>
      </c>
      <c r="EN50" s="261">
        <v>98413</v>
      </c>
      <c r="EO50" s="261">
        <v>13539.502389440957</v>
      </c>
      <c r="EP50" s="251">
        <f t="shared" si="195"/>
        <v>41783.393840552482</v>
      </c>
    </row>
    <row r="51" spans="1:146" s="301" customFormat="1">
      <c r="A51" s="319" t="s">
        <v>189</v>
      </c>
      <c r="B51" s="299"/>
      <c r="C51" s="298">
        <f t="shared" si="163"/>
        <v>0</v>
      </c>
      <c r="D51" s="299">
        <v>0</v>
      </c>
      <c r="E51" s="299"/>
      <c r="F51" s="299"/>
      <c r="G51" s="300">
        <f t="shared" si="196"/>
        <v>0</v>
      </c>
      <c r="H51" s="297"/>
      <c r="I51" s="298">
        <f t="shared" si="164"/>
        <v>0</v>
      </c>
      <c r="J51" s="320">
        <v>0</v>
      </c>
      <c r="K51" s="299"/>
      <c r="L51" s="299"/>
      <c r="M51" s="300">
        <f t="shared" si="197"/>
        <v>0</v>
      </c>
      <c r="N51" s="297"/>
      <c r="O51" s="298">
        <f t="shared" si="165"/>
        <v>0</v>
      </c>
      <c r="P51" s="299">
        <v>0</v>
      </c>
      <c r="Q51" s="299"/>
      <c r="R51" s="299"/>
      <c r="S51" s="300">
        <f t="shared" si="198"/>
        <v>0</v>
      </c>
      <c r="T51" s="297"/>
      <c r="U51" s="298">
        <f t="shared" si="166"/>
        <v>0</v>
      </c>
      <c r="V51" s="299">
        <v>0</v>
      </c>
      <c r="W51" s="299"/>
      <c r="X51" s="299"/>
      <c r="Y51" s="300">
        <f t="shared" si="199"/>
        <v>0</v>
      </c>
      <c r="Z51" s="297">
        <v>4.4496000000000118</v>
      </c>
      <c r="AA51" s="298">
        <f t="shared" si="167"/>
        <v>4.9135998308244638E-2</v>
      </c>
      <c r="AB51" s="299">
        <v>159557.54048932737</v>
      </c>
      <c r="AC51" s="299">
        <v>97674.823718941654</v>
      </c>
      <c r="AD51" s="299">
        <v>527.30631097489845</v>
      </c>
      <c r="AE51" s="300">
        <f t="shared" si="200"/>
        <v>61355.410459410814</v>
      </c>
      <c r="AF51" s="297">
        <v>4.6224000000000096</v>
      </c>
      <c r="AG51" s="298">
        <f t="shared" si="168"/>
        <v>4.470052441536581E-2</v>
      </c>
      <c r="AH51" s="299">
        <v>159500.86148659964</v>
      </c>
      <c r="AI51" s="299">
        <v>97674.823718941654</v>
      </c>
      <c r="AJ51" s="299">
        <v>17957.410032809879</v>
      </c>
      <c r="AK51" s="300">
        <f t="shared" si="201"/>
        <v>43868.627734848102</v>
      </c>
      <c r="AL51" s="321">
        <v>2.3004000000000007</v>
      </c>
      <c r="AM51" s="298">
        <f t="shared" si="169"/>
        <v>1.4096413117311695E-2</v>
      </c>
      <c r="AN51" s="299">
        <v>160381.76104285935</v>
      </c>
      <c r="AO51" s="299">
        <v>93683.493518941657</v>
      </c>
      <c r="AP51" s="299">
        <v>23521.058556335396</v>
      </c>
      <c r="AQ51" s="300">
        <f t="shared" si="202"/>
        <v>43177.208967582294</v>
      </c>
      <c r="AR51" s="297">
        <v>1.2887999999999988</v>
      </c>
      <c r="AS51" s="298">
        <f t="shared" si="170"/>
        <v>5.58530000350337E-3</v>
      </c>
      <c r="AT51" s="299">
        <v>144354.87828281362</v>
      </c>
      <c r="AU51" s="299">
        <v>92835.961118941661</v>
      </c>
      <c r="AV51" s="299">
        <v>8110.1234721368992</v>
      </c>
      <c r="AW51" s="300">
        <f t="shared" si="203"/>
        <v>43408.79369173506</v>
      </c>
      <c r="AX51" s="297">
        <v>0.28260000000000007</v>
      </c>
      <c r="AY51" s="298">
        <f t="shared" si="171"/>
        <v>1.3908698695062846E-3</v>
      </c>
      <c r="AZ51" s="299">
        <v>158805.06015569705</v>
      </c>
      <c r="BA51" s="299">
        <v>92835.961118941661</v>
      </c>
      <c r="BB51" s="299">
        <v>4146.0721868365199</v>
      </c>
      <c r="BC51" s="300">
        <f t="shared" si="204"/>
        <v>61823.026849918868</v>
      </c>
      <c r="BD51" s="321">
        <v>2.1824999999999992</v>
      </c>
      <c r="BE51" s="298">
        <f t="shared" si="172"/>
        <v>1.1928248510915989E-2</v>
      </c>
      <c r="BF51" s="299">
        <v>139473.07674684998</v>
      </c>
      <c r="BG51" s="299">
        <v>92835.961118941661</v>
      </c>
      <c r="BH51" s="299">
        <v>38696.137457044686</v>
      </c>
      <c r="BI51" s="300">
        <f t="shared" si="205"/>
        <v>7940.9781708636365</v>
      </c>
      <c r="BJ51" s="297">
        <v>0.70650000000000002</v>
      </c>
      <c r="BK51" s="298">
        <f t="shared" si="173"/>
        <v>9.0846462668142131E-3</v>
      </c>
      <c r="BL51" s="299">
        <v>145184.72753007777</v>
      </c>
      <c r="BM51" s="299">
        <v>89088.131318941654</v>
      </c>
      <c r="BN51" s="299">
        <v>2200.3963198867677</v>
      </c>
      <c r="BO51" s="300">
        <f t="shared" si="206"/>
        <v>53896.199891249344</v>
      </c>
      <c r="BP51" s="297">
        <v>3.8198999999999983</v>
      </c>
      <c r="BQ51" s="298">
        <f t="shared" si="174"/>
        <v>4.6460900304460581E-2</v>
      </c>
      <c r="BR51" s="299">
        <v>141774.48886096501</v>
      </c>
      <c r="BS51" s="299">
        <v>89088.131318941654</v>
      </c>
      <c r="BT51" s="299">
        <v>29279.858111468893</v>
      </c>
      <c r="BU51" s="300">
        <f t="shared" si="207"/>
        <v>23406.499430554461</v>
      </c>
      <c r="BV51" s="322"/>
      <c r="BW51" s="297">
        <v>0.62939999999999996</v>
      </c>
      <c r="BX51" s="298">
        <f t="shared" si="175"/>
        <v>8.1251799248414237E-3</v>
      </c>
      <c r="BY51" s="299">
        <v>139529.91738163325</v>
      </c>
      <c r="BZ51" s="299">
        <v>102196.08251704165</v>
      </c>
      <c r="CA51" s="299">
        <v>4530.537019383537</v>
      </c>
      <c r="CB51" s="300">
        <f t="shared" si="208"/>
        <v>32803.297845208057</v>
      </c>
      <c r="CC51" s="297">
        <v>1.6873499999999986</v>
      </c>
      <c r="CD51" s="298">
        <f t="shared" si="176"/>
        <v>1.936583448343137E-2</v>
      </c>
      <c r="CE51" s="299">
        <v>137210.89282010266</v>
      </c>
      <c r="CF51" s="299">
        <f t="shared" si="209"/>
        <v>102196.08251704165</v>
      </c>
      <c r="CG51" s="299">
        <v>37067.437105520548</v>
      </c>
      <c r="CH51" s="300">
        <f t="shared" si="210"/>
        <v>-2052.6268024595411</v>
      </c>
      <c r="CI51" s="297">
        <v>20.446200000000001</v>
      </c>
      <c r="CJ51" s="298">
        <f t="shared" si="177"/>
        <v>0.15553117644651462</v>
      </c>
      <c r="CK51" s="299">
        <v>136819.11553247063</v>
      </c>
      <c r="CL51" s="299">
        <v>104923.35501704166</v>
      </c>
      <c r="CM51" s="299">
        <v>49513.352114329304</v>
      </c>
      <c r="CN51" s="300">
        <f t="shared" si="211"/>
        <v>-17617.591598900326</v>
      </c>
      <c r="CO51" s="297">
        <v>2.1325499999999993</v>
      </c>
      <c r="CP51" s="298">
        <f t="shared" si="178"/>
        <v>1.7045335332633003E-2</v>
      </c>
      <c r="CQ51" s="299">
        <v>136613.48620196481</v>
      </c>
      <c r="CR51" s="261">
        <f t="shared" si="223"/>
        <v>105733.35501704166</v>
      </c>
      <c r="CS51" s="261">
        <v>42019.976084968708</v>
      </c>
      <c r="CT51" s="300">
        <f t="shared" si="212"/>
        <v>-11139.844900045551</v>
      </c>
      <c r="CU51" s="249">
        <v>0.99539999999999984</v>
      </c>
      <c r="CV51" s="250">
        <f t="shared" si="180"/>
        <v>8.6897196530921466E-3</v>
      </c>
      <c r="CW51" s="261">
        <v>136001.51697809924</v>
      </c>
      <c r="CX51" s="261">
        <f>CR51</f>
        <v>105733.35501704166</v>
      </c>
      <c r="CY51" s="261">
        <v>44126.994173196712</v>
      </c>
      <c r="CZ51" s="251">
        <f t="shared" si="182"/>
        <v>-13858.832212139125</v>
      </c>
      <c r="DA51" s="249">
        <v>7.5299999999999992E-2</v>
      </c>
      <c r="DB51" s="250">
        <f t="shared" si="183"/>
        <v>6.9375217661290459E-4</v>
      </c>
      <c r="DC51" s="261">
        <v>140248.47277556441</v>
      </c>
      <c r="DD51" s="261">
        <f t="shared" si="224"/>
        <v>111025.35501704166</v>
      </c>
      <c r="DE51" s="261">
        <v>690.17264276228423</v>
      </c>
      <c r="DF51" s="251">
        <f t="shared" si="184"/>
        <v>28532.945115760471</v>
      </c>
      <c r="DG51" s="249">
        <v>0.126</v>
      </c>
      <c r="DH51" s="250">
        <f t="shared" si="185"/>
        <v>6.8436010931186236E-4</v>
      </c>
      <c r="DI51" s="261">
        <v>136001.58730158725</v>
      </c>
      <c r="DJ51" s="261">
        <f>DD51+2890*0.95</f>
        <v>113770.85501704166</v>
      </c>
      <c r="DK51" s="261">
        <v>-2.3015873015873018</v>
      </c>
      <c r="DL51" s="251">
        <f t="shared" si="186"/>
        <v>22233.033871847179</v>
      </c>
      <c r="DM51" s="249">
        <v>0.1134</v>
      </c>
      <c r="DN51" s="250">
        <f t="shared" si="187"/>
        <v>5.5128972096037099E-4</v>
      </c>
      <c r="DO51" s="261">
        <v>136001.58730158725</v>
      </c>
      <c r="DP51" s="261">
        <f>DJ51+2890*0.95</f>
        <v>116516.35501704166</v>
      </c>
      <c r="DQ51" s="261">
        <v>341.09347442680775</v>
      </c>
      <c r="DR51" s="251">
        <f t="shared" si="188"/>
        <v>19144.138810118784</v>
      </c>
      <c r="DS51" s="249">
        <v>1.5192000000000001</v>
      </c>
      <c r="DT51" s="250">
        <f t="shared" si="189"/>
        <v>7.3958840191800318E-3</v>
      </c>
      <c r="DU51" s="261">
        <v>139173.08451816745</v>
      </c>
      <c r="DV51" s="261">
        <f t="shared" si="216"/>
        <v>116516.35501704166</v>
      </c>
      <c r="DW51" s="261">
        <v>177.67245918904686</v>
      </c>
      <c r="DX51" s="251">
        <f t="shared" si="190"/>
        <v>22479.05704193675</v>
      </c>
      <c r="DY51" s="249">
        <f>'Net NR'!DD51</f>
        <v>0.2142</v>
      </c>
      <c r="DZ51" s="250">
        <f t="shared" si="191"/>
        <v>1.0363939760253342E-3</v>
      </c>
      <c r="EA51" s="261">
        <f>'Net NR'!DF51</f>
        <v>136001.58730158728</v>
      </c>
      <c r="EB51" s="261">
        <f>DV51+2797</f>
        <v>119313.35501704166</v>
      </c>
      <c r="EC51" s="261">
        <f>'Net NR'!DG51</f>
        <v>-2.1942110177404297</v>
      </c>
      <c r="ED51" s="251">
        <f t="shared" si="217"/>
        <v>16690.426495563363</v>
      </c>
      <c r="EE51" s="249">
        <f>'Net NR'!DI51</f>
        <v>0.51659999999999995</v>
      </c>
      <c r="EF51" s="250">
        <f t="shared" si="193"/>
        <v>3.8671957373711463E-3</v>
      </c>
      <c r="EG51" s="261">
        <f>'Net NR'!DK51</f>
        <v>140424.31281455673</v>
      </c>
      <c r="EH51" s="261">
        <f>EB51+3265</f>
        <v>122578.35501704166</v>
      </c>
      <c r="EI51" s="261">
        <f>'Net NR'!DL51</f>
        <v>9841.0569105691065</v>
      </c>
      <c r="EJ51" s="251">
        <f t="shared" si="194"/>
        <v>8004.9008869459685</v>
      </c>
      <c r="EK51" s="249"/>
      <c r="EL51" s="250">
        <f t="shared" si="219"/>
        <v>0</v>
      </c>
      <c r="EM51" s="261"/>
      <c r="EN51" s="389">
        <v>98770.218566100448</v>
      </c>
      <c r="EO51" s="261"/>
      <c r="EP51" s="251">
        <f t="shared" si="195"/>
        <v>-98770.218566100448</v>
      </c>
    </row>
    <row r="52" spans="1:146" s="301" customFormat="1">
      <c r="A52" s="319" t="s">
        <v>190</v>
      </c>
      <c r="B52" s="299"/>
      <c r="C52" s="298">
        <f t="shared" si="163"/>
        <v>0</v>
      </c>
      <c r="D52" s="299">
        <v>0</v>
      </c>
      <c r="E52" s="299"/>
      <c r="F52" s="299"/>
      <c r="G52" s="300">
        <f t="shared" si="196"/>
        <v>0</v>
      </c>
      <c r="H52" s="297">
        <v>2.937600000000002</v>
      </c>
      <c r="I52" s="298">
        <f t="shared" si="164"/>
        <v>4.1421772446046855E-2</v>
      </c>
      <c r="J52" s="320">
        <v>164958.11697870604</v>
      </c>
      <c r="K52" s="299">
        <v>94339.495269633233</v>
      </c>
      <c r="L52" s="299">
        <v>6386.3111131605374</v>
      </c>
      <c r="M52" s="300">
        <f t="shared" si="197"/>
        <v>64232.310595912262</v>
      </c>
      <c r="N52" s="297">
        <v>4.9392000000000156</v>
      </c>
      <c r="O52" s="298">
        <f t="shared" si="165"/>
        <v>5.6091116266247791E-2</v>
      </c>
      <c r="P52" s="299">
        <v>165266.0534347732</v>
      </c>
      <c r="Q52" s="299">
        <v>94339.495269633233</v>
      </c>
      <c r="R52" s="299">
        <v>6057.7719834625223</v>
      </c>
      <c r="S52" s="300">
        <f t="shared" si="198"/>
        <v>64868.786181677446</v>
      </c>
      <c r="T52" s="297">
        <v>4.9530000000000198</v>
      </c>
      <c r="U52" s="298">
        <f t="shared" si="166"/>
        <v>5.566532026945941E-2</v>
      </c>
      <c r="V52" s="299">
        <v>159493.76396009579</v>
      </c>
      <c r="W52" s="299">
        <v>96087.430269633231</v>
      </c>
      <c r="X52" s="299">
        <v>752.3234839824197</v>
      </c>
      <c r="Y52" s="300">
        <f t="shared" si="199"/>
        <v>62654.010206480139</v>
      </c>
      <c r="Z52" s="297">
        <v>4.5180000000000158</v>
      </c>
      <c r="AA52" s="298">
        <f t="shared" si="167"/>
        <v>4.9891325143080159E-2</v>
      </c>
      <c r="AB52" s="299">
        <v>159391.34115629352</v>
      </c>
      <c r="AC52" s="299">
        <v>92547.439283691463</v>
      </c>
      <c r="AD52" s="299">
        <v>709.79332577715013</v>
      </c>
      <c r="AE52" s="300">
        <f t="shared" si="200"/>
        <v>66134.108546824908</v>
      </c>
      <c r="AF52" s="297">
        <v>7.6176126000000259</v>
      </c>
      <c r="AG52" s="298">
        <f t="shared" si="168"/>
        <v>7.3665472051985689E-2</v>
      </c>
      <c r="AH52" s="299">
        <v>159124.73456187278</v>
      </c>
      <c r="AI52" s="299">
        <v>92547.439283691463</v>
      </c>
      <c r="AJ52" s="299">
        <v>20753.867011987324</v>
      </c>
      <c r="AK52" s="300">
        <f t="shared" si="201"/>
        <v>45823.428266193994</v>
      </c>
      <c r="AL52" s="321">
        <v>5.6001000000000012</v>
      </c>
      <c r="AM52" s="298">
        <f t="shared" si="169"/>
        <v>3.4316346330315259E-2</v>
      </c>
      <c r="AN52" s="299">
        <v>144973.05904540769</v>
      </c>
      <c r="AO52" s="299">
        <v>88417.820783691466</v>
      </c>
      <c r="AP52" s="299">
        <v>8509.3464811662525</v>
      </c>
      <c r="AQ52" s="300">
        <f t="shared" si="202"/>
        <v>48045.891780549966</v>
      </c>
      <c r="AR52" s="297">
        <v>2.9933999999999963</v>
      </c>
      <c r="AS52" s="298">
        <f t="shared" si="170"/>
        <v>1.2972561320986174E-2</v>
      </c>
      <c r="AT52" s="299">
        <v>137483.12433291867</v>
      </c>
      <c r="AU52" s="299">
        <v>87540.923783691469</v>
      </c>
      <c r="AV52" s="299">
        <v>1841.7646768497862</v>
      </c>
      <c r="AW52" s="300">
        <f t="shared" si="203"/>
        <v>48100.435872377413</v>
      </c>
      <c r="AX52" s="297">
        <v>4.3200000000000002E-2</v>
      </c>
      <c r="AY52" s="298">
        <f t="shared" si="171"/>
        <v>2.1261705011561033E-4</v>
      </c>
      <c r="AZ52" s="299">
        <v>158915.04629629626</v>
      </c>
      <c r="BA52" s="299">
        <v>87540.923783691469</v>
      </c>
      <c r="BB52" s="299">
        <v>1487.9629629629569</v>
      </c>
      <c r="BC52" s="300">
        <f t="shared" si="204"/>
        <v>69886.15954964183</v>
      </c>
      <c r="BD52" s="321">
        <v>30.720000000000006</v>
      </c>
      <c r="BE52" s="298">
        <f t="shared" si="172"/>
        <v>0.16789727113646707</v>
      </c>
      <c r="BF52" s="299">
        <v>136956.31477864584</v>
      </c>
      <c r="BG52" s="299">
        <v>87540.923783691469</v>
      </c>
      <c r="BH52" s="299">
        <v>42533.419921874913</v>
      </c>
      <c r="BI52" s="300">
        <f t="shared" si="205"/>
        <v>6881.9710730794613</v>
      </c>
      <c r="BJ52" s="297">
        <v>3.3305999999999951</v>
      </c>
      <c r="BK52" s="298">
        <f t="shared" si="173"/>
        <v>4.2827067029372078E-2</v>
      </c>
      <c r="BL52" s="299">
        <v>136041.08268780416</v>
      </c>
      <c r="BM52" s="299">
        <v>83851.666883691461</v>
      </c>
      <c r="BN52" s="299">
        <v>519.26980123701514</v>
      </c>
      <c r="BO52" s="300">
        <f t="shared" si="206"/>
        <v>51670.146002875677</v>
      </c>
      <c r="BP52" s="297">
        <v>4.253999999999996</v>
      </c>
      <c r="BQ52" s="298">
        <f t="shared" si="174"/>
        <v>5.1740796852057701E-2</v>
      </c>
      <c r="BR52" s="299">
        <v>148936.83121767757</v>
      </c>
      <c r="BS52" s="299">
        <v>83851.666883691461</v>
      </c>
      <c r="BT52" s="299">
        <v>675.81570286788951</v>
      </c>
      <c r="BU52" s="300">
        <f t="shared" si="207"/>
        <v>64409.348631118213</v>
      </c>
      <c r="BV52" s="322"/>
      <c r="BW52" s="297">
        <v>3.924300000000005</v>
      </c>
      <c r="BX52" s="298">
        <f t="shared" si="175"/>
        <v>5.0660380646735365E-2</v>
      </c>
      <c r="BY52" s="299">
        <v>157861.04528196086</v>
      </c>
      <c r="BZ52" s="299">
        <v>94063.362756918475</v>
      </c>
      <c r="CA52" s="299">
        <v>1527.9591264684143</v>
      </c>
      <c r="CB52" s="300">
        <f t="shared" si="208"/>
        <v>62269.723398573973</v>
      </c>
      <c r="CC52" s="297">
        <v>4.0629000000000115</v>
      </c>
      <c r="CD52" s="298">
        <f t="shared" si="176"/>
        <v>4.6630188711727617E-2</v>
      </c>
      <c r="CE52" s="299">
        <v>159292.04509094454</v>
      </c>
      <c r="CF52" s="299">
        <f t="shared" si="209"/>
        <v>94063.362756918475</v>
      </c>
      <c r="CG52" s="299">
        <v>860.86785301139241</v>
      </c>
      <c r="CH52" s="300">
        <f t="shared" si="210"/>
        <v>64367.81448101467</v>
      </c>
      <c r="CI52" s="297">
        <v>3.7392000000000074</v>
      </c>
      <c r="CJ52" s="298">
        <f t="shared" si="177"/>
        <v>2.8443533515705048E-2</v>
      </c>
      <c r="CK52" s="299">
        <v>159220.49368848919</v>
      </c>
      <c r="CL52" s="299">
        <v>97666.647756918464</v>
      </c>
      <c r="CM52" s="299">
        <v>14131.921266581076</v>
      </c>
      <c r="CN52" s="300">
        <f t="shared" si="211"/>
        <v>47421.924664989652</v>
      </c>
      <c r="CO52" s="297">
        <v>4.6107000000000138</v>
      </c>
      <c r="CP52" s="298">
        <f t="shared" si="178"/>
        <v>3.6853029292711191E-2</v>
      </c>
      <c r="CQ52" s="299">
        <v>159125.51239508053</v>
      </c>
      <c r="CR52" s="261">
        <f t="shared" si="223"/>
        <v>98476.647756918464</v>
      </c>
      <c r="CS52" s="261">
        <v>13974.461578502149</v>
      </c>
      <c r="CT52" s="300">
        <f t="shared" si="212"/>
        <v>46674.403059659919</v>
      </c>
      <c r="CU52" s="249">
        <v>3.4122000000000057</v>
      </c>
      <c r="CV52" s="250">
        <f t="shared" si="180"/>
        <v>2.97880865986348E-2</v>
      </c>
      <c r="CW52" s="261">
        <v>159157.20063302244</v>
      </c>
      <c r="CX52" s="261">
        <f>CR52</f>
        <v>98476.647756918464</v>
      </c>
      <c r="CY52" s="261">
        <v>13871.675165582306</v>
      </c>
      <c r="CZ52" s="251">
        <f t="shared" si="182"/>
        <v>46808.877710521672</v>
      </c>
      <c r="DA52" s="249">
        <v>2.9088000000000029</v>
      </c>
      <c r="DB52" s="250">
        <f t="shared" si="183"/>
        <v>2.6799287268680205E-2</v>
      </c>
      <c r="DC52" s="261">
        <v>158958.463971397</v>
      </c>
      <c r="DD52" s="261">
        <f t="shared" si="224"/>
        <v>103768.64775691846</v>
      </c>
      <c r="DE52" s="261">
        <v>2988.8441969196892</v>
      </c>
      <c r="DF52" s="251">
        <f t="shared" si="184"/>
        <v>52200.972017558845</v>
      </c>
      <c r="DG52" s="249">
        <v>5.259600000000014</v>
      </c>
      <c r="DH52" s="250">
        <f t="shared" si="185"/>
        <v>2.8567146277275246E-2</v>
      </c>
      <c r="DI52" s="261">
        <v>158503.14472583425</v>
      </c>
      <c r="DJ52" s="261">
        <f>DD52+2890*0.95</f>
        <v>106514.14775691846</v>
      </c>
      <c r="DK52" s="261">
        <v>650.23195680279684</v>
      </c>
      <c r="DL52" s="251">
        <f t="shared" si="186"/>
        <v>51338.765012112992</v>
      </c>
      <c r="DM52" s="249">
        <v>4.0605000000000073</v>
      </c>
      <c r="DN52" s="250">
        <f t="shared" si="187"/>
        <v>1.9739963950260939E-2</v>
      </c>
      <c r="DO52" s="261">
        <v>158675.83056273829</v>
      </c>
      <c r="DP52" s="261">
        <f>DJ52+2890*0.95</f>
        <v>109259.64775691846</v>
      </c>
      <c r="DQ52" s="261">
        <v>556.36990518408982</v>
      </c>
      <c r="DR52" s="251">
        <f t="shared" si="188"/>
        <v>48859.812900635741</v>
      </c>
      <c r="DS52" s="249">
        <v>3.0498000000000043</v>
      </c>
      <c r="DT52" s="250">
        <f t="shared" si="189"/>
        <v>1.4847266378156459E-2</v>
      </c>
      <c r="DU52" s="261">
        <v>158776.63453341188</v>
      </c>
      <c r="DV52" s="261">
        <f t="shared" si="216"/>
        <v>109259.64775691846</v>
      </c>
      <c r="DW52" s="261">
        <v>1414.1976523050671</v>
      </c>
      <c r="DX52" s="251">
        <f t="shared" si="190"/>
        <v>48102.789124188348</v>
      </c>
      <c r="DY52" s="249">
        <f>'Net NR'!DD52</f>
        <v>3.8448000000000104</v>
      </c>
      <c r="DZ52" s="250">
        <f t="shared" si="191"/>
        <v>1.8602836410001003E-2</v>
      </c>
      <c r="EA52" s="261">
        <f>'Net NR'!DF52</f>
        <v>158893.1439866829</v>
      </c>
      <c r="EB52" s="261">
        <f>DV52+2797</f>
        <v>112056.64775691846</v>
      </c>
      <c r="EC52" s="261">
        <f>'Net NR'!DG52</f>
        <v>4572.2690387016019</v>
      </c>
      <c r="ED52" s="251">
        <f t="shared" si="217"/>
        <v>42264.227191062833</v>
      </c>
      <c r="EE52" s="249">
        <f>'Net NR'!DI52</f>
        <v>2.7648000000000028</v>
      </c>
      <c r="EF52" s="250">
        <f t="shared" si="193"/>
        <v>2.0696908197219817E-2</v>
      </c>
      <c r="EG52" s="261">
        <f>'Net NR'!DK52</f>
        <v>159025.86805555547</v>
      </c>
      <c r="EH52" s="261">
        <f>EB52+3265</f>
        <v>115321.64775691846</v>
      </c>
      <c r="EI52" s="261">
        <f>'Net NR'!DL52</f>
        <v>2546.8496817129612</v>
      </c>
      <c r="EJ52" s="251">
        <f t="shared" si="194"/>
        <v>41157.370616924047</v>
      </c>
      <c r="EK52" s="249">
        <v>2.5341000000000009</v>
      </c>
      <c r="EL52" s="250">
        <f t="shared" si="219"/>
        <v>2.2357313649792456E-2</v>
      </c>
      <c r="EM52" s="261">
        <v>158975.00493271774</v>
      </c>
      <c r="EN52" s="261">
        <v>101097</v>
      </c>
      <c r="EO52" s="261">
        <v>2597.9400970758848</v>
      </c>
      <c r="EP52" s="251">
        <f t="shared" si="195"/>
        <v>55280.064835641853</v>
      </c>
    </row>
    <row r="53" spans="1:146" s="301" customFormat="1">
      <c r="A53" s="319" t="s">
        <v>191</v>
      </c>
      <c r="B53" s="299"/>
      <c r="C53" s="298">
        <f t="shared" si="163"/>
        <v>0</v>
      </c>
      <c r="D53" s="299">
        <v>0</v>
      </c>
      <c r="E53" s="299"/>
      <c r="F53" s="299"/>
      <c r="G53" s="300">
        <f t="shared" si="196"/>
        <v>0</v>
      </c>
      <c r="H53" s="297"/>
      <c r="I53" s="298">
        <f t="shared" si="164"/>
        <v>0</v>
      </c>
      <c r="J53" s="320">
        <v>0</v>
      </c>
      <c r="K53" s="299"/>
      <c r="L53" s="299"/>
      <c r="M53" s="300">
        <f t="shared" si="197"/>
        <v>0</v>
      </c>
      <c r="N53" s="323"/>
      <c r="O53" s="298">
        <f t="shared" si="165"/>
        <v>0</v>
      </c>
      <c r="P53" s="299">
        <v>0</v>
      </c>
      <c r="Q53" s="299"/>
      <c r="R53" s="299"/>
      <c r="S53" s="300">
        <f t="shared" si="198"/>
        <v>0</v>
      </c>
      <c r="T53" s="297">
        <v>1.7204999999999986</v>
      </c>
      <c r="U53" s="298">
        <f t="shared" si="166"/>
        <v>1.9336196956108311E-2</v>
      </c>
      <c r="V53" s="299">
        <v>152442.10981295508</v>
      </c>
      <c r="W53" s="299">
        <v>106600.67407863223</v>
      </c>
      <c r="X53" s="299">
        <v>741.53439883109559</v>
      </c>
      <c r="Y53" s="300">
        <f t="shared" si="199"/>
        <v>45099.901335491755</v>
      </c>
      <c r="Z53" s="297">
        <v>6.3299999999999903</v>
      </c>
      <c r="AA53" s="298">
        <f t="shared" si="167"/>
        <v>6.9900860592230149E-2</v>
      </c>
      <c r="AB53" s="299">
        <v>152479.56646347581</v>
      </c>
      <c r="AC53" s="299">
        <v>104401.38712632454</v>
      </c>
      <c r="AD53" s="299">
        <v>328.0757129391456</v>
      </c>
      <c r="AE53" s="300">
        <f t="shared" si="200"/>
        <v>47750.103624212134</v>
      </c>
      <c r="AF53" s="324">
        <v>2.2894999999999999</v>
      </c>
      <c r="AG53" s="298">
        <f t="shared" si="168"/>
        <v>2.2140414211011553E-2</v>
      </c>
      <c r="AH53" s="299">
        <v>152503.92494719446</v>
      </c>
      <c r="AI53" s="299">
        <v>104401.38712632454</v>
      </c>
      <c r="AJ53" s="299">
        <v>692.81132460986009</v>
      </c>
      <c r="AK53" s="300">
        <f t="shared" si="201"/>
        <v>47409.726496260068</v>
      </c>
      <c r="AL53" s="324">
        <v>5.5799999999999956</v>
      </c>
      <c r="AM53" s="298">
        <f t="shared" si="169"/>
        <v>3.4193177358111275E-2</v>
      </c>
      <c r="AN53" s="299">
        <v>152763.9587596363</v>
      </c>
      <c r="AO53" s="299">
        <v>100410.05692632454</v>
      </c>
      <c r="AP53" s="299">
        <v>15262.220537805333</v>
      </c>
      <c r="AQ53" s="300">
        <f t="shared" si="202"/>
        <v>37091.681295506423</v>
      </c>
      <c r="AR53" s="297">
        <v>2.6760000000000002</v>
      </c>
      <c r="AS53" s="298">
        <f t="shared" si="170"/>
        <v>1.1597038182320789E-2</v>
      </c>
      <c r="AT53" s="299">
        <v>152743.97133602574</v>
      </c>
      <c r="AU53" s="299">
        <v>99562.524526324545</v>
      </c>
      <c r="AV53" s="299">
        <v>14906.957405601472</v>
      </c>
      <c r="AW53" s="300">
        <f t="shared" si="203"/>
        <v>38274.489404099731</v>
      </c>
      <c r="AX53" s="297">
        <v>0.95760000000000034</v>
      </c>
      <c r="AY53" s="298">
        <f t="shared" si="171"/>
        <v>4.7130112775626972E-3</v>
      </c>
      <c r="AZ53" s="299">
        <v>147025.85630743517</v>
      </c>
      <c r="BA53" s="299">
        <v>99562.524526324545</v>
      </c>
      <c r="BB53" s="299">
        <v>652.16165413533838</v>
      </c>
      <c r="BC53" s="300">
        <f t="shared" si="204"/>
        <v>46811.170126975288</v>
      </c>
      <c r="BD53" s="324">
        <v>1.4328049999999992</v>
      </c>
      <c r="BE53" s="298">
        <f t="shared" si="172"/>
        <v>7.8308609886290868E-3</v>
      </c>
      <c r="BF53" s="299">
        <v>145555.1872027248</v>
      </c>
      <c r="BG53" s="299">
        <v>99562.524526324545</v>
      </c>
      <c r="BH53" s="299">
        <v>9008.3228352776623</v>
      </c>
      <c r="BI53" s="300">
        <f t="shared" si="205"/>
        <v>36984.339841122593</v>
      </c>
      <c r="BJ53" s="297">
        <v>1.5344999999999991</v>
      </c>
      <c r="BK53" s="298">
        <f t="shared" si="173"/>
        <v>1.9731620235564618E-2</v>
      </c>
      <c r="BL53" s="299">
        <v>151402.37210817862</v>
      </c>
      <c r="BM53" s="299">
        <v>95814.694726324538</v>
      </c>
      <c r="BN53" s="299">
        <v>12562.280873248623</v>
      </c>
      <c r="BO53" s="300">
        <f t="shared" si="206"/>
        <v>43025.39650860546</v>
      </c>
      <c r="BP53" s="297">
        <v>5.503495</v>
      </c>
      <c r="BQ53" s="298">
        <f t="shared" si="174"/>
        <v>6.693822679156454E-2</v>
      </c>
      <c r="BR53" s="299">
        <v>151989.32859937192</v>
      </c>
      <c r="BS53" s="299">
        <v>95814.694726324538</v>
      </c>
      <c r="BT53" s="299">
        <v>32971.887863984615</v>
      </c>
      <c r="BU53" s="300">
        <f t="shared" si="207"/>
        <v>23202.746009062765</v>
      </c>
      <c r="BV53" s="322"/>
      <c r="BW53" s="297">
        <v>1.8449999999999989</v>
      </c>
      <c r="BX53" s="298">
        <f t="shared" si="175"/>
        <v>2.381785344984496E-2</v>
      </c>
      <c r="BY53" s="299">
        <v>151583.82113821147</v>
      </c>
      <c r="BZ53" s="299">
        <v>107864.78298042456</v>
      </c>
      <c r="CA53" s="299">
        <v>26798.059620596228</v>
      </c>
      <c r="CB53" s="300">
        <f t="shared" si="208"/>
        <v>16920.978537190684</v>
      </c>
      <c r="CC53" s="297">
        <v>1.2149999999999999</v>
      </c>
      <c r="CD53" s="298">
        <f t="shared" si="176"/>
        <v>1.3944640351657409E-2</v>
      </c>
      <c r="CE53" s="299">
        <v>152406.18106995884</v>
      </c>
      <c r="CF53" s="299">
        <f t="shared" si="209"/>
        <v>107864.78298042456</v>
      </c>
      <c r="CG53" s="299">
        <v>31282.139917695473</v>
      </c>
      <c r="CH53" s="300">
        <f t="shared" si="210"/>
        <v>13259.25817183881</v>
      </c>
      <c r="CI53" s="297">
        <v>1.7849999999999986</v>
      </c>
      <c r="CJ53" s="298">
        <f t="shared" si="177"/>
        <v>1.3578227247949661E-2</v>
      </c>
      <c r="CK53" s="299">
        <v>151930.47058823536</v>
      </c>
      <c r="CL53" s="299">
        <v>111655.31748042454</v>
      </c>
      <c r="CM53" s="299">
        <v>32367.79831932778</v>
      </c>
      <c r="CN53" s="300">
        <f t="shared" si="211"/>
        <v>7907.3547884830441</v>
      </c>
      <c r="CO53" s="297">
        <v>1.0650000000000004</v>
      </c>
      <c r="CP53" s="298">
        <f t="shared" si="178"/>
        <v>8.5124766731162968E-3</v>
      </c>
      <c r="CQ53" s="299">
        <v>151794.99530516422</v>
      </c>
      <c r="CR53" s="261">
        <f t="shared" si="223"/>
        <v>112465.31748042454</v>
      </c>
      <c r="CS53" s="261">
        <v>31824.037558685439</v>
      </c>
      <c r="CT53" s="300">
        <f t="shared" si="212"/>
        <v>7505.6402660542481</v>
      </c>
      <c r="CU53" s="249">
        <v>0.61650000000000016</v>
      </c>
      <c r="CV53" s="250">
        <f t="shared" si="180"/>
        <v>5.3819692245643067E-3</v>
      </c>
      <c r="CW53" s="261">
        <v>151903.03325223026</v>
      </c>
      <c r="CX53" s="261">
        <f>CR53</f>
        <v>112465.31748042454</v>
      </c>
      <c r="CY53" s="261">
        <v>21263.682076236815</v>
      </c>
      <c r="CZ53" s="251">
        <f t="shared" si="182"/>
        <v>18174.033695568913</v>
      </c>
      <c r="DA53" s="249">
        <v>0.74749500000000024</v>
      </c>
      <c r="DB53" s="250">
        <f t="shared" si="183"/>
        <v>6.8868032305081459E-3</v>
      </c>
      <c r="DC53" s="261">
        <v>151857.32346035753</v>
      </c>
      <c r="DD53" s="261">
        <f t="shared" si="224"/>
        <v>117757.31748042454</v>
      </c>
      <c r="DE53" s="261">
        <v>29993.939758794353</v>
      </c>
      <c r="DF53" s="251">
        <f t="shared" si="184"/>
        <v>4106.066221138637</v>
      </c>
      <c r="DG53" s="249">
        <v>0.66000000000000014</v>
      </c>
      <c r="DH53" s="250">
        <f t="shared" si="185"/>
        <v>3.5847434297288038E-3</v>
      </c>
      <c r="DI53" s="261">
        <v>152517.51515151511</v>
      </c>
      <c r="DJ53" s="261">
        <f>DD53+2890*0.95</f>
        <v>120502.81748042454</v>
      </c>
      <c r="DK53" s="261">
        <v>2197.1060606060619</v>
      </c>
      <c r="DL53" s="251">
        <f t="shared" si="186"/>
        <v>29817.591610484509</v>
      </c>
      <c r="DM53" s="249">
        <v>0.16299999999999998</v>
      </c>
      <c r="DN53" s="250">
        <f t="shared" si="187"/>
        <v>7.9241820561323166E-4</v>
      </c>
      <c r="DO53" s="261">
        <v>151624.23312883437</v>
      </c>
      <c r="DP53" s="261">
        <f>DJ53+2890*0.95</f>
        <v>123248.31748042454</v>
      </c>
      <c r="DQ53" s="261">
        <v>-541.34969325154088</v>
      </c>
      <c r="DR53" s="251">
        <f t="shared" si="188"/>
        <v>28917.265341661376</v>
      </c>
      <c r="DS53" s="249">
        <v>0.105</v>
      </c>
      <c r="DT53" s="250">
        <f t="shared" si="189"/>
        <v>5.1116891917713479E-4</v>
      </c>
      <c r="DU53" s="261">
        <v>152179.04761904763</v>
      </c>
      <c r="DV53" s="261">
        <f t="shared" si="216"/>
        <v>123248.31748042454</v>
      </c>
      <c r="DW53" s="261">
        <v>-300.85714285713527</v>
      </c>
      <c r="DX53" s="251">
        <f t="shared" si="190"/>
        <v>29231.587281480231</v>
      </c>
      <c r="DY53" s="249">
        <f>'Net NR'!DD53</f>
        <v>2.7270000000000008</v>
      </c>
      <c r="DZ53" s="250">
        <f t="shared" si="191"/>
        <v>1.3194427509902365E-2</v>
      </c>
      <c r="EA53" s="261">
        <f>'Net NR'!DF53</f>
        <v>152358.23615694902</v>
      </c>
      <c r="EB53" s="261">
        <f>DV53+2797</f>
        <v>126045.31748042454</v>
      </c>
      <c r="EC53" s="261">
        <f>'Net NR'!DG53</f>
        <v>40116.321965529874</v>
      </c>
      <c r="ED53" s="251">
        <f t="shared" si="217"/>
        <v>-13803.403289005393</v>
      </c>
      <c r="EE53" s="249">
        <f>'Net NR'!DI53</f>
        <v>0.23750000000000004</v>
      </c>
      <c r="EF53" s="250">
        <f t="shared" si="193"/>
        <v>1.7778919621092672E-3</v>
      </c>
      <c r="EG53" s="261">
        <f>'Net NR'!DK53</f>
        <v>151816.46315789473</v>
      </c>
      <c r="EH53" s="261">
        <f>EB53+3265</f>
        <v>129310.31748042454</v>
      </c>
      <c r="EI53" s="261">
        <f>'Net NR'!DL53</f>
        <v>36085.894736842107</v>
      </c>
      <c r="EJ53" s="251">
        <f t="shared" si="194"/>
        <v>-13579.749059371912</v>
      </c>
      <c r="EK53" s="249"/>
      <c r="EL53" s="250">
        <f t="shared" si="219"/>
        <v>0</v>
      </c>
      <c r="EM53" s="261"/>
      <c r="EN53" s="261"/>
      <c r="EO53" s="261"/>
      <c r="EP53" s="251">
        <f t="shared" si="195"/>
        <v>0</v>
      </c>
    </row>
    <row r="54" spans="1:146" s="301" customFormat="1">
      <c r="A54" s="319" t="s">
        <v>192</v>
      </c>
      <c r="B54" s="299"/>
      <c r="C54" s="298">
        <f t="shared" si="163"/>
        <v>0</v>
      </c>
      <c r="D54" s="299">
        <v>0</v>
      </c>
      <c r="E54" s="299"/>
      <c r="F54" s="299"/>
      <c r="G54" s="300">
        <f t="shared" si="196"/>
        <v>0</v>
      </c>
      <c r="H54" s="297"/>
      <c r="I54" s="298">
        <f t="shared" si="164"/>
        <v>0</v>
      </c>
      <c r="J54" s="320">
        <v>0</v>
      </c>
      <c r="K54" s="299"/>
      <c r="L54" s="299"/>
      <c r="M54" s="300">
        <f t="shared" si="197"/>
        <v>0</v>
      </c>
      <c r="N54" s="323"/>
      <c r="O54" s="298">
        <f t="shared" si="165"/>
        <v>0</v>
      </c>
      <c r="P54" s="299">
        <v>0</v>
      </c>
      <c r="Q54" s="299"/>
      <c r="R54" s="299"/>
      <c r="S54" s="300">
        <f t="shared" si="198"/>
        <v>0</v>
      </c>
      <c r="T54" s="297">
        <v>1.6548000000000023</v>
      </c>
      <c r="U54" s="298">
        <f t="shared" si="166"/>
        <v>1.8597813846537692E-2</v>
      </c>
      <c r="V54" s="299">
        <v>139147.1245536544</v>
      </c>
      <c r="W54" s="299">
        <v>101337.78431424224</v>
      </c>
      <c r="X54" s="299">
        <v>885.14727543378478</v>
      </c>
      <c r="Y54" s="300">
        <f t="shared" si="199"/>
        <v>36924.192963978378</v>
      </c>
      <c r="Z54" s="297">
        <v>7.123450000000016</v>
      </c>
      <c r="AA54" s="298">
        <f t="shared" si="167"/>
        <v>7.8662762304221756E-2</v>
      </c>
      <c r="AB54" s="299">
        <v>138812.16582223441</v>
      </c>
      <c r="AC54" s="299">
        <v>98803.491266229146</v>
      </c>
      <c r="AD54" s="299">
        <v>2066.7222520545574</v>
      </c>
      <c r="AE54" s="300">
        <f t="shared" si="200"/>
        <v>37941.952303950711</v>
      </c>
      <c r="AF54" s="324">
        <v>4.914050000000012</v>
      </c>
      <c r="AG54" s="298">
        <f t="shared" si="168"/>
        <v>4.7520900831457345E-2</v>
      </c>
      <c r="AH54" s="299">
        <v>138817.50590631005</v>
      </c>
      <c r="AI54" s="299">
        <v>98803.491266229146</v>
      </c>
      <c r="AJ54" s="299">
        <v>1920.0425105370516</v>
      </c>
      <c r="AK54" s="300">
        <f t="shared" si="201"/>
        <v>38093.97212954385</v>
      </c>
      <c r="AL54" s="324">
        <v>2.8944000000000063</v>
      </c>
      <c r="AM54" s="298">
        <f t="shared" si="169"/>
        <v>1.7736331997368737E-2</v>
      </c>
      <c r="AN54" s="299">
        <v>138675.16010723897</v>
      </c>
      <c r="AO54" s="299">
        <v>94812.16106622915</v>
      </c>
      <c r="AP54" s="299">
        <v>2590.1614892186358</v>
      </c>
      <c r="AQ54" s="300">
        <f t="shared" si="202"/>
        <v>41272.837551791192</v>
      </c>
      <c r="AR54" s="297">
        <v>2.231400000000002</v>
      </c>
      <c r="AS54" s="298">
        <f t="shared" si="170"/>
        <v>9.6702656950787107E-3</v>
      </c>
      <c r="AT54" s="299">
        <v>138504.25707664862</v>
      </c>
      <c r="AU54" s="299">
        <v>93964.628666229153</v>
      </c>
      <c r="AV54" s="299">
        <v>2983.0954740674924</v>
      </c>
      <c r="AW54" s="300">
        <f t="shared" si="203"/>
        <v>41556.53293635197</v>
      </c>
      <c r="AX54" s="297">
        <v>2.4768000000000021</v>
      </c>
      <c r="AY54" s="298">
        <f t="shared" si="171"/>
        <v>1.2190044206628335E-2</v>
      </c>
      <c r="AZ54" s="299">
        <v>138536.19993540042</v>
      </c>
      <c r="BA54" s="299">
        <v>93964.628666229153</v>
      </c>
      <c r="BB54" s="299">
        <v>3515.3706395348804</v>
      </c>
      <c r="BC54" s="300">
        <f t="shared" si="204"/>
        <v>41056.200629636391</v>
      </c>
      <c r="BD54" s="324">
        <v>1.4184000000000008</v>
      </c>
      <c r="BE54" s="298">
        <f t="shared" si="172"/>
        <v>7.7521318157540682E-3</v>
      </c>
      <c r="BF54" s="299">
        <v>138304.54032712895</v>
      </c>
      <c r="BG54" s="299">
        <v>93964.628666229153</v>
      </c>
      <c r="BH54" s="299">
        <v>4784.9055273547629</v>
      </c>
      <c r="BI54" s="300">
        <f t="shared" si="205"/>
        <v>39555.006133545037</v>
      </c>
      <c r="BJ54" s="297">
        <v>1.6947000000000008</v>
      </c>
      <c r="BK54" s="298">
        <f t="shared" si="173"/>
        <v>2.1791578242562001E-2</v>
      </c>
      <c r="BL54" s="299">
        <v>138186.56399362703</v>
      </c>
      <c r="BM54" s="299">
        <v>90216.798866229161</v>
      </c>
      <c r="BN54" s="299">
        <v>3266.2418127102123</v>
      </c>
      <c r="BO54" s="300">
        <f t="shared" si="206"/>
        <v>44703.523314687656</v>
      </c>
      <c r="BP54" s="297">
        <v>2.563200000000001</v>
      </c>
      <c r="BQ54" s="298">
        <f t="shared" si="174"/>
        <v>3.1175836974892918E-2</v>
      </c>
      <c r="BR54" s="299">
        <v>137998.26388888891</v>
      </c>
      <c r="BS54" s="299">
        <v>90216.798866229161</v>
      </c>
      <c r="BT54" s="299">
        <v>2939.0371410736584</v>
      </c>
      <c r="BU54" s="300">
        <f t="shared" si="207"/>
        <v>44842.427881586089</v>
      </c>
      <c r="BV54" s="322"/>
      <c r="BW54" s="297">
        <v>1.8135000000000012</v>
      </c>
      <c r="BX54" s="298">
        <f t="shared" si="175"/>
        <v>2.3411207171433003E-2</v>
      </c>
      <c r="BY54" s="299">
        <v>138127.90736145561</v>
      </c>
      <c r="BZ54" s="299">
        <v>102249.34429296917</v>
      </c>
      <c r="CA54" s="299">
        <v>5202.2939068100295</v>
      </c>
      <c r="CB54" s="300">
        <f t="shared" si="208"/>
        <v>30676.269161676413</v>
      </c>
      <c r="CC54" s="297">
        <v>5.4504000000000028</v>
      </c>
      <c r="CD54" s="298">
        <f t="shared" si="176"/>
        <v>6.255462368121284E-2</v>
      </c>
      <c r="CE54" s="299">
        <v>138096.12138558642</v>
      </c>
      <c r="CF54" s="299">
        <f t="shared" si="209"/>
        <v>102249.34429296917</v>
      </c>
      <c r="CG54" s="299">
        <v>25880.694994862752</v>
      </c>
      <c r="CH54" s="300">
        <f t="shared" si="210"/>
        <v>9966.0820977545009</v>
      </c>
      <c r="CI54" s="297">
        <v>0.81199999999999994</v>
      </c>
      <c r="CJ54" s="298">
        <f t="shared" si="177"/>
        <v>6.1767621990673014E-3</v>
      </c>
      <c r="CK54" s="299">
        <v>138250.13546798029</v>
      </c>
      <c r="CL54" s="299">
        <v>106039.87879296916</v>
      </c>
      <c r="CM54" s="299">
        <v>22981.921182266011</v>
      </c>
      <c r="CN54" s="300">
        <f t="shared" si="211"/>
        <v>9228.3354927451182</v>
      </c>
      <c r="CO54" s="297">
        <v>0.23759999999999998</v>
      </c>
      <c r="CP54" s="298">
        <f t="shared" si="178"/>
        <v>1.8991215563684801E-3</v>
      </c>
      <c r="CQ54" s="299">
        <v>138301.01010101015</v>
      </c>
      <c r="CR54" s="261">
        <f t="shared" si="223"/>
        <v>106849.87879296916</v>
      </c>
      <c r="CS54" s="261">
        <v>24934.553872053875</v>
      </c>
      <c r="CT54" s="300">
        <f t="shared" si="212"/>
        <v>6516.5774359871139</v>
      </c>
      <c r="CU54" s="249">
        <v>7.8299999999999995E-2</v>
      </c>
      <c r="CV54" s="250">
        <f t="shared" si="180"/>
        <v>6.8354937596656136E-4</v>
      </c>
      <c r="CW54" s="261">
        <v>138031.54533844188</v>
      </c>
      <c r="CX54" s="261">
        <f>CR54</f>
        <v>106849.87879296916</v>
      </c>
      <c r="CY54" s="261">
        <v>9777.905491698597</v>
      </c>
      <c r="CZ54" s="251">
        <f t="shared" si="182"/>
        <v>21403.76105377412</v>
      </c>
      <c r="DA54" s="249">
        <v>3.5999999999999997E-2</v>
      </c>
      <c r="DB54" s="250">
        <f t="shared" si="183"/>
        <v>3.3167434738465561E-4</v>
      </c>
      <c r="DC54" s="261">
        <v>137972.50000000003</v>
      </c>
      <c r="DD54" s="261">
        <f t="shared" si="224"/>
        <v>112141.87879296916</v>
      </c>
      <c r="DE54" s="261">
        <v>-2.5000000000000004</v>
      </c>
      <c r="DF54" s="251">
        <f t="shared" si="184"/>
        <v>25833.121207030868</v>
      </c>
      <c r="DG54" s="249">
        <v>5.04E-2</v>
      </c>
      <c r="DH54" s="250">
        <f t="shared" si="185"/>
        <v>2.7374404372474493E-4</v>
      </c>
      <c r="DI54" s="261">
        <v>137972.42063492062</v>
      </c>
      <c r="DJ54" s="261">
        <f>DD54+2890*0.95</f>
        <v>114887.37879296916</v>
      </c>
      <c r="DK54" s="261">
        <v>2697.0238095238096</v>
      </c>
      <c r="DL54" s="251">
        <f t="shared" si="186"/>
        <v>20388.018032427652</v>
      </c>
      <c r="DM54" s="249">
        <v>1.44E-2</v>
      </c>
      <c r="DN54" s="250">
        <f t="shared" si="187"/>
        <v>7.000504393147569E-5</v>
      </c>
      <c r="DO54" s="261">
        <v>137972.22222222222</v>
      </c>
      <c r="DP54" s="261">
        <f>DJ54+2890*0.95</f>
        <v>117632.87879296916</v>
      </c>
      <c r="DQ54" s="261">
        <v>-2.7777777777777781</v>
      </c>
      <c r="DR54" s="251">
        <f t="shared" si="188"/>
        <v>20342.121207030836</v>
      </c>
      <c r="DS54" s="249">
        <v>4.3200000000000002E-2</v>
      </c>
      <c r="DT54" s="250">
        <f t="shared" si="189"/>
        <v>2.103094981757355E-4</v>
      </c>
      <c r="DU54" s="261">
        <v>138079.62962962964</v>
      </c>
      <c r="DV54" s="261">
        <f t="shared" si="216"/>
        <v>117632.87879296916</v>
      </c>
      <c r="DW54" s="261">
        <v>522.22222222222229</v>
      </c>
      <c r="DX54" s="251">
        <f t="shared" si="190"/>
        <v>19924.528614438252</v>
      </c>
      <c r="DY54" s="249">
        <f>'Net NR'!DD54</f>
        <v>1.44E-2</v>
      </c>
      <c r="DZ54" s="250">
        <f t="shared" si="191"/>
        <v>6.967354460674514E-5</v>
      </c>
      <c r="EA54" s="261">
        <f>'Net NR'!DF54</f>
        <v>137972.22222222222</v>
      </c>
      <c r="EB54" s="261">
        <f>DV54+2797</f>
        <v>120429.87879296916</v>
      </c>
      <c r="EC54" s="261">
        <f>'Net NR'!DG54</f>
        <v>3147.2222222222222</v>
      </c>
      <c r="ED54" s="251">
        <f t="shared" si="217"/>
        <v>14395.121207030836</v>
      </c>
      <c r="EE54" s="249">
        <f>'Net NR'!DI54</f>
        <v>1.8936000000000006</v>
      </c>
      <c r="EF54" s="250">
        <f t="shared" si="193"/>
        <v>1.4175226187158354E-2</v>
      </c>
      <c r="EG54" s="261">
        <f>'Net NR'!DK54</f>
        <v>137972.48626953934</v>
      </c>
      <c r="EH54" s="261">
        <f>EB54+3265</f>
        <v>123694.87879296916</v>
      </c>
      <c r="EI54" s="261">
        <f>'Net NR'!DL54</f>
        <v>1590.6316011829324</v>
      </c>
      <c r="EJ54" s="251">
        <f t="shared" si="194"/>
        <v>12686.975875387245</v>
      </c>
      <c r="EK54" s="249">
        <v>0.22320000000000012</v>
      </c>
      <c r="EL54" s="250">
        <f t="shared" si="219"/>
        <v>1.9692010601924459E-3</v>
      </c>
      <c r="EM54" s="261">
        <v>138119.2204301075</v>
      </c>
      <c r="EN54" s="389">
        <v>96593.519125988241</v>
      </c>
      <c r="EO54" s="261">
        <v>10887.455197132609</v>
      </c>
      <c r="EP54" s="251">
        <f t="shared" si="195"/>
        <v>30638.246106986648</v>
      </c>
    </row>
    <row r="55" spans="1:146" s="301" customFormat="1">
      <c r="A55" s="319" t="s">
        <v>193</v>
      </c>
      <c r="B55" s="299"/>
      <c r="C55" s="298"/>
      <c r="D55" s="299"/>
      <c r="E55" s="299"/>
      <c r="F55" s="299"/>
      <c r="G55" s="300"/>
      <c r="H55" s="297"/>
      <c r="I55" s="298"/>
      <c r="J55" s="320"/>
      <c r="K55" s="299"/>
      <c r="L55" s="299"/>
      <c r="M55" s="300"/>
      <c r="N55" s="323"/>
      <c r="O55" s="298"/>
      <c r="P55" s="299"/>
      <c r="Q55" s="299"/>
      <c r="R55" s="299"/>
      <c r="S55" s="300"/>
      <c r="T55" s="297"/>
      <c r="U55" s="298"/>
      <c r="V55" s="299"/>
      <c r="W55" s="299"/>
      <c r="X55" s="299"/>
      <c r="Y55" s="300"/>
      <c r="Z55" s="297"/>
      <c r="AA55" s="298"/>
      <c r="AB55" s="299"/>
      <c r="AC55" s="299"/>
      <c r="AD55" s="299"/>
      <c r="AE55" s="300"/>
      <c r="AF55" s="324"/>
      <c r="AG55" s="298"/>
      <c r="AH55" s="299"/>
      <c r="AI55" s="299"/>
      <c r="AJ55" s="299"/>
      <c r="AK55" s="300"/>
      <c r="AL55" s="324"/>
      <c r="AM55" s="298"/>
      <c r="AN55" s="299"/>
      <c r="AO55" s="299"/>
      <c r="AP55" s="299"/>
      <c r="AQ55" s="300"/>
      <c r="AR55" s="297"/>
      <c r="AS55" s="298"/>
      <c r="AT55" s="299"/>
      <c r="AU55" s="299"/>
      <c r="AV55" s="299"/>
      <c r="AW55" s="300"/>
      <c r="AX55" s="297"/>
      <c r="AY55" s="298"/>
      <c r="AZ55" s="299"/>
      <c r="BA55" s="299"/>
      <c r="BB55" s="299"/>
      <c r="BC55" s="300"/>
      <c r="BD55" s="324"/>
      <c r="BE55" s="298"/>
      <c r="BF55" s="299"/>
      <c r="BG55" s="299"/>
      <c r="BH55" s="299"/>
      <c r="BI55" s="300"/>
      <c r="BJ55" s="297"/>
      <c r="BK55" s="298"/>
      <c r="BL55" s="299"/>
      <c r="BM55" s="299"/>
      <c r="BN55" s="299"/>
      <c r="BO55" s="300"/>
      <c r="BP55" s="297"/>
      <c r="BQ55" s="298"/>
      <c r="BR55" s="299"/>
      <c r="BS55" s="299"/>
      <c r="BT55" s="299"/>
      <c r="BU55" s="300"/>
      <c r="BV55" s="322"/>
      <c r="BW55" s="297"/>
      <c r="BX55" s="298"/>
      <c r="BY55" s="299"/>
      <c r="BZ55" s="299"/>
      <c r="CA55" s="299"/>
      <c r="CB55" s="300"/>
      <c r="CC55" s="297">
        <v>4.9559999999999995</v>
      </c>
      <c r="CD55" s="298">
        <f t="shared" si="176"/>
        <v>5.6880360150464299E-2</v>
      </c>
      <c r="CE55" s="299">
        <v>81648.765133171924</v>
      </c>
      <c r="CF55" s="299">
        <f>CF56-1564</f>
        <v>72982</v>
      </c>
      <c r="CG55" s="299">
        <v>1397.0117029862786</v>
      </c>
      <c r="CH55" s="300">
        <f t="shared" si="210"/>
        <v>7269.7534301856458</v>
      </c>
      <c r="CI55" s="297">
        <v>4.3250199999999923</v>
      </c>
      <c r="CJ55" s="298">
        <f t="shared" si="177"/>
        <v>3.2899778382032036E-2</v>
      </c>
      <c r="CK55" s="299">
        <v>81673.573763820881</v>
      </c>
      <c r="CL55" s="299">
        <f>CL56-1564</f>
        <v>74617.568614052245</v>
      </c>
      <c r="CM55" s="299">
        <v>1197.4511100526724</v>
      </c>
      <c r="CN55" s="300">
        <f t="shared" si="211"/>
        <v>5858.5540397159639</v>
      </c>
      <c r="CO55" s="297">
        <v>0.79590000000000027</v>
      </c>
      <c r="CP55" s="298">
        <f t="shared" si="178"/>
        <v>6.3615776376838131E-3</v>
      </c>
      <c r="CQ55" s="299">
        <v>84635.04209071488</v>
      </c>
      <c r="CR55" s="261">
        <f t="shared" si="223"/>
        <v>75427.568614052245</v>
      </c>
      <c r="CS55" s="261">
        <v>545.48310089207166</v>
      </c>
      <c r="CT55" s="300">
        <f t="shared" si="212"/>
        <v>8661.9903757705633</v>
      </c>
      <c r="CU55" s="249">
        <v>11.647999999999973</v>
      </c>
      <c r="CV55" s="250">
        <f t="shared" si="180"/>
        <v>0.10168560831747751</v>
      </c>
      <c r="CW55" s="261">
        <v>86345.045501374014</v>
      </c>
      <c r="CX55" s="261">
        <v>77189.338314052249</v>
      </c>
      <c r="CY55" s="261">
        <v>1553.3413461538491</v>
      </c>
      <c r="CZ55" s="251">
        <f t="shared" si="182"/>
        <v>7602.3658411679153</v>
      </c>
      <c r="DA55" s="249">
        <v>11.18445999999998</v>
      </c>
      <c r="DB55" s="250">
        <f t="shared" si="183"/>
        <v>0.1030444019819383</v>
      </c>
      <c r="DC55" s="261">
        <v>84592.027688417977</v>
      </c>
      <c r="DD55" s="261">
        <f>CX55+4681</f>
        <v>81870.338314052249</v>
      </c>
      <c r="DE55" s="261">
        <v>-350.35039688997097</v>
      </c>
      <c r="DF55" s="251">
        <f t="shared" si="184"/>
        <v>3072.0397712556983</v>
      </c>
      <c r="DG55" s="249">
        <v>10.288739999999978</v>
      </c>
      <c r="DH55" s="250">
        <f t="shared" si="185"/>
        <v>5.5882565326042188E-2</v>
      </c>
      <c r="DI55" s="261">
        <v>84656.257228776652</v>
      </c>
      <c r="DJ55" s="261">
        <f t="shared" si="214"/>
        <v>81870.338314052249</v>
      </c>
      <c r="DK55" s="261">
        <v>-1765.2035137441596</v>
      </c>
      <c r="DL55" s="251">
        <f t="shared" si="186"/>
        <v>4551.1224284685632</v>
      </c>
      <c r="DM55" s="249">
        <v>7.0979999999999972</v>
      </c>
      <c r="DN55" s="250">
        <f t="shared" si="187"/>
        <v>3.4506652904556546E-2</v>
      </c>
      <c r="DO55" s="261">
        <v>84595.839673147522</v>
      </c>
      <c r="DP55" s="261">
        <f t="shared" ref="DP55:DP60" si="227">DJ55</f>
        <v>81870.338314052249</v>
      </c>
      <c r="DQ55" s="261">
        <v>-1720.1324316708965</v>
      </c>
      <c r="DR55" s="251">
        <f t="shared" si="188"/>
        <v>4445.6337907661691</v>
      </c>
      <c r="DS55" s="249">
        <v>6.9859999999999971</v>
      </c>
      <c r="DT55" s="250">
        <f t="shared" si="189"/>
        <v>3.4009772089252023E-2</v>
      </c>
      <c r="DU55" s="261">
        <v>87672.679645004537</v>
      </c>
      <c r="DV55" s="261">
        <f t="shared" ref="DV55:DV59" si="228">DP55-730</f>
        <v>81140.338314052249</v>
      </c>
      <c r="DW55" s="261">
        <v>1116.8365302032639</v>
      </c>
      <c r="DX55" s="251">
        <f t="shared" si="190"/>
        <v>5415.5048007490241</v>
      </c>
      <c r="DY55" s="249">
        <f>'Net NR'!DD55</f>
        <v>24.270819999999958</v>
      </c>
      <c r="DZ55" s="250">
        <f t="shared" si="191"/>
        <v>0.11743292082724162</v>
      </c>
      <c r="EA55" s="261">
        <f>'Net NR'!DF55</f>
        <v>87605.907422987744</v>
      </c>
      <c r="EB55" s="261">
        <f t="shared" ref="EB55:EB60" si="229">DV55-1250</f>
        <v>79890.338314052249</v>
      </c>
      <c r="EC55" s="261">
        <f>'Net NR'!DG55</f>
        <v>1009.8480397448469</v>
      </c>
      <c r="ED55" s="251">
        <f t="shared" si="217"/>
        <v>6705.7210691906484</v>
      </c>
      <c r="EE55" s="249">
        <f>'Net NR'!DI55</f>
        <v>4.1569499999999948</v>
      </c>
      <c r="EF55" s="250">
        <f t="shared" si="193"/>
        <v>3.1118349439537299E-2</v>
      </c>
      <c r="EG55" s="261">
        <f>'Net NR'!DK55</f>
        <v>87752.698492885625</v>
      </c>
      <c r="EH55" s="261">
        <f t="shared" ref="EH55:EH60" si="230">EB55+2330</f>
        <v>82220.338314052249</v>
      </c>
      <c r="EI55" s="261">
        <f>'Net NR'!DL55</f>
        <v>892.16613141846892</v>
      </c>
      <c r="EJ55" s="251">
        <f t="shared" si="194"/>
        <v>4640.1940474149069</v>
      </c>
      <c r="EK55" s="249">
        <v>3.345999999999997</v>
      </c>
      <c r="EL55" s="250">
        <f t="shared" si="219"/>
        <v>2.9520370732096388E-2</v>
      </c>
      <c r="EM55" s="261">
        <v>87597.13687985664</v>
      </c>
      <c r="EN55" s="261">
        <v>83787</v>
      </c>
      <c r="EO55" s="261">
        <v>1428.3054393305456</v>
      </c>
      <c r="EP55" s="251">
        <f t="shared" si="195"/>
        <v>2381.8314405260944</v>
      </c>
    </row>
    <row r="56" spans="1:146" s="301" customFormat="1">
      <c r="A56" s="319" t="s">
        <v>194</v>
      </c>
      <c r="B56" s="299"/>
      <c r="C56" s="298"/>
      <c r="D56" s="299"/>
      <c r="E56" s="299"/>
      <c r="F56" s="299"/>
      <c r="G56" s="300"/>
      <c r="H56" s="297"/>
      <c r="I56" s="298"/>
      <c r="J56" s="320"/>
      <c r="K56" s="299"/>
      <c r="L56" s="299"/>
      <c r="M56" s="300"/>
      <c r="N56" s="323"/>
      <c r="O56" s="298"/>
      <c r="P56" s="299"/>
      <c r="Q56" s="299"/>
      <c r="R56" s="299"/>
      <c r="S56" s="300"/>
      <c r="T56" s="297"/>
      <c r="U56" s="298"/>
      <c r="V56" s="299"/>
      <c r="W56" s="299"/>
      <c r="X56" s="299"/>
      <c r="Y56" s="300"/>
      <c r="Z56" s="297"/>
      <c r="AA56" s="298"/>
      <c r="AB56" s="299"/>
      <c r="AC56" s="299"/>
      <c r="AD56" s="299"/>
      <c r="AE56" s="300"/>
      <c r="AF56" s="324"/>
      <c r="AG56" s="298"/>
      <c r="AH56" s="299"/>
      <c r="AI56" s="299"/>
      <c r="AJ56" s="299"/>
      <c r="AK56" s="300"/>
      <c r="AL56" s="324"/>
      <c r="AM56" s="298"/>
      <c r="AN56" s="299"/>
      <c r="AO56" s="299"/>
      <c r="AP56" s="299"/>
      <c r="AQ56" s="300"/>
      <c r="AR56" s="297"/>
      <c r="AS56" s="298"/>
      <c r="AT56" s="299"/>
      <c r="AU56" s="299"/>
      <c r="AV56" s="299"/>
      <c r="AW56" s="300"/>
      <c r="AX56" s="297"/>
      <c r="AY56" s="298"/>
      <c r="AZ56" s="299"/>
      <c r="BA56" s="299"/>
      <c r="BB56" s="299"/>
      <c r="BC56" s="300"/>
      <c r="BD56" s="324"/>
      <c r="BE56" s="298"/>
      <c r="BF56" s="299"/>
      <c r="BG56" s="299"/>
      <c r="BH56" s="299"/>
      <c r="BI56" s="300"/>
      <c r="BJ56" s="297"/>
      <c r="BK56" s="298"/>
      <c r="BL56" s="299"/>
      <c r="BM56" s="299"/>
      <c r="BN56" s="299"/>
      <c r="BO56" s="300"/>
      <c r="BP56" s="297"/>
      <c r="BQ56" s="298"/>
      <c r="BR56" s="299"/>
      <c r="BS56" s="299"/>
      <c r="BT56" s="299"/>
      <c r="BU56" s="300"/>
      <c r="BV56" s="322"/>
      <c r="BW56" s="297"/>
      <c r="BX56" s="298"/>
      <c r="BY56" s="299"/>
      <c r="BZ56" s="299"/>
      <c r="CA56" s="299"/>
      <c r="CB56" s="300"/>
      <c r="CC56" s="297">
        <v>4.7879999999999994</v>
      </c>
      <c r="CD56" s="298">
        <f t="shared" si="176"/>
        <v>5.4952212348753644E-2</v>
      </c>
      <c r="CE56" s="299">
        <v>81649.060150375954</v>
      </c>
      <c r="CF56" s="299">
        <v>74546</v>
      </c>
      <c r="CG56" s="299">
        <v>1318.3291562238926</v>
      </c>
      <c r="CH56" s="300">
        <f t="shared" si="210"/>
        <v>5784.7309941520607</v>
      </c>
      <c r="CI56" s="297">
        <v>4.6050199999999979</v>
      </c>
      <c r="CJ56" s="298">
        <f t="shared" si="177"/>
        <v>3.5029696381710461E-2</v>
      </c>
      <c r="CK56" s="299">
        <v>81671.551915083983</v>
      </c>
      <c r="CL56" s="299">
        <v>76181.568614052245</v>
      </c>
      <c r="CM56" s="299">
        <v>1096.9311751089035</v>
      </c>
      <c r="CN56" s="300">
        <f t="shared" si="211"/>
        <v>4393.0521259228344</v>
      </c>
      <c r="CO56" s="297">
        <v>11.505899999999995</v>
      </c>
      <c r="CP56" s="298">
        <f t="shared" si="178"/>
        <v>9.1965920519444813E-2</v>
      </c>
      <c r="CQ56" s="299">
        <v>84716.301201992115</v>
      </c>
      <c r="CR56" s="261">
        <f t="shared" si="223"/>
        <v>76991.568614052245</v>
      </c>
      <c r="CS56" s="261">
        <v>1400.8526060542854</v>
      </c>
      <c r="CT56" s="300">
        <f t="shared" si="212"/>
        <v>6323.879981885585</v>
      </c>
      <c r="CU56" s="249">
        <v>12.248949999999976</v>
      </c>
      <c r="CV56" s="250">
        <f t="shared" si="180"/>
        <v>0.10693182795332817</v>
      </c>
      <c r="CW56" s="261">
        <v>86248.918478727079</v>
      </c>
      <c r="CX56" s="261">
        <v>78700.392614052238</v>
      </c>
      <c r="CY56" s="261">
        <v>1466.5330497716152</v>
      </c>
      <c r="CZ56" s="251">
        <f t="shared" si="182"/>
        <v>6081.9928149032257</v>
      </c>
      <c r="DA56" s="249">
        <v>8.8884599999999931</v>
      </c>
      <c r="DB56" s="250">
        <f t="shared" si="183"/>
        <v>8.1890949159850387E-2</v>
      </c>
      <c r="DC56" s="261">
        <v>84614.713909946382</v>
      </c>
      <c r="DD56" s="261">
        <f t="shared" ref="DD56:DD60" si="231">CX56+4681</f>
        <v>83381.392614052238</v>
      </c>
      <c r="DE56" s="261">
        <v>-555.80044237134371</v>
      </c>
      <c r="DF56" s="251">
        <f t="shared" si="184"/>
        <v>1789.1217382654877</v>
      </c>
      <c r="DG56" s="249">
        <v>9.6587399999999857</v>
      </c>
      <c r="DH56" s="250">
        <f t="shared" si="185"/>
        <v>5.2460764779482923E-2</v>
      </c>
      <c r="DI56" s="261">
        <v>84687.696324779739</v>
      </c>
      <c r="DJ56" s="261">
        <f t="shared" si="214"/>
        <v>83381.392614052238</v>
      </c>
      <c r="DK56" s="261">
        <v>-1829.7966401414726</v>
      </c>
      <c r="DL56" s="251">
        <f t="shared" si="186"/>
        <v>3136.1003508689737</v>
      </c>
      <c r="DM56" s="249">
        <v>7.1679999999999975</v>
      </c>
      <c r="DN56" s="250">
        <f t="shared" si="187"/>
        <v>3.4846955201445665E-2</v>
      </c>
      <c r="DO56" s="261">
        <v>84591.247209821609</v>
      </c>
      <c r="DP56" s="261">
        <f t="shared" si="227"/>
        <v>83381.392614052238</v>
      </c>
      <c r="DQ56" s="261">
        <v>-1762.9506138392883</v>
      </c>
      <c r="DR56" s="251">
        <f t="shared" si="188"/>
        <v>2972.8052096086594</v>
      </c>
      <c r="DS56" s="249">
        <v>11.269999999999982</v>
      </c>
      <c r="DT56" s="250">
        <f t="shared" si="189"/>
        <v>5.4865463991679055E-2</v>
      </c>
      <c r="DU56" s="261">
        <v>87667.980479148318</v>
      </c>
      <c r="DV56" s="261">
        <f t="shared" si="228"/>
        <v>82651.392614052238</v>
      </c>
      <c r="DW56" s="261">
        <v>1061.9086069210307</v>
      </c>
      <c r="DX56" s="251">
        <f t="shared" si="190"/>
        <v>3954.6792581750497</v>
      </c>
      <c r="DY56" s="249">
        <f>'Net NR'!DD56</f>
        <v>28.389479999999953</v>
      </c>
      <c r="DZ56" s="250">
        <f t="shared" si="191"/>
        <v>0.13736081257932611</v>
      </c>
      <c r="EA56" s="261">
        <f>'Net NR'!DF56</f>
        <v>87619.591834722014</v>
      </c>
      <c r="EB56" s="261">
        <f t="shared" si="229"/>
        <v>81401.392614052238</v>
      </c>
      <c r="EC56" s="261">
        <f>'Net NR'!DG56</f>
        <v>995.04041637959006</v>
      </c>
      <c r="ED56" s="251">
        <f t="shared" si="217"/>
        <v>5223.1588042901858</v>
      </c>
      <c r="EE56" s="249">
        <f>'Net NR'!DI56</f>
        <v>8.078280000000003</v>
      </c>
      <c r="EF56" s="250">
        <f t="shared" si="193"/>
        <v>6.0472880335444443E-2</v>
      </c>
      <c r="EG56" s="261">
        <f>'Net NR'!DK56</f>
        <v>87626.462563812995</v>
      </c>
      <c r="EH56" s="261">
        <f t="shared" si="230"/>
        <v>83731.392614052238</v>
      </c>
      <c r="EI56" s="261">
        <f>'Net NR'!DL56</f>
        <v>1072.3990750506287</v>
      </c>
      <c r="EJ56" s="251">
        <f t="shared" si="194"/>
        <v>2822.6708747101279</v>
      </c>
      <c r="EK56" s="249">
        <v>0.93800000000000039</v>
      </c>
      <c r="EL56" s="250">
        <f t="shared" si="219"/>
        <v>8.2755851006295431E-3</v>
      </c>
      <c r="EM56" s="261">
        <v>87326.11940298503</v>
      </c>
      <c r="EN56" s="261">
        <v>83787</v>
      </c>
      <c r="EO56" s="261">
        <v>718.12366737739831</v>
      </c>
      <c r="EP56" s="251">
        <f t="shared" si="195"/>
        <v>2820.995735607632</v>
      </c>
    </row>
    <row r="57" spans="1:146" s="301" customFormat="1">
      <c r="A57" s="319" t="s">
        <v>195</v>
      </c>
      <c r="B57" s="299"/>
      <c r="C57" s="298"/>
      <c r="D57" s="299"/>
      <c r="E57" s="299"/>
      <c r="F57" s="299"/>
      <c r="G57" s="300"/>
      <c r="H57" s="297"/>
      <c r="I57" s="298"/>
      <c r="J57" s="320"/>
      <c r="K57" s="299"/>
      <c r="L57" s="299"/>
      <c r="M57" s="300"/>
      <c r="N57" s="323"/>
      <c r="O57" s="298"/>
      <c r="P57" s="299"/>
      <c r="Q57" s="299"/>
      <c r="R57" s="299"/>
      <c r="S57" s="300"/>
      <c r="T57" s="297"/>
      <c r="U57" s="298"/>
      <c r="V57" s="299"/>
      <c r="W57" s="299"/>
      <c r="X57" s="299"/>
      <c r="Y57" s="300"/>
      <c r="Z57" s="297"/>
      <c r="AA57" s="298"/>
      <c r="AB57" s="299"/>
      <c r="AC57" s="299"/>
      <c r="AD57" s="299"/>
      <c r="AE57" s="300"/>
      <c r="AF57" s="324"/>
      <c r="AG57" s="298"/>
      <c r="AH57" s="299"/>
      <c r="AI57" s="299"/>
      <c r="AJ57" s="299"/>
      <c r="AK57" s="300"/>
      <c r="AL57" s="324"/>
      <c r="AM57" s="298"/>
      <c r="AN57" s="299"/>
      <c r="AO57" s="299"/>
      <c r="AP57" s="299"/>
      <c r="AQ57" s="300"/>
      <c r="AR57" s="297"/>
      <c r="AS57" s="298"/>
      <c r="AT57" s="299"/>
      <c r="AU57" s="299"/>
      <c r="AV57" s="299"/>
      <c r="AW57" s="300"/>
      <c r="AX57" s="297"/>
      <c r="AY57" s="298"/>
      <c r="AZ57" s="299"/>
      <c r="BA57" s="299"/>
      <c r="BB57" s="299"/>
      <c r="BC57" s="300"/>
      <c r="BD57" s="324"/>
      <c r="BE57" s="298"/>
      <c r="BF57" s="299"/>
      <c r="BG57" s="299"/>
      <c r="BH57" s="299"/>
      <c r="BI57" s="300"/>
      <c r="BJ57" s="297"/>
      <c r="BK57" s="298"/>
      <c r="BL57" s="299"/>
      <c r="BM57" s="299"/>
      <c r="BN57" s="299"/>
      <c r="BO57" s="300"/>
      <c r="BP57" s="297"/>
      <c r="BQ57" s="298"/>
      <c r="BR57" s="299"/>
      <c r="BS57" s="299"/>
      <c r="BT57" s="299"/>
      <c r="BU57" s="300"/>
      <c r="BV57" s="322"/>
      <c r="BW57" s="297"/>
      <c r="BX57" s="298"/>
      <c r="BY57" s="299"/>
      <c r="BZ57" s="299"/>
      <c r="CA57" s="299"/>
      <c r="CB57" s="300"/>
      <c r="CC57" s="297">
        <v>4.7879999999999994</v>
      </c>
      <c r="CD57" s="298">
        <f t="shared" si="176"/>
        <v>5.4952212348753644E-2</v>
      </c>
      <c r="CE57" s="299">
        <v>81649.064327485394</v>
      </c>
      <c r="CF57" s="299">
        <f>CF56-1758</f>
        <v>72788</v>
      </c>
      <c r="CG57" s="299">
        <v>1331.7940685045953</v>
      </c>
      <c r="CH57" s="300">
        <f t="shared" si="210"/>
        <v>7529.2702589807986</v>
      </c>
      <c r="CI57" s="297">
        <v>4.9270199999999953</v>
      </c>
      <c r="CJ57" s="298">
        <f t="shared" si="177"/>
        <v>3.7479102081340573E-2</v>
      </c>
      <c r="CK57" s="299">
        <v>81661.933582571262</v>
      </c>
      <c r="CL57" s="299">
        <v>74524.830746552238</v>
      </c>
      <c r="CM57" s="299">
        <v>1234.0299004266278</v>
      </c>
      <c r="CN57" s="300">
        <f t="shared" si="211"/>
        <v>5903.0729355923968</v>
      </c>
      <c r="CO57" s="297">
        <v>4.078199999999998</v>
      </c>
      <c r="CP57" s="298">
        <f t="shared" si="178"/>
        <v>3.2596790956152914E-2</v>
      </c>
      <c r="CQ57" s="299">
        <v>84583.926732382053</v>
      </c>
      <c r="CR57" s="261">
        <f t="shared" si="223"/>
        <v>75334.830746552238</v>
      </c>
      <c r="CS57" s="261">
        <v>1540.3486832426081</v>
      </c>
      <c r="CT57" s="300">
        <f t="shared" si="212"/>
        <v>7708.7473025872077</v>
      </c>
      <c r="CU57" s="249">
        <v>10.919999999999977</v>
      </c>
      <c r="CV57" s="250">
        <f t="shared" si="180"/>
        <v>9.5330257797635182E-2</v>
      </c>
      <c r="CW57" s="261">
        <v>86192.869047619417</v>
      </c>
      <c r="CX57" s="261">
        <v>77049.294746552245</v>
      </c>
      <c r="CY57" s="261">
        <v>1397.7051282051314</v>
      </c>
      <c r="CZ57" s="251">
        <f t="shared" si="182"/>
        <v>7745.8691728620406</v>
      </c>
      <c r="DA57" s="249">
        <v>9.9524599999999914</v>
      </c>
      <c r="DB57" s="250">
        <f t="shared" si="183"/>
        <v>9.1693768760330197E-2</v>
      </c>
      <c r="DC57" s="261">
        <v>84616.216493208936</v>
      </c>
      <c r="DD57" s="261">
        <f t="shared" si="231"/>
        <v>81730.294746552245</v>
      </c>
      <c r="DE57" s="261">
        <v>-348.36211348751954</v>
      </c>
      <c r="DF57" s="251">
        <f t="shared" si="184"/>
        <v>3234.2838601442108</v>
      </c>
      <c r="DG57" s="249">
        <v>10.484739999999988</v>
      </c>
      <c r="DH57" s="250">
        <f t="shared" si="185"/>
        <v>5.6947125496082919E-2</v>
      </c>
      <c r="DI57" s="261">
        <v>84675.665777120172</v>
      </c>
      <c r="DJ57" s="261">
        <f t="shared" si="214"/>
        <v>81730.294746552245</v>
      </c>
      <c r="DK57" s="261">
        <v>-1765.5774010609769</v>
      </c>
      <c r="DL57" s="251">
        <f t="shared" si="186"/>
        <v>4710.9484316289036</v>
      </c>
      <c r="DM57" s="249">
        <v>8.2739999999999796</v>
      </c>
      <c r="DN57" s="250">
        <f t="shared" si="187"/>
        <v>4.0223731492293642E-2</v>
      </c>
      <c r="DO57" s="261">
        <v>84663.785351704573</v>
      </c>
      <c r="DP57" s="261">
        <f t="shared" si="227"/>
        <v>81730.294746552245</v>
      </c>
      <c r="DQ57" s="261">
        <v>-1897.7604544355904</v>
      </c>
      <c r="DR57" s="251">
        <f t="shared" si="188"/>
        <v>4831.2510595879194</v>
      </c>
      <c r="DS57" s="249">
        <v>10.023999999999988</v>
      </c>
      <c r="DT57" s="250">
        <f t="shared" si="189"/>
        <v>4.8799592817443754E-2</v>
      </c>
      <c r="DU57" s="261">
        <v>87727.736432561942</v>
      </c>
      <c r="DV57" s="261">
        <f t="shared" si="228"/>
        <v>81000.294746552245</v>
      </c>
      <c r="DW57" s="261">
        <v>1050.7661612130898</v>
      </c>
      <c r="DX57" s="251">
        <f t="shared" si="190"/>
        <v>5676.6755247966075</v>
      </c>
      <c r="DY57" s="249">
        <f>'Net NR'!DD57</f>
        <v>20.520359999999954</v>
      </c>
      <c r="DZ57" s="250">
        <f t="shared" si="191"/>
        <v>9.9286542903226777E-2</v>
      </c>
      <c r="EA57" s="261">
        <f>'Net NR'!DF57</f>
        <v>87636.389420068765</v>
      </c>
      <c r="EB57" s="261">
        <f t="shared" si="229"/>
        <v>79750.294746552245</v>
      </c>
      <c r="EC57" s="261">
        <f>'Net NR'!DG57</f>
        <v>1068.3530893220216</v>
      </c>
      <c r="ED57" s="251">
        <f t="shared" si="217"/>
        <v>6817.7415841944985</v>
      </c>
      <c r="EE57" s="249">
        <f>'Net NR'!DI57</f>
        <v>4.9286999999999992</v>
      </c>
      <c r="EF57" s="250">
        <f t="shared" si="193"/>
        <v>3.6895562583780815E-2</v>
      </c>
      <c r="EG57" s="261">
        <f>'Net NR'!DK57</f>
        <v>87625.990626331593</v>
      </c>
      <c r="EH57" s="261">
        <f t="shared" si="230"/>
        <v>82080.294746552245</v>
      </c>
      <c r="EI57" s="261">
        <f>'Net NR'!DL57</f>
        <v>1034.2362083307974</v>
      </c>
      <c r="EJ57" s="251">
        <f t="shared" si="194"/>
        <v>4511.4596714485515</v>
      </c>
      <c r="EK57" s="249">
        <v>0.6020000000000002</v>
      </c>
      <c r="EL57" s="250">
        <f t="shared" si="219"/>
        <v>5.3111964078667211E-3</v>
      </c>
      <c r="EM57" s="261">
        <v>87530.282392026551</v>
      </c>
      <c r="EN57" s="261">
        <v>83787</v>
      </c>
      <c r="EO57" s="261">
        <v>930.44850498338837</v>
      </c>
      <c r="EP57" s="251">
        <f t="shared" si="195"/>
        <v>2812.8338870431626</v>
      </c>
    </row>
    <row r="58" spans="1:146" s="301" customFormat="1">
      <c r="A58" s="319" t="s">
        <v>206</v>
      </c>
      <c r="B58" s="299"/>
      <c r="C58" s="298"/>
      <c r="D58" s="299"/>
      <c r="E58" s="299"/>
      <c r="F58" s="299"/>
      <c r="G58" s="300"/>
      <c r="H58" s="297"/>
      <c r="I58" s="298"/>
      <c r="J58" s="320"/>
      <c r="K58" s="299"/>
      <c r="L58" s="299"/>
      <c r="M58" s="300"/>
      <c r="N58" s="323"/>
      <c r="O58" s="298"/>
      <c r="P58" s="299"/>
      <c r="Q58" s="299"/>
      <c r="R58" s="299"/>
      <c r="S58" s="300"/>
      <c r="T58" s="297"/>
      <c r="U58" s="298"/>
      <c r="V58" s="299"/>
      <c r="W58" s="299"/>
      <c r="X58" s="299"/>
      <c r="Y58" s="300"/>
      <c r="Z58" s="297"/>
      <c r="AA58" s="298"/>
      <c r="AB58" s="299"/>
      <c r="AC58" s="299"/>
      <c r="AD58" s="299"/>
      <c r="AE58" s="300"/>
      <c r="AF58" s="324"/>
      <c r="AG58" s="298"/>
      <c r="AH58" s="299"/>
      <c r="AI58" s="299"/>
      <c r="AJ58" s="299"/>
      <c r="AK58" s="300"/>
      <c r="AL58" s="324"/>
      <c r="AM58" s="298"/>
      <c r="AN58" s="299"/>
      <c r="AO58" s="299"/>
      <c r="AP58" s="299"/>
      <c r="AQ58" s="300"/>
      <c r="AR58" s="297"/>
      <c r="AS58" s="298"/>
      <c r="AT58" s="299"/>
      <c r="AU58" s="299"/>
      <c r="AV58" s="299"/>
      <c r="AW58" s="300"/>
      <c r="AX58" s="297"/>
      <c r="AY58" s="298"/>
      <c r="AZ58" s="299"/>
      <c r="BA58" s="299"/>
      <c r="BB58" s="299"/>
      <c r="BC58" s="300"/>
      <c r="BD58" s="324"/>
      <c r="BE58" s="298"/>
      <c r="BF58" s="299"/>
      <c r="BG58" s="299"/>
      <c r="BH58" s="299"/>
      <c r="BI58" s="300"/>
      <c r="BJ58" s="297"/>
      <c r="BK58" s="298"/>
      <c r="BL58" s="299"/>
      <c r="BM58" s="299"/>
      <c r="BN58" s="299"/>
      <c r="BO58" s="300"/>
      <c r="BP58" s="297"/>
      <c r="BQ58" s="298"/>
      <c r="BR58" s="299"/>
      <c r="BS58" s="299"/>
      <c r="BT58" s="299"/>
      <c r="BU58" s="300"/>
      <c r="BV58" s="322"/>
      <c r="BW58" s="297"/>
      <c r="BX58" s="298"/>
      <c r="BY58" s="299"/>
      <c r="BZ58" s="299"/>
      <c r="CA58" s="299"/>
      <c r="CB58" s="300"/>
      <c r="CC58" s="297"/>
      <c r="CD58" s="298"/>
      <c r="CE58" s="299"/>
      <c r="CF58" s="299"/>
      <c r="CG58" s="299"/>
      <c r="CH58" s="300"/>
      <c r="CI58" s="297">
        <v>2.37</v>
      </c>
      <c r="CJ58" s="298">
        <f t="shared" si="177"/>
        <v>1.8028234497277716E-2</v>
      </c>
      <c r="CK58" s="299">
        <v>130043.91983122365</v>
      </c>
      <c r="CL58" s="299">
        <v>83696.312420292248</v>
      </c>
      <c r="CM58" s="299">
        <v>29862.624472573836</v>
      </c>
      <c r="CN58" s="300">
        <f t="shared" si="211"/>
        <v>16484.982938357571</v>
      </c>
      <c r="CO58" s="297">
        <v>7.3924999999999903</v>
      </c>
      <c r="CP58" s="298">
        <f t="shared" si="178"/>
        <v>5.9087778221607629E-2</v>
      </c>
      <c r="CQ58" s="299">
        <v>102093.01589448776</v>
      </c>
      <c r="CR58" s="261">
        <f t="shared" si="223"/>
        <v>84506.312420292248</v>
      </c>
      <c r="CS58" s="261">
        <v>743.89448765640952</v>
      </c>
      <c r="CT58" s="300">
        <f t="shared" si="212"/>
        <v>16842.808986539105</v>
      </c>
      <c r="CU58" s="249">
        <v>7.4374999999999893</v>
      </c>
      <c r="CV58" s="250">
        <f t="shared" si="180"/>
        <v>6.4928460839735552E-2</v>
      </c>
      <c r="CW58" s="261">
        <v>101718.48470588245</v>
      </c>
      <c r="CX58" s="261">
        <f>CR58+1762</f>
        <v>86268.312420292248</v>
      </c>
      <c r="CY58" s="261">
        <v>1010.5317647058837</v>
      </c>
      <c r="CZ58" s="251">
        <f t="shared" si="182"/>
        <v>14439.640520884321</v>
      </c>
      <c r="DA58" s="249">
        <v>5.8759999999999986</v>
      </c>
      <c r="DB58" s="250">
        <f t="shared" si="183"/>
        <v>5.4136624034228781E-2</v>
      </c>
      <c r="DC58" s="261">
        <v>101678.00204220552</v>
      </c>
      <c r="DD58" s="261">
        <f t="shared" si="231"/>
        <v>90949.312420292248</v>
      </c>
      <c r="DE58" s="261">
        <v>-785.16507828454939</v>
      </c>
      <c r="DF58" s="251">
        <f t="shared" si="184"/>
        <v>11513.854700197826</v>
      </c>
      <c r="DG58" s="249">
        <v>7.4229999999999929</v>
      </c>
      <c r="DH58" s="250">
        <f t="shared" si="185"/>
        <v>4.0317500725571026E-2</v>
      </c>
      <c r="DI58" s="261">
        <v>101671.40239795236</v>
      </c>
      <c r="DJ58" s="261">
        <f t="shared" si="214"/>
        <v>90949.312420292248</v>
      </c>
      <c r="DK58" s="261">
        <v>-3925.6217162872199</v>
      </c>
      <c r="DL58" s="251">
        <f t="shared" si="186"/>
        <v>14647.711693947334</v>
      </c>
      <c r="DM58" s="249">
        <v>4.3499999999999988</v>
      </c>
      <c r="DN58" s="250">
        <f t="shared" si="187"/>
        <v>2.1147357020966609E-2</v>
      </c>
      <c r="DO58" s="261">
        <v>101637.56551724141</v>
      </c>
      <c r="DP58" s="261">
        <f t="shared" si="227"/>
        <v>90949.312420292248</v>
      </c>
      <c r="DQ58" s="261">
        <v>-4051.1701149425289</v>
      </c>
      <c r="DR58" s="251">
        <f t="shared" si="188"/>
        <v>14739.423211891692</v>
      </c>
      <c r="DS58" s="249">
        <v>3.3149999999999986</v>
      </c>
      <c r="DT58" s="250">
        <f t="shared" si="189"/>
        <v>1.6138333019735253E-2</v>
      </c>
      <c r="DU58" s="261">
        <v>106757.97888386129</v>
      </c>
      <c r="DV58" s="261">
        <f t="shared" si="228"/>
        <v>90219.312420292248</v>
      </c>
      <c r="DW58" s="261">
        <v>753.96078431372621</v>
      </c>
      <c r="DX58" s="251">
        <f t="shared" si="190"/>
        <v>15784.705679255314</v>
      </c>
      <c r="DY58" s="249">
        <f>'Net NR'!DD58</f>
        <v>6.63</v>
      </c>
      <c r="DZ58" s="250">
        <f t="shared" si="191"/>
        <v>3.2078861162688911E-2</v>
      </c>
      <c r="EA58" s="261">
        <f>'Net NR'!DF58</f>
        <v>106492.66817496237</v>
      </c>
      <c r="EB58" s="261">
        <f t="shared" si="229"/>
        <v>88969.312420292248</v>
      </c>
      <c r="EC58" s="261">
        <f>'Net NR'!DG58</f>
        <v>-191.50226244343884</v>
      </c>
      <c r="ED58" s="251">
        <f t="shared" si="217"/>
        <v>17714.858017113558</v>
      </c>
      <c r="EE58" s="249">
        <f>'Net NR'!DI58</f>
        <v>3.2069999999999981</v>
      </c>
      <c r="EF58" s="250">
        <f t="shared" si="193"/>
        <v>2.4007155884144909E-2</v>
      </c>
      <c r="EG58" s="261">
        <f>'Net NR'!DK58</f>
        <v>106443.2366697848</v>
      </c>
      <c r="EH58" s="261">
        <f t="shared" si="230"/>
        <v>91299.312420292248</v>
      </c>
      <c r="EI58" s="261">
        <f>'Net NR'!DL58</f>
        <v>-3661.9457436856924</v>
      </c>
      <c r="EJ58" s="251">
        <f t="shared" si="194"/>
        <v>18805.86999317825</v>
      </c>
      <c r="EK58" s="249">
        <v>3.1555000000000004</v>
      </c>
      <c r="EL58" s="250">
        <f t="shared" si="219"/>
        <v>2.7839668214324643E-2</v>
      </c>
      <c r="EM58" s="261">
        <v>106436.56789732215</v>
      </c>
      <c r="EN58" s="261">
        <v>92712</v>
      </c>
      <c r="EO58" s="261">
        <v>-3723.7173189668829</v>
      </c>
      <c r="EP58" s="251">
        <f t="shared" si="195"/>
        <v>17448.285216289034</v>
      </c>
    </row>
    <row r="59" spans="1:146" s="301" customFormat="1">
      <c r="A59" s="319" t="s">
        <v>207</v>
      </c>
      <c r="B59" s="299"/>
      <c r="C59" s="298"/>
      <c r="D59" s="299"/>
      <c r="E59" s="299"/>
      <c r="F59" s="299"/>
      <c r="G59" s="300"/>
      <c r="H59" s="297"/>
      <c r="I59" s="298"/>
      <c r="J59" s="320"/>
      <c r="K59" s="299"/>
      <c r="L59" s="299"/>
      <c r="M59" s="300"/>
      <c r="N59" s="323"/>
      <c r="O59" s="298"/>
      <c r="P59" s="299"/>
      <c r="Q59" s="299"/>
      <c r="R59" s="299"/>
      <c r="S59" s="300"/>
      <c r="T59" s="297"/>
      <c r="U59" s="298"/>
      <c r="V59" s="299"/>
      <c r="W59" s="299"/>
      <c r="X59" s="299"/>
      <c r="Y59" s="300"/>
      <c r="Z59" s="297"/>
      <c r="AA59" s="298"/>
      <c r="AB59" s="299"/>
      <c r="AC59" s="299"/>
      <c r="AD59" s="299"/>
      <c r="AE59" s="300"/>
      <c r="AF59" s="324"/>
      <c r="AG59" s="298"/>
      <c r="AH59" s="299"/>
      <c r="AI59" s="299"/>
      <c r="AJ59" s="299"/>
      <c r="AK59" s="300"/>
      <c r="AL59" s="324"/>
      <c r="AM59" s="298"/>
      <c r="AN59" s="299"/>
      <c r="AO59" s="299"/>
      <c r="AP59" s="299"/>
      <c r="AQ59" s="300"/>
      <c r="AR59" s="297"/>
      <c r="AS59" s="298"/>
      <c r="AT59" s="299"/>
      <c r="AU59" s="299"/>
      <c r="AV59" s="299"/>
      <c r="AW59" s="300"/>
      <c r="AX59" s="297"/>
      <c r="AY59" s="298"/>
      <c r="AZ59" s="299"/>
      <c r="BA59" s="299"/>
      <c r="BB59" s="299"/>
      <c r="BC59" s="300"/>
      <c r="BD59" s="324"/>
      <c r="BE59" s="298"/>
      <c r="BF59" s="299"/>
      <c r="BG59" s="299"/>
      <c r="BH59" s="299"/>
      <c r="BI59" s="300"/>
      <c r="BJ59" s="297"/>
      <c r="BK59" s="298"/>
      <c r="BL59" s="299"/>
      <c r="BM59" s="299"/>
      <c r="BN59" s="299"/>
      <c r="BO59" s="300"/>
      <c r="BP59" s="297"/>
      <c r="BQ59" s="298"/>
      <c r="BR59" s="299"/>
      <c r="BS59" s="299"/>
      <c r="BT59" s="299"/>
      <c r="BU59" s="300"/>
      <c r="BV59" s="322"/>
      <c r="BW59" s="297"/>
      <c r="BX59" s="298"/>
      <c r="BY59" s="299"/>
      <c r="BZ59" s="299"/>
      <c r="CA59" s="299"/>
      <c r="CB59" s="300"/>
      <c r="CC59" s="297"/>
      <c r="CD59" s="298"/>
      <c r="CE59" s="299"/>
      <c r="CF59" s="299"/>
      <c r="CG59" s="299"/>
      <c r="CH59" s="300"/>
      <c r="CI59" s="297">
        <v>1.9049999999999998</v>
      </c>
      <c r="CJ59" s="298">
        <f t="shared" si="177"/>
        <v>1.4491049247811832E-2</v>
      </c>
      <c r="CK59" s="299">
        <v>130090.66141732292</v>
      </c>
      <c r="CL59" s="299">
        <v>85210.186720292229</v>
      </c>
      <c r="CM59" s="299">
        <v>29958.619422572188</v>
      </c>
      <c r="CN59" s="300">
        <f t="shared" si="211"/>
        <v>14921.855274458499</v>
      </c>
      <c r="CO59" s="297">
        <v>15.627499999999998</v>
      </c>
      <c r="CP59" s="298">
        <f t="shared" si="178"/>
        <v>0.12490960489119707</v>
      </c>
      <c r="CQ59" s="299">
        <v>101853.61638137874</v>
      </c>
      <c r="CR59" s="261">
        <f t="shared" si="223"/>
        <v>86020.186720292229</v>
      </c>
      <c r="CS59" s="261">
        <v>898.56726923692247</v>
      </c>
      <c r="CT59" s="300">
        <f t="shared" si="212"/>
        <v>14934.86239184959</v>
      </c>
      <c r="CU59" s="249">
        <v>7.13499999999999</v>
      </c>
      <c r="CV59" s="250">
        <f t="shared" si="180"/>
        <v>6.2287673020707653E-2</v>
      </c>
      <c r="CW59" s="261">
        <v>101672.00000000001</v>
      </c>
      <c r="CX59" s="261">
        <f>CR59+1762</f>
        <v>87782.186720292229</v>
      </c>
      <c r="CY59" s="261">
        <v>1011.0693763139467</v>
      </c>
      <c r="CZ59" s="251">
        <f t="shared" si="182"/>
        <v>12878.743903393839</v>
      </c>
      <c r="DA59" s="249">
        <v>6.1319999999999908</v>
      </c>
      <c r="DB59" s="250">
        <f t="shared" si="183"/>
        <v>5.6495197171186257E-2</v>
      </c>
      <c r="DC59" s="261">
        <v>101612.61741682977</v>
      </c>
      <c r="DD59" s="261">
        <f t="shared" si="231"/>
        <v>92463.186720292229</v>
      </c>
      <c r="DE59" s="261">
        <v>-941.01924331376847</v>
      </c>
      <c r="DF59" s="251">
        <f t="shared" si="184"/>
        <v>10090.449939851313</v>
      </c>
      <c r="DG59" s="249">
        <v>8.742999999999995</v>
      </c>
      <c r="DH59" s="250">
        <f t="shared" si="185"/>
        <v>4.7486987585028645E-2</v>
      </c>
      <c r="DI59" s="261">
        <v>101648.99576804302</v>
      </c>
      <c r="DJ59" s="261">
        <f t="shared" si="214"/>
        <v>92463.186720292229</v>
      </c>
      <c r="DK59" s="261">
        <v>-3889.0655381448059</v>
      </c>
      <c r="DL59" s="251">
        <f t="shared" si="186"/>
        <v>13074.874585895599</v>
      </c>
      <c r="DM59" s="249">
        <v>5.3099999999999969</v>
      </c>
      <c r="DN59" s="250">
        <f t="shared" si="187"/>
        <v>2.5814359949731646E-2</v>
      </c>
      <c r="DO59" s="261">
        <v>101614.84557438792</v>
      </c>
      <c r="DP59" s="261">
        <f t="shared" si="227"/>
        <v>92463.186720292229</v>
      </c>
      <c r="DQ59" s="261">
        <v>-4116.1186440678002</v>
      </c>
      <c r="DR59" s="251">
        <f t="shared" si="188"/>
        <v>13267.777498163487</v>
      </c>
      <c r="DS59" s="249">
        <v>4.9799999999999915</v>
      </c>
      <c r="DT59" s="250">
        <f t="shared" si="189"/>
        <v>2.4244011595258356E-2</v>
      </c>
      <c r="DU59" s="261">
        <v>106666.53815261059</v>
      </c>
      <c r="DV59" s="261">
        <f t="shared" si="228"/>
        <v>91733.186720292229</v>
      </c>
      <c r="DW59" s="261">
        <v>810.37751004016218</v>
      </c>
      <c r="DX59" s="251">
        <f t="shared" si="190"/>
        <v>14122.973922278201</v>
      </c>
      <c r="DY59" s="249">
        <f>'Net NR'!DD59</f>
        <v>11.084999999999996</v>
      </c>
      <c r="DZ59" s="250">
        <f t="shared" si="191"/>
        <v>5.3634114025400671E-2</v>
      </c>
      <c r="EA59" s="261">
        <f>'Net NR'!DF59</f>
        <v>106457.1583220569</v>
      </c>
      <c r="EB59" s="261">
        <f t="shared" si="229"/>
        <v>90483.186720292229</v>
      </c>
      <c r="EC59" s="261">
        <f>'Net NR'!DG59</f>
        <v>353.19350473612991</v>
      </c>
      <c r="ED59" s="251">
        <f t="shared" si="217"/>
        <v>15620.778097028542</v>
      </c>
      <c r="EE59" s="249">
        <f>'Net NR'!DI59</f>
        <v>4.3619999999999992</v>
      </c>
      <c r="EF59" s="250">
        <f t="shared" si="193"/>
        <v>3.2653325215665774E-2</v>
      </c>
      <c r="EG59" s="261">
        <f>'Net NR'!DK59</f>
        <v>106446.23567171014</v>
      </c>
      <c r="EH59" s="261">
        <f t="shared" si="230"/>
        <v>92813.186720292229</v>
      </c>
      <c r="EI59" s="261">
        <f>'Net NR'!DL59</f>
        <v>-3936.1072902338401</v>
      </c>
      <c r="EJ59" s="251">
        <f t="shared" si="194"/>
        <v>17569.156241651748</v>
      </c>
      <c r="EK59" s="249">
        <v>4.2109999999999976</v>
      </c>
      <c r="EL59" s="250">
        <f t="shared" si="219"/>
        <v>3.715190709888163E-2</v>
      </c>
      <c r="EM59" s="261">
        <v>106436.35478508673</v>
      </c>
      <c r="EN59" s="261">
        <v>92712</v>
      </c>
      <c r="EO59" s="261">
        <v>-3879.7387793873258</v>
      </c>
      <c r="EP59" s="251">
        <f t="shared" si="195"/>
        <v>17604.09356447406</v>
      </c>
    </row>
    <row r="60" spans="1:146" s="301" customFormat="1">
      <c r="A60" s="319" t="s">
        <v>208</v>
      </c>
      <c r="B60" s="299"/>
      <c r="C60" s="298"/>
      <c r="D60" s="299"/>
      <c r="E60" s="299"/>
      <c r="F60" s="299"/>
      <c r="G60" s="300"/>
      <c r="H60" s="297"/>
      <c r="I60" s="298"/>
      <c r="J60" s="320"/>
      <c r="K60" s="299"/>
      <c r="L60" s="299"/>
      <c r="M60" s="300"/>
      <c r="N60" s="323"/>
      <c r="O60" s="298"/>
      <c r="P60" s="299"/>
      <c r="Q60" s="299"/>
      <c r="R60" s="299"/>
      <c r="S60" s="300"/>
      <c r="T60" s="297"/>
      <c r="U60" s="298"/>
      <c r="V60" s="299"/>
      <c r="W60" s="299"/>
      <c r="X60" s="299"/>
      <c r="Y60" s="300"/>
      <c r="Z60" s="297"/>
      <c r="AA60" s="298"/>
      <c r="AB60" s="299"/>
      <c r="AC60" s="299"/>
      <c r="AD60" s="299"/>
      <c r="AE60" s="300"/>
      <c r="AF60" s="324"/>
      <c r="AG60" s="298"/>
      <c r="AH60" s="299"/>
      <c r="AI60" s="299"/>
      <c r="AJ60" s="299"/>
      <c r="AK60" s="300"/>
      <c r="AL60" s="324"/>
      <c r="AM60" s="298"/>
      <c r="AN60" s="299"/>
      <c r="AO60" s="299"/>
      <c r="AP60" s="299"/>
      <c r="AQ60" s="300"/>
      <c r="AR60" s="297"/>
      <c r="AS60" s="298"/>
      <c r="AT60" s="299"/>
      <c r="AU60" s="299"/>
      <c r="AV60" s="299"/>
      <c r="AW60" s="300"/>
      <c r="AX60" s="297"/>
      <c r="AY60" s="298"/>
      <c r="AZ60" s="299"/>
      <c r="BA60" s="299"/>
      <c r="BB60" s="299"/>
      <c r="BC60" s="300"/>
      <c r="BD60" s="324"/>
      <c r="BE60" s="298"/>
      <c r="BF60" s="299"/>
      <c r="BG60" s="299"/>
      <c r="BH60" s="299"/>
      <c r="BI60" s="300"/>
      <c r="BJ60" s="297"/>
      <c r="BK60" s="298"/>
      <c r="BL60" s="299"/>
      <c r="BM60" s="299"/>
      <c r="BN60" s="299"/>
      <c r="BO60" s="300"/>
      <c r="BP60" s="297"/>
      <c r="BQ60" s="298"/>
      <c r="BR60" s="299"/>
      <c r="BS60" s="299"/>
      <c r="BT60" s="299"/>
      <c r="BU60" s="300"/>
      <c r="BV60" s="322"/>
      <c r="BW60" s="297"/>
      <c r="BX60" s="298"/>
      <c r="BY60" s="299"/>
      <c r="BZ60" s="299"/>
      <c r="CA60" s="299"/>
      <c r="CB60" s="300"/>
      <c r="CC60" s="297"/>
      <c r="CD60" s="298"/>
      <c r="CE60" s="299"/>
      <c r="CF60" s="299"/>
      <c r="CG60" s="299"/>
      <c r="CH60" s="300"/>
      <c r="CI60" s="297">
        <v>2.3850000000000002</v>
      </c>
      <c r="CJ60" s="298">
        <f t="shared" si="177"/>
        <v>1.8142337247260488E-2</v>
      </c>
      <c r="CK60" s="299">
        <v>130026.28092243188</v>
      </c>
      <c r="CL60" s="299">
        <v>83553.448852792237</v>
      </c>
      <c r="CM60" s="299">
        <v>29957.236897274641</v>
      </c>
      <c r="CN60" s="300">
        <f t="shared" si="211"/>
        <v>16515.595172365</v>
      </c>
      <c r="CO60" s="297">
        <v>16.437500000000004</v>
      </c>
      <c r="CP60" s="298">
        <f t="shared" si="178"/>
        <v>0.13138388292427147</v>
      </c>
      <c r="CQ60" s="299">
        <v>101856.9892015206</v>
      </c>
      <c r="CR60" s="261">
        <f t="shared" si="223"/>
        <v>84363.448852792237</v>
      </c>
      <c r="CS60" s="261">
        <v>857.07315589353607</v>
      </c>
      <c r="CT60" s="300">
        <f t="shared" si="212"/>
        <v>16636.467192834825</v>
      </c>
      <c r="CU60" s="249">
        <v>8.4274999999999896</v>
      </c>
      <c r="CV60" s="250">
        <f t="shared" si="180"/>
        <v>7.3571039156554136E-2</v>
      </c>
      <c r="CW60" s="261">
        <v>101688.60160189863</v>
      </c>
      <c r="CX60" s="261">
        <f>CR60+1762</f>
        <v>86125.448852792237</v>
      </c>
      <c r="CY60" s="261">
        <v>1007.8825274399298</v>
      </c>
      <c r="CZ60" s="251">
        <f t="shared" si="182"/>
        <v>14555.27022166646</v>
      </c>
      <c r="DA60" s="249">
        <v>8.1704999999999917</v>
      </c>
      <c r="DB60" s="250">
        <f t="shared" si="183"/>
        <v>7.5276257091842394E-2</v>
      </c>
      <c r="DC60" s="261">
        <v>101633.98935193688</v>
      </c>
      <c r="DD60" s="261">
        <f t="shared" si="231"/>
        <v>90806.448852792237</v>
      </c>
      <c r="DE60" s="261">
        <v>-541.42708524570389</v>
      </c>
      <c r="DF60" s="251">
        <f t="shared" si="184"/>
        <v>11368.967584390346</v>
      </c>
      <c r="DG60" s="249">
        <v>9.0879999999999992</v>
      </c>
      <c r="DH60" s="250">
        <f t="shared" si="185"/>
        <v>4.9360830741477818E-2</v>
      </c>
      <c r="DI60" s="261">
        <v>101618.30985915495</v>
      </c>
      <c r="DJ60" s="261">
        <f t="shared" si="214"/>
        <v>90806.448852792237</v>
      </c>
      <c r="DK60" s="261">
        <v>-3884.4388204225347</v>
      </c>
      <c r="DL60" s="251">
        <f t="shared" si="186"/>
        <v>14696.299826785247</v>
      </c>
      <c r="DM60" s="249">
        <v>6.2999999999999972</v>
      </c>
      <c r="DN60" s="250">
        <f t="shared" si="187"/>
        <v>3.0627206720020599E-2</v>
      </c>
      <c r="DO60" s="261">
        <v>101599.36349206349</v>
      </c>
      <c r="DP60" s="261">
        <f t="shared" si="227"/>
        <v>90806.448852792237</v>
      </c>
      <c r="DQ60" s="261">
        <v>-4087.3015873015925</v>
      </c>
      <c r="DR60" s="251">
        <f t="shared" si="188"/>
        <v>14880.216226572849</v>
      </c>
      <c r="DS60" s="249">
        <v>4.9199999999999928</v>
      </c>
      <c r="DT60" s="250">
        <f t="shared" si="189"/>
        <v>2.3951915070014283E-2</v>
      </c>
      <c r="DU60" s="261">
        <v>106649.90853658548</v>
      </c>
      <c r="DV60" s="261">
        <f>DP60-730</f>
        <v>90076.448852792237</v>
      </c>
      <c r="DW60" s="261">
        <v>746.04065040650528</v>
      </c>
      <c r="DX60" s="251">
        <f t="shared" si="190"/>
        <v>15827.419033386743</v>
      </c>
      <c r="DY60" s="249">
        <f>'Net NR'!DD60</f>
        <v>9.7800000000000011</v>
      </c>
      <c r="DZ60" s="250">
        <f t="shared" si="191"/>
        <v>4.7319949045414415E-2</v>
      </c>
      <c r="EA60" s="261">
        <f>'Net NR'!DF60</f>
        <v>106474.40899795515</v>
      </c>
      <c r="EB60" s="261">
        <f t="shared" si="229"/>
        <v>88826.448852792237</v>
      </c>
      <c r="EC60" s="261">
        <f>'Net NR'!DG60</f>
        <v>179.27198364008157</v>
      </c>
      <c r="ED60" s="251">
        <f t="shared" si="217"/>
        <v>17468.68816152283</v>
      </c>
      <c r="EE60" s="249">
        <f>'Net NR'!DI60</f>
        <v>4.4970000000000008</v>
      </c>
      <c r="EF60" s="250">
        <f t="shared" si="193"/>
        <v>3.3663916436233156E-2</v>
      </c>
      <c r="EG60" s="261">
        <f>'Net NR'!DK60</f>
        <v>106470.70491438724</v>
      </c>
      <c r="EH60" s="261">
        <f t="shared" si="230"/>
        <v>91156.448852792237</v>
      </c>
      <c r="EI60" s="261">
        <f>'Net NR'!DL60</f>
        <v>-3677.3493440071138</v>
      </c>
      <c r="EJ60" s="251">
        <f t="shared" si="194"/>
        <v>18991.60540560212</v>
      </c>
      <c r="EK60" s="249">
        <v>4.2599999999999971</v>
      </c>
      <c r="EL60" s="250">
        <f t="shared" si="219"/>
        <v>3.7584213783242872E-2</v>
      </c>
      <c r="EM60" s="261">
        <v>106499.24413145546</v>
      </c>
      <c r="EN60" s="261">
        <v>92712</v>
      </c>
      <c r="EO60" s="261">
        <v>-3730.3403755868621</v>
      </c>
      <c r="EP60" s="251">
        <f t="shared" si="195"/>
        <v>17517.584507042324</v>
      </c>
    </row>
    <row r="61" spans="1:146" s="301" customFormat="1">
      <c r="A61" t="s">
        <v>264</v>
      </c>
      <c r="B61" s="299"/>
      <c r="C61" s="298"/>
      <c r="D61" s="299"/>
      <c r="E61" s="299"/>
      <c r="F61" s="299"/>
      <c r="G61" s="300"/>
      <c r="H61" s="297"/>
      <c r="I61" s="298"/>
      <c r="J61" s="320"/>
      <c r="K61" s="299"/>
      <c r="L61" s="299"/>
      <c r="M61" s="300"/>
      <c r="N61" s="323"/>
      <c r="O61" s="298"/>
      <c r="P61" s="299"/>
      <c r="Q61" s="299"/>
      <c r="R61" s="299"/>
      <c r="S61" s="300"/>
      <c r="T61" s="297"/>
      <c r="U61" s="298"/>
      <c r="V61" s="299"/>
      <c r="W61" s="299"/>
      <c r="X61" s="299"/>
      <c r="Y61" s="300"/>
      <c r="Z61" s="297"/>
      <c r="AA61" s="298"/>
      <c r="AB61" s="299"/>
      <c r="AC61" s="299"/>
      <c r="AD61" s="299"/>
      <c r="AE61" s="300"/>
      <c r="AF61" s="324"/>
      <c r="AG61" s="298"/>
      <c r="AH61" s="299"/>
      <c r="AI61" s="299"/>
      <c r="AJ61" s="299"/>
      <c r="AK61" s="300"/>
      <c r="AL61" s="324"/>
      <c r="AM61" s="298"/>
      <c r="AN61" s="299"/>
      <c r="AO61" s="299"/>
      <c r="AP61" s="299"/>
      <c r="AQ61" s="300"/>
      <c r="AR61" s="297"/>
      <c r="AS61" s="298"/>
      <c r="AT61" s="299"/>
      <c r="AU61" s="299"/>
      <c r="AV61" s="299"/>
      <c r="AW61" s="300"/>
      <c r="AX61" s="297"/>
      <c r="AY61" s="298"/>
      <c r="AZ61" s="299"/>
      <c r="BA61" s="299"/>
      <c r="BB61" s="299"/>
      <c r="BC61" s="300"/>
      <c r="BD61" s="324"/>
      <c r="BE61" s="298"/>
      <c r="BF61" s="299"/>
      <c r="BG61" s="299"/>
      <c r="BH61" s="299"/>
      <c r="BI61" s="300"/>
      <c r="BJ61" s="297"/>
      <c r="BK61" s="298"/>
      <c r="BL61" s="299"/>
      <c r="BM61" s="299"/>
      <c r="BN61" s="299"/>
      <c r="BO61" s="300"/>
      <c r="BP61" s="297"/>
      <c r="BQ61" s="298"/>
      <c r="BR61" s="299"/>
      <c r="BS61" s="299"/>
      <c r="BT61" s="299"/>
      <c r="BU61" s="300"/>
      <c r="BV61" s="322"/>
      <c r="BW61" s="297"/>
      <c r="BX61" s="298"/>
      <c r="BY61" s="299"/>
      <c r="BZ61" s="299"/>
      <c r="CA61" s="299"/>
      <c r="CB61" s="300"/>
      <c r="CC61" s="297"/>
      <c r="CD61" s="298"/>
      <c r="CE61" s="299"/>
      <c r="CF61" s="299"/>
      <c r="CG61" s="299"/>
      <c r="CH61" s="300"/>
      <c r="CI61" s="297"/>
      <c r="CJ61" s="298"/>
      <c r="CK61" s="299"/>
      <c r="CL61" s="299"/>
      <c r="CM61" s="299"/>
      <c r="CN61" s="300"/>
      <c r="CO61" s="297"/>
      <c r="CP61" s="298"/>
      <c r="CQ61" s="299"/>
      <c r="CR61" s="261"/>
      <c r="CS61" s="261"/>
      <c r="CT61" s="300"/>
      <c r="CU61" s="249"/>
      <c r="CV61" s="250"/>
      <c r="CW61" s="261"/>
      <c r="CX61" s="261"/>
      <c r="CY61" s="261"/>
      <c r="CZ61" s="251"/>
      <c r="DA61" s="249"/>
      <c r="DB61" s="250"/>
      <c r="DC61" s="261"/>
      <c r="DD61" s="261"/>
      <c r="DE61" s="261"/>
      <c r="DF61" s="251"/>
      <c r="DG61" s="249"/>
      <c r="DH61" s="250"/>
      <c r="DI61" s="261"/>
      <c r="DJ61" s="261"/>
      <c r="DK61" s="261"/>
      <c r="DL61" s="251"/>
      <c r="DM61" s="249"/>
      <c r="DN61" s="250"/>
      <c r="DO61" s="261"/>
      <c r="DP61" s="261"/>
      <c r="DQ61" s="261"/>
      <c r="DR61" s="251"/>
      <c r="DS61" s="249"/>
      <c r="DT61" s="250"/>
      <c r="DU61" s="261"/>
      <c r="DV61" s="261"/>
      <c r="DW61" s="261"/>
      <c r="DX61" s="251"/>
      <c r="DY61" s="249"/>
      <c r="DZ61" s="250"/>
      <c r="EA61" s="261"/>
      <c r="EB61" s="261"/>
      <c r="EC61" s="261"/>
      <c r="ED61" s="251"/>
      <c r="EE61" s="249">
        <f>'Net NR'!DI61</f>
        <v>22.576319999999981</v>
      </c>
      <c r="EF61" s="250">
        <f t="shared" si="193"/>
        <v>0.16900319099792274</v>
      </c>
      <c r="EG61" s="261">
        <f>'Net NR'!DK61</f>
        <v>94337.070434862908</v>
      </c>
      <c r="EH61" s="261">
        <f>EH57</f>
        <v>82080.294746552245</v>
      </c>
      <c r="EI61" s="261">
        <f>'Net NR'!DL61</f>
        <v>344.78914189735099</v>
      </c>
      <c r="EJ61" s="251">
        <f t="shared" si="194"/>
        <v>11911.986546413313</v>
      </c>
      <c r="EK61" s="249">
        <v>20.106449999999924</v>
      </c>
      <c r="EL61" s="250">
        <f t="shared" si="219"/>
        <v>0.17739087211785945</v>
      </c>
      <c r="EM61" s="261">
        <v>94414.18947651182</v>
      </c>
      <c r="EN61" s="261">
        <v>84172</v>
      </c>
      <c r="EO61" s="261">
        <v>1087.6395385560395</v>
      </c>
      <c r="EP61" s="251">
        <f t="shared" si="195"/>
        <v>9154.5499379557805</v>
      </c>
    </row>
    <row r="62" spans="1:146" s="301" customFormat="1">
      <c r="A62" t="s">
        <v>265</v>
      </c>
      <c r="B62" s="299"/>
      <c r="C62" s="298"/>
      <c r="D62" s="299"/>
      <c r="E62" s="299"/>
      <c r="F62" s="299"/>
      <c r="G62" s="300"/>
      <c r="H62" s="297"/>
      <c r="I62" s="298"/>
      <c r="J62" s="320"/>
      <c r="K62" s="299"/>
      <c r="L62" s="299"/>
      <c r="M62" s="300"/>
      <c r="N62" s="323"/>
      <c r="O62" s="298"/>
      <c r="P62" s="299"/>
      <c r="Q62" s="299"/>
      <c r="R62" s="299"/>
      <c r="S62" s="300"/>
      <c r="T62" s="297"/>
      <c r="U62" s="298"/>
      <c r="V62" s="299"/>
      <c r="W62" s="299"/>
      <c r="X62" s="299"/>
      <c r="Y62" s="300"/>
      <c r="Z62" s="297"/>
      <c r="AA62" s="298"/>
      <c r="AB62" s="299"/>
      <c r="AC62" s="299"/>
      <c r="AD62" s="299"/>
      <c r="AE62" s="300"/>
      <c r="AF62" s="324"/>
      <c r="AG62" s="298"/>
      <c r="AH62" s="299"/>
      <c r="AI62" s="299"/>
      <c r="AJ62" s="299"/>
      <c r="AK62" s="300"/>
      <c r="AL62" s="324"/>
      <c r="AM62" s="298"/>
      <c r="AN62" s="299"/>
      <c r="AO62" s="299"/>
      <c r="AP62" s="299"/>
      <c r="AQ62" s="300"/>
      <c r="AR62" s="297"/>
      <c r="AS62" s="298"/>
      <c r="AT62" s="299"/>
      <c r="AU62" s="299"/>
      <c r="AV62" s="299"/>
      <c r="AW62" s="300"/>
      <c r="AX62" s="297"/>
      <c r="AY62" s="298"/>
      <c r="AZ62" s="299"/>
      <c r="BA62" s="299"/>
      <c r="BB62" s="299"/>
      <c r="BC62" s="300"/>
      <c r="BD62" s="324"/>
      <c r="BE62" s="298"/>
      <c r="BF62" s="299"/>
      <c r="BG62" s="299"/>
      <c r="BH62" s="299"/>
      <c r="BI62" s="300"/>
      <c r="BJ62" s="297"/>
      <c r="BK62" s="298"/>
      <c r="BL62" s="299"/>
      <c r="BM62" s="299"/>
      <c r="BN62" s="299"/>
      <c r="BO62" s="300"/>
      <c r="BP62" s="297"/>
      <c r="BQ62" s="298"/>
      <c r="BR62" s="299"/>
      <c r="BS62" s="299"/>
      <c r="BT62" s="299"/>
      <c r="BU62" s="300"/>
      <c r="BV62" s="322"/>
      <c r="BW62" s="297"/>
      <c r="BX62" s="298"/>
      <c r="BY62" s="299"/>
      <c r="BZ62" s="299"/>
      <c r="CA62" s="299"/>
      <c r="CB62" s="300"/>
      <c r="CC62" s="297"/>
      <c r="CD62" s="298"/>
      <c r="CE62" s="299"/>
      <c r="CF62" s="299"/>
      <c r="CG62" s="299"/>
      <c r="CH62" s="300"/>
      <c r="CI62" s="297"/>
      <c r="CJ62" s="298"/>
      <c r="CK62" s="299"/>
      <c r="CL62" s="299"/>
      <c r="CM62" s="299"/>
      <c r="CN62" s="300"/>
      <c r="CO62" s="297"/>
      <c r="CP62" s="298"/>
      <c r="CQ62" s="299"/>
      <c r="CR62" s="261"/>
      <c r="CS62" s="261"/>
      <c r="CT62" s="300"/>
      <c r="CU62" s="249"/>
      <c r="CV62" s="250"/>
      <c r="CW62" s="261"/>
      <c r="CX62" s="261"/>
      <c r="CY62" s="261"/>
      <c r="CZ62" s="251"/>
      <c r="DA62" s="249"/>
      <c r="DB62" s="250"/>
      <c r="DC62" s="261"/>
      <c r="DD62" s="261"/>
      <c r="DE62" s="261"/>
      <c r="DF62" s="251"/>
      <c r="DG62" s="249"/>
      <c r="DH62" s="250"/>
      <c r="DI62" s="261"/>
      <c r="DJ62" s="261"/>
      <c r="DK62" s="261"/>
      <c r="DL62" s="251"/>
      <c r="DM62" s="249"/>
      <c r="DN62" s="250"/>
      <c r="DO62" s="261"/>
      <c r="DP62" s="261"/>
      <c r="DQ62" s="261"/>
      <c r="DR62" s="251"/>
      <c r="DS62" s="249"/>
      <c r="DT62" s="250"/>
      <c r="DU62" s="261"/>
      <c r="DV62" s="261"/>
      <c r="DW62" s="261"/>
      <c r="DX62" s="251"/>
      <c r="DY62" s="249"/>
      <c r="DZ62" s="250"/>
      <c r="EA62" s="261"/>
      <c r="EB62" s="261"/>
      <c r="EC62" s="261"/>
      <c r="ED62" s="251"/>
      <c r="EE62" s="249">
        <f>'Net NR'!DI62</f>
        <v>7.0200000000000067</v>
      </c>
      <c r="EF62" s="250">
        <f t="shared" si="193"/>
        <v>5.255074346950344E-2</v>
      </c>
      <c r="EG62" s="261">
        <f>'Net NR'!DK62</f>
        <v>94313.401709401645</v>
      </c>
      <c r="EH62" s="261">
        <f>EH55</f>
        <v>82220.338314052249</v>
      </c>
      <c r="EI62" s="261">
        <f>'Net NR'!DL62</f>
        <v>1285.4316239316224</v>
      </c>
      <c r="EJ62" s="251">
        <f t="shared" si="194"/>
        <v>10807.631771417773</v>
      </c>
      <c r="EK62" s="249">
        <v>4.7455200000000026</v>
      </c>
      <c r="EL62" s="250">
        <f t="shared" si="219"/>
        <v>4.1867755444285192E-2</v>
      </c>
      <c r="EM62" s="261">
        <v>94410.559854346749</v>
      </c>
      <c r="EN62" s="261">
        <v>84172</v>
      </c>
      <c r="EO62" s="261">
        <v>733.70463089397947</v>
      </c>
      <c r="EP62" s="251">
        <f t="shared" si="195"/>
        <v>9504.8552234527706</v>
      </c>
    </row>
    <row r="63" spans="1:146" s="301" customFormat="1">
      <c r="A63" t="s">
        <v>266</v>
      </c>
      <c r="B63" s="299"/>
      <c r="C63" s="298"/>
      <c r="D63" s="299"/>
      <c r="E63" s="299"/>
      <c r="F63" s="299"/>
      <c r="G63" s="300"/>
      <c r="H63" s="297"/>
      <c r="I63" s="298"/>
      <c r="J63" s="320"/>
      <c r="K63" s="299"/>
      <c r="L63" s="299"/>
      <c r="M63" s="300"/>
      <c r="N63" s="323"/>
      <c r="O63" s="298"/>
      <c r="P63" s="299"/>
      <c r="Q63" s="299"/>
      <c r="R63" s="299"/>
      <c r="S63" s="300"/>
      <c r="T63" s="297"/>
      <c r="U63" s="298"/>
      <c r="V63" s="299"/>
      <c r="W63" s="299"/>
      <c r="X63" s="299"/>
      <c r="Y63" s="300"/>
      <c r="Z63" s="297"/>
      <c r="AA63" s="298"/>
      <c r="AB63" s="299"/>
      <c r="AC63" s="299"/>
      <c r="AD63" s="299"/>
      <c r="AE63" s="300"/>
      <c r="AF63" s="324"/>
      <c r="AG63" s="298"/>
      <c r="AH63" s="299"/>
      <c r="AI63" s="299"/>
      <c r="AJ63" s="299"/>
      <c r="AK63" s="300"/>
      <c r="AL63" s="324"/>
      <c r="AM63" s="298"/>
      <c r="AN63" s="299"/>
      <c r="AO63" s="299"/>
      <c r="AP63" s="299"/>
      <c r="AQ63" s="300"/>
      <c r="AR63" s="297"/>
      <c r="AS63" s="298"/>
      <c r="AT63" s="299"/>
      <c r="AU63" s="299"/>
      <c r="AV63" s="299"/>
      <c r="AW63" s="300"/>
      <c r="AX63" s="297"/>
      <c r="AY63" s="298"/>
      <c r="AZ63" s="299"/>
      <c r="BA63" s="299"/>
      <c r="BB63" s="299"/>
      <c r="BC63" s="300"/>
      <c r="BD63" s="324"/>
      <c r="BE63" s="298"/>
      <c r="BF63" s="299"/>
      <c r="BG63" s="299"/>
      <c r="BH63" s="299"/>
      <c r="BI63" s="300"/>
      <c r="BJ63" s="297"/>
      <c r="BK63" s="298"/>
      <c r="BL63" s="299"/>
      <c r="BM63" s="299"/>
      <c r="BN63" s="299"/>
      <c r="BO63" s="300"/>
      <c r="BP63" s="297"/>
      <c r="BQ63" s="298"/>
      <c r="BR63" s="299"/>
      <c r="BS63" s="299"/>
      <c r="BT63" s="299"/>
      <c r="BU63" s="300"/>
      <c r="BV63" s="322"/>
      <c r="BW63" s="297"/>
      <c r="BX63" s="298"/>
      <c r="BY63" s="299"/>
      <c r="BZ63" s="299"/>
      <c r="CA63" s="299"/>
      <c r="CB63" s="300"/>
      <c r="CC63" s="297"/>
      <c r="CD63" s="298"/>
      <c r="CE63" s="299"/>
      <c r="CF63" s="299"/>
      <c r="CG63" s="299"/>
      <c r="CH63" s="300"/>
      <c r="CI63" s="297"/>
      <c r="CJ63" s="298"/>
      <c r="CK63" s="299"/>
      <c r="CL63" s="299"/>
      <c r="CM63" s="299"/>
      <c r="CN63" s="300"/>
      <c r="CO63" s="297"/>
      <c r="CP63" s="298"/>
      <c r="CQ63" s="299"/>
      <c r="CR63" s="261"/>
      <c r="CS63" s="261"/>
      <c r="CT63" s="300"/>
      <c r="CU63" s="249"/>
      <c r="CV63" s="250"/>
      <c r="CW63" s="261"/>
      <c r="CX63" s="261"/>
      <c r="CY63" s="261"/>
      <c r="CZ63" s="251"/>
      <c r="DA63" s="249"/>
      <c r="DB63" s="250"/>
      <c r="DC63" s="261"/>
      <c r="DD63" s="261"/>
      <c r="DE63" s="261"/>
      <c r="DF63" s="251"/>
      <c r="DG63" s="249"/>
      <c r="DH63" s="250"/>
      <c r="DI63" s="261"/>
      <c r="DJ63" s="261"/>
      <c r="DK63" s="261"/>
      <c r="DL63" s="251"/>
      <c r="DM63" s="249"/>
      <c r="DN63" s="250"/>
      <c r="DO63" s="261"/>
      <c r="DP63" s="261"/>
      <c r="DQ63" s="261"/>
      <c r="DR63" s="251"/>
      <c r="DS63" s="249"/>
      <c r="DT63" s="250"/>
      <c r="DU63" s="261"/>
      <c r="DV63" s="261"/>
      <c r="DW63" s="261"/>
      <c r="DX63" s="251"/>
      <c r="DY63" s="249"/>
      <c r="DZ63" s="250"/>
      <c r="EA63" s="261"/>
      <c r="EB63" s="261"/>
      <c r="EC63" s="261"/>
      <c r="ED63" s="251"/>
      <c r="EE63" s="249">
        <f>'Net NR'!DI63</f>
        <v>19.159919999999971</v>
      </c>
      <c r="EF63" s="250">
        <f t="shared" si="193"/>
        <v>0.14342849584276435</v>
      </c>
      <c r="EG63" s="261">
        <f>'Net NR'!DK63</f>
        <v>94327.524853966359</v>
      </c>
      <c r="EH63" s="261">
        <f>EH56</f>
        <v>83731.392614052238</v>
      </c>
      <c r="EI63" s="261">
        <f>'Net NR'!DL63</f>
        <v>1112.1137249007324</v>
      </c>
      <c r="EJ63" s="251">
        <f t="shared" si="194"/>
        <v>9484.0185150133875</v>
      </c>
      <c r="EK63" s="249">
        <v>18.05543999999993</v>
      </c>
      <c r="EL63" s="250">
        <f t="shared" si="219"/>
        <v>0.15929566124659916</v>
      </c>
      <c r="EM63" s="261">
        <v>94451.763014360826</v>
      </c>
      <c r="EN63" s="261">
        <v>84172</v>
      </c>
      <c r="EO63" s="261">
        <v>1051.642607435768</v>
      </c>
      <c r="EP63" s="251">
        <f t="shared" si="195"/>
        <v>9228.120406925058</v>
      </c>
    </row>
    <row r="64" spans="1:146" s="301" customFormat="1" ht="15.75" thickBot="1">
      <c r="A64" s="319"/>
      <c r="B64" s="299"/>
      <c r="C64" s="298"/>
      <c r="D64" s="299"/>
      <c r="E64" s="299"/>
      <c r="F64" s="299"/>
      <c r="G64" s="300"/>
      <c r="H64" s="297"/>
      <c r="I64" s="298"/>
      <c r="J64" s="320"/>
      <c r="K64" s="299"/>
      <c r="L64" s="299"/>
      <c r="M64" s="300"/>
      <c r="N64" s="323"/>
      <c r="O64" s="298"/>
      <c r="P64" s="299"/>
      <c r="Q64" s="299"/>
      <c r="R64" s="299"/>
      <c r="S64" s="300"/>
      <c r="T64" s="297"/>
      <c r="U64" s="298"/>
      <c r="V64" s="299"/>
      <c r="W64" s="299"/>
      <c r="X64" s="299"/>
      <c r="Y64" s="300"/>
      <c r="Z64" s="297"/>
      <c r="AA64" s="298"/>
      <c r="AB64" s="299"/>
      <c r="AC64" s="299"/>
      <c r="AD64" s="299"/>
      <c r="AE64" s="300"/>
      <c r="AF64" s="324"/>
      <c r="AG64" s="298"/>
      <c r="AH64" s="299"/>
      <c r="AI64" s="299"/>
      <c r="AJ64" s="299"/>
      <c r="AK64" s="300"/>
      <c r="AL64" s="324"/>
      <c r="AM64" s="298"/>
      <c r="AN64" s="299"/>
      <c r="AO64" s="299"/>
      <c r="AP64" s="299"/>
      <c r="AQ64" s="300"/>
      <c r="AR64" s="297"/>
      <c r="AS64" s="298"/>
      <c r="AT64" s="299"/>
      <c r="AU64" s="299"/>
      <c r="AV64" s="299"/>
      <c r="AW64" s="300"/>
      <c r="AX64" s="297"/>
      <c r="AY64" s="298"/>
      <c r="AZ64" s="299"/>
      <c r="BA64" s="299"/>
      <c r="BB64" s="299"/>
      <c r="BC64" s="300"/>
      <c r="BD64" s="324"/>
      <c r="BE64" s="298"/>
      <c r="BF64" s="299"/>
      <c r="BG64" s="299"/>
      <c r="BH64" s="299"/>
      <c r="BI64" s="300"/>
      <c r="BJ64" s="297"/>
      <c r="BK64" s="298"/>
      <c r="BL64" s="299"/>
      <c r="BM64" s="299"/>
      <c r="BN64" s="299"/>
      <c r="BO64" s="300"/>
      <c r="BP64" s="297"/>
      <c r="BQ64" s="298"/>
      <c r="BR64" s="299"/>
      <c r="BS64" s="299"/>
      <c r="BT64" s="299"/>
      <c r="BU64" s="300"/>
      <c r="BV64" s="322"/>
      <c r="BW64" s="297"/>
      <c r="BX64" s="298"/>
      <c r="BY64" s="299"/>
      <c r="BZ64" s="299"/>
      <c r="CA64" s="299"/>
      <c r="CB64" s="300"/>
      <c r="CC64" s="297"/>
      <c r="CD64" s="298"/>
      <c r="CE64" s="299"/>
      <c r="CF64" s="299"/>
      <c r="CG64" s="299"/>
      <c r="CH64" s="300">
        <f t="shared" si="210"/>
        <v>0</v>
      </c>
      <c r="CI64" s="297">
        <v>0</v>
      </c>
      <c r="CJ64" s="298"/>
      <c r="CK64" s="299">
        <v>0</v>
      </c>
      <c r="CL64" s="299"/>
      <c r="CM64" s="299"/>
      <c r="CN64" s="300">
        <f t="shared" si="211"/>
        <v>0</v>
      </c>
      <c r="CO64" s="297">
        <v>0</v>
      </c>
      <c r="CP64" s="298">
        <f>CO64/CO$65</f>
        <v>0</v>
      </c>
      <c r="CQ64" s="299">
        <v>0</v>
      </c>
      <c r="CR64" s="299"/>
      <c r="CS64" s="261">
        <v>0</v>
      </c>
      <c r="CT64" s="300">
        <f t="shared" si="212"/>
        <v>0</v>
      </c>
      <c r="CU64" s="297">
        <v>0</v>
      </c>
      <c r="CV64" s="250">
        <f>CU64/CU$65</f>
        <v>0</v>
      </c>
      <c r="CW64" s="299">
        <v>0</v>
      </c>
      <c r="CX64" s="299"/>
      <c r="CY64" s="261">
        <v>0</v>
      </c>
      <c r="CZ64" s="300">
        <f t="shared" si="182"/>
        <v>0</v>
      </c>
      <c r="DA64" s="249">
        <v>0</v>
      </c>
      <c r="DB64" s="250">
        <f>DA64/DA$65</f>
        <v>0</v>
      </c>
      <c r="DC64" s="261">
        <v>0</v>
      </c>
      <c r="DD64" s="299"/>
      <c r="DE64" s="261"/>
      <c r="DF64" s="300">
        <f t="shared" si="184"/>
        <v>0</v>
      </c>
      <c r="DG64" s="249">
        <v>0</v>
      </c>
      <c r="DH64" s="250">
        <f>DG64/DG$65</f>
        <v>0</v>
      </c>
      <c r="DI64" s="261">
        <v>0</v>
      </c>
      <c r="DJ64" s="299"/>
      <c r="DK64" s="261"/>
      <c r="DL64" s="300">
        <f t="shared" si="186"/>
        <v>0</v>
      </c>
      <c r="DM64" s="249">
        <v>0</v>
      </c>
      <c r="DN64" s="250">
        <f>DM64/DM$65</f>
        <v>0</v>
      </c>
      <c r="DO64" s="261">
        <v>0</v>
      </c>
      <c r="DP64" s="299"/>
      <c r="DQ64" s="261"/>
      <c r="DR64" s="300">
        <f t="shared" si="188"/>
        <v>0</v>
      </c>
      <c r="DS64" s="249"/>
      <c r="DT64" s="250">
        <f>DS64/DS$65</f>
        <v>0</v>
      </c>
      <c r="DU64" s="261"/>
      <c r="DV64" s="299"/>
      <c r="DW64" s="261"/>
      <c r="DX64" s="300"/>
      <c r="DY64" s="249"/>
      <c r="DZ64" s="250">
        <f>DY64/DY$65</f>
        <v>0</v>
      </c>
      <c r="EA64" s="261"/>
      <c r="EB64" s="299"/>
      <c r="EC64" s="261"/>
      <c r="ED64" s="300"/>
      <c r="EE64" s="249"/>
      <c r="EF64" s="250"/>
      <c r="EG64" s="261"/>
      <c r="EH64" s="299"/>
      <c r="EI64" s="261"/>
      <c r="EJ64" s="300"/>
      <c r="EK64" s="249"/>
      <c r="EL64" s="250"/>
      <c r="EM64" s="261"/>
      <c r="EN64" s="261"/>
      <c r="EO64" s="261"/>
      <c r="EP64" s="300"/>
    </row>
    <row r="65" spans="1:146" s="110" customFormat="1" ht="15.75" thickBot="1">
      <c r="A65" s="252" t="s">
        <v>140</v>
      </c>
      <c r="B65" s="253">
        <f>SUM(B36:B54)</f>
        <v>92.17564999999999</v>
      </c>
      <c r="C65" s="306">
        <f>B65/B$65</f>
        <v>1</v>
      </c>
      <c r="D65" s="294">
        <f>SUMPRODUCT(B36:B54,D36:D54)/B65</f>
        <v>158858.60100473335</v>
      </c>
      <c r="E65" s="255">
        <f>SUMPRODUCT(B36:B54,E36:E54)/B65</f>
        <v>90635.198097347864</v>
      </c>
      <c r="F65" s="255">
        <f>SUMPRODUCT(B36:B54,F36:F54)/B65</f>
        <v>5473.7315014248661</v>
      </c>
      <c r="G65" s="268">
        <f>SUMPRODUCT(B36:B54,G36:G54)/B65</f>
        <v>62749.671405960617</v>
      </c>
      <c r="H65" s="253">
        <f t="shared" ref="H65" si="232">SUM(H36:H54)</f>
        <v>70.919225000000111</v>
      </c>
      <c r="I65" s="306">
        <f>SUM(I36:I54)</f>
        <v>0.99999999999999989</v>
      </c>
      <c r="J65" s="294">
        <f t="shared" ref="J65" si="233">SUMPRODUCT(H36:H54,J36:J54)/H65</f>
        <v>160589.29893206726</v>
      </c>
      <c r="K65" s="255">
        <f t="shared" ref="K65" si="234">SUMPRODUCT(H36:H54,K36:K54)/H65</f>
        <v>88998.777828197679</v>
      </c>
      <c r="L65" s="255">
        <f t="shared" ref="L65" si="235">SUMPRODUCT(H36:H54,L36:L54)/H65</f>
        <v>5522.1368825123782</v>
      </c>
      <c r="M65" s="268">
        <f t="shared" ref="M65" si="236">SUMPRODUCT(H36:H54,M36:M54)/H65</f>
        <v>66068.384221357206</v>
      </c>
      <c r="N65" s="253">
        <f t="shared" ref="N65" si="237">SUM(N36:N54)</f>
        <v>88.056725000000128</v>
      </c>
      <c r="O65" s="306">
        <f>SUM(O36:O54)</f>
        <v>0.99999999999999967</v>
      </c>
      <c r="P65" s="294">
        <f t="shared" ref="P65" si="238">SUMPRODUCT(N36:N54,P36:P54)/N65</f>
        <v>161011.73844061061</v>
      </c>
      <c r="Q65" s="255">
        <f t="shared" ref="Q65" si="239">SUMPRODUCT(N36:N54,Q36:Q54)/N65</f>
        <v>88634.765969726941</v>
      </c>
      <c r="R65" s="255">
        <f t="shared" ref="R65" si="240">SUMPRODUCT(N36:N54,R36:R54)/N65</f>
        <v>5264.4085023998887</v>
      </c>
      <c r="S65" s="268">
        <f t="shared" ref="S65" si="241">SUMPRODUCT(N36:N54,S36:S54)/N65</f>
        <v>67112.563968483781</v>
      </c>
      <c r="T65" s="253">
        <f t="shared" ref="T65" si="242">SUM(T36:T54)</f>
        <v>88.978200000000115</v>
      </c>
      <c r="U65" s="306">
        <f>SUM(U36:U54)</f>
        <v>0.99999999999999978</v>
      </c>
      <c r="V65" s="294">
        <f t="shared" ref="V65" si="243">SUMPRODUCT(T36:T54,V36:V54)/T65</f>
        <v>153979.14973505645</v>
      </c>
      <c r="W65" s="255">
        <f t="shared" ref="W65" si="244">SUMPRODUCT(T36:T54,W36:W54)/T65</f>
        <v>91004.450956700661</v>
      </c>
      <c r="X65" s="255">
        <f t="shared" ref="X65" si="245">SUMPRODUCT(T36:T54,X36:X54)/T65</f>
        <v>8835.7621584405006</v>
      </c>
      <c r="Y65" s="268">
        <f t="shared" ref="Y65" si="246">SUMPRODUCT(T36:T54,Y36:Y54)/T65</f>
        <v>54138.93661991525</v>
      </c>
      <c r="Z65" s="253">
        <f t="shared" ref="Z65" si="247">SUM(Z36:Z54)</f>
        <v>90.556825000000117</v>
      </c>
      <c r="AA65" s="306">
        <f>SUM(AA36:AA54)</f>
        <v>0.99999999999999989</v>
      </c>
      <c r="AB65" s="294">
        <f t="shared" ref="AB65" si="248">SUMPRODUCT(Z36:Z54,AB36:AB54)/Z65</f>
        <v>153860.17313866969</v>
      </c>
      <c r="AC65" s="255">
        <f t="shared" ref="AC65" si="249">SUMPRODUCT(Z36:Z54,AC36:AC54)/Z65</f>
        <v>90847.197080135229</v>
      </c>
      <c r="AD65" s="255">
        <f t="shared" ref="AD65" si="250">SUMPRODUCT(Z36:Z54,AD36:AD54)/Z65</f>
        <v>6202.1959833999535</v>
      </c>
      <c r="AE65" s="268">
        <f t="shared" ref="AE65" si="251">SUMPRODUCT(Z36:Z54,AE36:AE54)/Z65</f>
        <v>56810.780075134506</v>
      </c>
      <c r="AF65" s="253">
        <f t="shared" ref="AF65" si="252">SUM(AF36:AF54)</f>
        <v>103.40818279999998</v>
      </c>
      <c r="AG65" s="306">
        <f>SUM(AG36:AG54)</f>
        <v>0.99999999999999978</v>
      </c>
      <c r="AH65" s="294">
        <f t="shared" ref="AH65" si="253">SUMPRODUCT(AF36:AF54,AH36:AH54)/AF65</f>
        <v>154270.74703201637</v>
      </c>
      <c r="AI65" s="255">
        <f t="shared" ref="AI65" si="254">SUMPRODUCT(AF36:AF54,AI36:AI54)/AF65</f>
        <v>89831.861485465677</v>
      </c>
      <c r="AJ65" s="255">
        <f t="shared" ref="AJ65" si="255">SUMPRODUCT(AF36:AF54,AJ36:AJ54)/AF65</f>
        <v>11040.644081595163</v>
      </c>
      <c r="AK65" s="268">
        <f t="shared" ref="AK65" si="256">SUMPRODUCT(AF36:AF54,AK36:AK54)/AF65</f>
        <v>53398.241464955543</v>
      </c>
      <c r="AL65" s="253">
        <f t="shared" ref="AL65" si="257">SUM(AL36:AL54)</f>
        <v>163.19045000000017</v>
      </c>
      <c r="AM65" s="306">
        <f>SUM(AM36:AM54)</f>
        <v>0.99999999999999978</v>
      </c>
      <c r="AN65" s="294">
        <f t="shared" ref="AN65" si="258">SUMPRODUCT(AL36:AL54,AN36:AN54)/AL65</f>
        <v>146851.87370726254</v>
      </c>
      <c r="AO65" s="255">
        <f t="shared" ref="AO65" si="259">SUMPRODUCT(AL36:AL54,AO36:AO54)/AL65</f>
        <v>84325.255193982666</v>
      </c>
      <c r="AP65" s="255">
        <f t="shared" ref="AP65" si="260">SUMPRODUCT(AL36:AL54,AP36:AP54)/AL65</f>
        <v>8046.807593525361</v>
      </c>
      <c r="AQ65" s="268">
        <f t="shared" ref="AQ65" si="261">SUMPRODUCT(AL36:AL54,AQ36:AQ54)/AL65</f>
        <v>54479.810919754527</v>
      </c>
      <c r="AR65" s="253">
        <f t="shared" ref="AR65" si="262">SUM(AR36:AR54)</f>
        <v>230.74857200000022</v>
      </c>
      <c r="AS65" s="306">
        <f>SUM(AS36:AS54)</f>
        <v>0.99999999999999967</v>
      </c>
      <c r="AT65" s="294">
        <f t="shared" ref="AT65" si="263">SUMPRODUCT(AR36:AR54,AT36:AT54)/AR65</f>
        <v>139865.35519643041</v>
      </c>
      <c r="AU65" s="255">
        <f t="shared" ref="AU65" si="264">SUMPRODUCT(AR36:AR54,AU36:AU54)/AR65</f>
        <v>82796.010286444391</v>
      </c>
      <c r="AV65" s="255">
        <f t="shared" ref="AV65" si="265">SUMPRODUCT(AR36:AR54,AV36:AV54)/AR65</f>
        <v>2675.3931975247115</v>
      </c>
      <c r="AW65" s="268">
        <f t="shared" ref="AW65" si="266">SUMPRODUCT(AR36:AR54,AW36:AW54)/AR65</f>
        <v>54393.951712461283</v>
      </c>
      <c r="AX65" s="253">
        <f t="shared" ref="AX65" si="267">SUM(AX36:AX54)</f>
        <v>203.18220000000019</v>
      </c>
      <c r="AY65" s="306">
        <f>SUM(AY36:AY54)</f>
        <v>1.0000000000000002</v>
      </c>
      <c r="AZ65" s="294">
        <f t="shared" ref="AZ65" si="268">SUMPRODUCT(AX36:AX54,AZ36:AZ54)/AX65</f>
        <v>140399.05621653853</v>
      </c>
      <c r="BA65" s="255">
        <f t="shared" ref="BA65" si="269">SUMPRODUCT(AX36:AX54,BA36:BA54)/AX65</f>
        <v>81801.913894234065</v>
      </c>
      <c r="BB65" s="255">
        <f t="shared" ref="BB65" si="270">SUMPRODUCT(AX36:AX54,BB36:BB54)/AX65</f>
        <v>3178.8587779835011</v>
      </c>
      <c r="BC65" s="268">
        <f t="shared" ref="BC65" si="271">SUMPRODUCT(AX36:AX54,BC36:BC54)/AX65</f>
        <v>55418.283544320948</v>
      </c>
      <c r="BD65" s="253">
        <f t="shared" ref="BD65" si="272">SUM(BD36:BD54)</f>
        <v>182.9690249999999</v>
      </c>
      <c r="BE65" s="306">
        <f>SUM(BE36:BE54)</f>
        <v>1</v>
      </c>
      <c r="BF65" s="294">
        <f t="shared" ref="BF65" si="273">SUMPRODUCT(BD36:BD54,BF36:BF54)/BD65</f>
        <v>139169.84402141313</v>
      </c>
      <c r="BG65" s="255">
        <f t="shared" ref="BG65" si="274">SUMPRODUCT(BD36:BD54,BG36:BG54)/BD65</f>
        <v>84360.698410513301</v>
      </c>
      <c r="BH65" s="255">
        <f t="shared" ref="BH65" si="275">SUMPRODUCT(BD36:BD54,BH36:BH54)/BD65</f>
        <v>21416.387828486237</v>
      </c>
      <c r="BI65" s="268">
        <f t="shared" ref="BI65" si="276">SUMPRODUCT(BD36:BD54,BI36:BI54)/BD65</f>
        <v>33392.757782413602</v>
      </c>
      <c r="BJ65" s="253">
        <f t="shared" ref="BJ65" si="277">SUM(BJ36:BJ54)</f>
        <v>77.768575600000119</v>
      </c>
      <c r="BK65" s="306">
        <f>SUM(BK36:BK54)</f>
        <v>1.0000000000000002</v>
      </c>
      <c r="BL65" s="294">
        <f t="shared" ref="BL65" si="278">SUMPRODUCT(BJ36:BJ54,BL36:BL54)/BJ65</f>
        <v>142263.78179928992</v>
      </c>
      <c r="BM65" s="255">
        <f t="shared" ref="BM65" si="279">SUMPRODUCT(BJ36:BJ54,BM36:BM54)/BJ65</f>
        <v>79947.406691139709</v>
      </c>
      <c r="BN65" s="255">
        <f t="shared" ref="BN65" si="280">SUMPRODUCT(BJ36:BJ54,BN36:BN54)/BJ65</f>
        <v>3190.415512766569</v>
      </c>
      <c r="BO65" s="268">
        <f t="shared" ref="BO65" si="281">SUMPRODUCT(BJ36:BJ54,BO36:BO54)/BJ65</f>
        <v>59125.959595383683</v>
      </c>
      <c r="BP65" s="253">
        <f t="shared" ref="BP65" si="282">SUM(BP36:BP54)</f>
        <v>82.217520000000093</v>
      </c>
      <c r="BQ65" s="306">
        <f>SUM(BQ36:BQ54)</f>
        <v>1.0000000000000002</v>
      </c>
      <c r="BR65" s="294">
        <f t="shared" ref="BR65" si="283">SUMPRODUCT(BP36:BP54,BR36:BR54)/BP65</f>
        <v>143697.67331829012</v>
      </c>
      <c r="BS65" s="255">
        <f t="shared" ref="BS65" si="284">SUMPRODUCT(BP36:BP54,BS36:BS54)/BP65</f>
        <v>88950.580470785106</v>
      </c>
      <c r="BT65" s="255">
        <f t="shared" ref="BT65" si="285">SUMPRODUCT(BP36:BP54,BT36:BT54)/BP65</f>
        <v>7064.4816335982814</v>
      </c>
      <c r="BU65" s="268">
        <f t="shared" ref="BU65" si="286">SUMPRODUCT(BP36:BP54,BU36:BU54)/BP65</f>
        <v>47682.611213906726</v>
      </c>
      <c r="BW65" s="294">
        <f>SUM(BW36:BW64)</f>
        <v>77.462900000000161</v>
      </c>
      <c r="BX65" s="306">
        <f>SUM(BX36:BX54)</f>
        <v>0.99999999999999967</v>
      </c>
      <c r="BY65" s="268">
        <f>SUMPRODUCT(BW36:BW64,BY36:BY64)/BW65</f>
        <v>144392.9903218183</v>
      </c>
      <c r="BZ65" s="268">
        <f>SUMPRODUCT(BW36:BW64,BZ36:BZ64)/BW65</f>
        <v>89981.100497300285</v>
      </c>
      <c r="CA65" s="268">
        <f>SUMPRODUCT(BW36:BW64,CA36:CA64)/BW65</f>
        <v>9844.8253292866448</v>
      </c>
      <c r="CB65" s="268">
        <f>SUMPRODUCT(BW36:BW64,CB36:CB64)/BW65</f>
        <v>44567.064495231367</v>
      </c>
      <c r="CC65" s="294">
        <f>SUM(CC36:CC64)</f>
        <v>87.130250000000132</v>
      </c>
      <c r="CD65" s="306">
        <f>SUM(CD36:CD64)</f>
        <v>1</v>
      </c>
      <c r="CE65" s="268">
        <f>SUMPRODUCT(CC36:CC64,CE36:CE64)/CC65</f>
        <v>134472.16712909678</v>
      </c>
      <c r="CF65" s="268">
        <f>SUMPRODUCT(CC36:CC64,CF36:CF64)/CC65</f>
        <v>88208.824306269773</v>
      </c>
      <c r="CG65" s="268">
        <f>SUMPRODUCT(CC36:CC64,CG36:CG64)/CC65</f>
        <v>9670.714132003508</v>
      </c>
      <c r="CH65" s="268">
        <f>SUMPRODUCT(CC36:CC64,CH36:CH64)/CC65</f>
        <v>36592.628690823512</v>
      </c>
      <c r="CI65" s="294">
        <f>SUM(CI36:CI64)</f>
        <v>131.46046000000015</v>
      </c>
      <c r="CJ65" s="306">
        <f>SUM(CJ36:CJ64)</f>
        <v>1</v>
      </c>
      <c r="CK65" s="268">
        <f>SUMPRODUCT(CI36:CI64,CK36:CK64)/CI65</f>
        <v>139421.68375190525</v>
      </c>
      <c r="CL65" s="268">
        <f>SUMPRODUCT(CI36:CI64,CL36:CL64)/CI65</f>
        <v>93816.586828561223</v>
      </c>
      <c r="CM65" s="268">
        <f>SUMPRODUCT(CI36:CI64,CM36:CM64)/CI65</f>
        <v>25091.741653726112</v>
      </c>
      <c r="CN65" s="268">
        <f>SUMPRODUCT(CI36:CI64,CN36:CN64)/CI65</f>
        <v>20513.35526961791</v>
      </c>
      <c r="CO65" s="294">
        <f>SUM(CO36:CO64)</f>
        <v>125.11047500000008</v>
      </c>
      <c r="CP65" s="306">
        <f>SUM(CP36:CP64)</f>
        <v>1</v>
      </c>
      <c r="CQ65" s="268">
        <f>SUMPRODUCT(CO36:CO64,CQ36:CQ64)/CO65</f>
        <v>126688.37577349128</v>
      </c>
      <c r="CR65" s="268">
        <f>SUMPRODUCT(CO36:CO64,CR36:CR64)/CO65</f>
        <v>88926.022694902349</v>
      </c>
      <c r="CS65" s="268">
        <f>SUMPRODUCT(CO36:CO64,CS36:CS64)/CO65</f>
        <v>9622.3500869931067</v>
      </c>
      <c r="CT65" s="268">
        <f>SUMPRODUCT(CO36:CO64,CT36:CT64)/CO65</f>
        <v>28140.00299159584</v>
      </c>
      <c r="CU65" s="294">
        <f>SUM(CU36:CU64)</f>
        <v>114.54914999999994</v>
      </c>
      <c r="CV65" s="306">
        <f>SUM(CV36:CV64)</f>
        <v>1.0000000000000002</v>
      </c>
      <c r="CW65" s="268">
        <f>SUMPRODUCT(CU36:CU64,CW36:CW64)/CU65</f>
        <v>121875.8291091642</v>
      </c>
      <c r="CX65" s="268">
        <f>SUMPRODUCT(CU36:CU64,CX36:CX64)/CU65</f>
        <v>87428.904168692912</v>
      </c>
      <c r="CY65" s="268">
        <f>SUMPRODUCT(CU36:CU64,CY36:CY64)/CU65</f>
        <v>7518.2350109101653</v>
      </c>
      <c r="CZ65" s="268">
        <f>SUMPRODUCT(CU36:CU64,CZ36:CZ64)/CU65</f>
        <v>26928.689929561126</v>
      </c>
      <c r="DA65" s="294">
        <f>SUM(DA36:DA64)</f>
        <v>108.5402</v>
      </c>
      <c r="DB65" s="306">
        <f>SUM(DB36:DB64)</f>
        <v>1.0000000000000002</v>
      </c>
      <c r="DC65" s="268">
        <f>SUMPRODUCT(DA36:DA64,DC36:DC64)/DA65</f>
        <v>122153.29896204357</v>
      </c>
      <c r="DD65" s="268">
        <f>SUMPRODUCT(DA36:DA64,DD36:DD64)/DA65</f>
        <v>92568.672432168329</v>
      </c>
      <c r="DE65" s="268">
        <f>SUMPRODUCT(DA36:DA64,DE36:DE64)/DA65</f>
        <v>3829.4840068472313</v>
      </c>
      <c r="DF65" s="268">
        <f>SUMPRODUCT(DA36:DA64,DF36:DF64)/DA65</f>
        <v>25755.142523027986</v>
      </c>
      <c r="DG65" s="294">
        <f>SUM(DG36:DG64)</f>
        <v>184.11359500000006</v>
      </c>
      <c r="DH65" s="306">
        <f>SUM(DH36:DH64)</f>
        <v>0.99999999999999956</v>
      </c>
      <c r="DI65" s="268">
        <f>SUMPRODUCT(DG36:DG64,DI36:DI64)/DG65</f>
        <v>134128.43407897162</v>
      </c>
      <c r="DJ65" s="268">
        <f>SUMPRODUCT(DG36:DG64,DJ36:DJ64)/DG65</f>
        <v>95718.606318698119</v>
      </c>
      <c r="DK65" s="268">
        <f>SUMPRODUCT(DG36:DG64,DK36:DK64)/DG65</f>
        <v>2938.972703237911</v>
      </c>
      <c r="DL65" s="268">
        <f>SUMPRODUCT(DG36:DG64,DL36:DL64)/DG65</f>
        <v>35470.85505703558</v>
      </c>
      <c r="DM65" s="294">
        <f>SUM(DM36:DM64)</f>
        <v>205.6994638000001</v>
      </c>
      <c r="DN65" s="306">
        <f>SUM(DN36:DN64)</f>
        <v>0.99999999999999989</v>
      </c>
      <c r="DO65" s="268">
        <f>SUMPRODUCT(DM36:DM64,DO36:DO64)/DM65</f>
        <v>143676.72002653001</v>
      </c>
      <c r="DP65" s="268">
        <f>SUMPRODUCT(DM36:DM64,DP36:DP64)/DM65</f>
        <v>99039.472878346482</v>
      </c>
      <c r="DQ65" s="268">
        <f>SUMPRODUCT(DM36:DM64,DQ36:DQ64)/DM65</f>
        <v>1532.9570829926483</v>
      </c>
      <c r="DR65" s="268">
        <f>SUMPRODUCT(DM36:DM64,DR36:DR64)/DM65</f>
        <v>43104.2900651909</v>
      </c>
      <c r="DS65" s="294">
        <f>SUM(DS36:DS64)</f>
        <v>205.41155000000001</v>
      </c>
      <c r="DT65" s="306">
        <f>SUM(DT36:DT64)</f>
        <v>0.99999999999999967</v>
      </c>
      <c r="DU65" s="268">
        <f>SUMPRODUCT(DS36:DS64,DU36:DU64)/DS65</f>
        <v>141311.08182572958</v>
      </c>
      <c r="DV65" s="268">
        <f>SUMPRODUCT(DS36:DS64,DV36:DV64)/DS65</f>
        <v>99155.582874740314</v>
      </c>
      <c r="DW65" s="268">
        <f>SUMPRODUCT(DS36:DS64,DW36:DW64)/DS65</f>
        <v>1612.0730309468961</v>
      </c>
      <c r="DX65" s="268">
        <f>SUMPRODUCT(DS36:DS64,DX36:DX64)/DS65</f>
        <v>40543.425920042391</v>
      </c>
      <c r="DY65" s="294">
        <f>SUM(DY36:DY64)</f>
        <v>206.67815999999985</v>
      </c>
      <c r="DZ65" s="306">
        <f>SUM(DZ36:DZ64)</f>
        <v>0.99999999999999978</v>
      </c>
      <c r="EA65" s="255">
        <f>SUMPRODUCT(DY36:DY64,EA36:EA64)/DY65</f>
        <v>125033.99072258041</v>
      </c>
      <c r="EB65" s="255">
        <f>SUMPRODUCT(DY36:DY64,EB36:EB64)/DY65</f>
        <v>93471.243301202208</v>
      </c>
      <c r="EC65" s="255">
        <f>SUMPRODUCT(DY36:DY64,EC36:EC64)/DY65</f>
        <v>3417.2989540839749</v>
      </c>
      <c r="ED65" s="255">
        <f>SUMPRODUCT(DY36:DY64,ED36:ED64)/DY65</f>
        <v>28145.448467294227</v>
      </c>
      <c r="EE65" s="294">
        <f>SUM(EE36:EE64)</f>
        <v>133.58517000000001</v>
      </c>
      <c r="EF65" s="306">
        <f>SUM(EF36:EF64)</f>
        <v>0.99999999999999978</v>
      </c>
      <c r="EG65" s="255">
        <f>SUMPRODUCT(EE36:EE64,EG36:EG64)/EE65</f>
        <v>119555.76371239414</v>
      </c>
      <c r="EH65" s="255">
        <f>SUMPRODUCT(EE36:EE64,EH36:EH64)/EE65</f>
        <v>92977.450722496695</v>
      </c>
      <c r="EI65" s="255">
        <f>SUMPRODUCT(EE36:EE64,EI36:EI64)/EE65</f>
        <v>3026.8034992207586</v>
      </c>
      <c r="EJ65" s="255">
        <f>SUMPRODUCT(EE36:EE64,EJ36:EJ64)/EE65</f>
        <v>23551.509490676719</v>
      </c>
      <c r="EK65" s="294">
        <f>SUM(EK36:EK64)</f>
        <v>113.34545999999983</v>
      </c>
      <c r="EL65" s="306">
        <f>SUM(EL36:EL64)</f>
        <v>1</v>
      </c>
      <c r="EM65" s="255">
        <f>SUMPRODUCT(EK36:EK64,EM36:EM64)/EK65</f>
        <v>123110.91780826535</v>
      </c>
      <c r="EN65" s="255">
        <f>SUMPRODUCT(EK36:EK64,EN36:EN64)/EK65</f>
        <v>92986.171557342808</v>
      </c>
      <c r="EO65" s="255">
        <f>SUMPRODUCT(EK36:EK64,EO36:EO64)/EK65</f>
        <v>2542.568092272953</v>
      </c>
      <c r="EP65" s="255">
        <f>SUMPRODUCT(EK36:EK64,EP36:EP64)/EK65</f>
        <v>27582.178158649596</v>
      </c>
    </row>
    <row r="66" spans="1:146">
      <c r="B66"/>
      <c r="H66"/>
      <c r="N66"/>
      <c r="T66"/>
      <c r="Z66"/>
      <c r="AF66"/>
      <c r="AP66" s="283">
        <f>AP65/AN65</f>
        <v>5.4795402948456945E-2</v>
      </c>
      <c r="AV66" s="283">
        <f>AV65/AT65</f>
        <v>1.912834807281133E-2</v>
      </c>
      <c r="BB66" s="283">
        <f>BB65/AZ65</f>
        <v>2.264159648680774E-2</v>
      </c>
      <c r="BW66"/>
    </row>
    <row r="67" spans="1:146">
      <c r="B67"/>
      <c r="H67"/>
      <c r="N67"/>
      <c r="T67"/>
      <c r="Z67"/>
      <c r="AF67"/>
      <c r="AP67" s="283"/>
      <c r="AV67" s="283"/>
      <c r="BB67" s="283"/>
      <c r="BW67"/>
      <c r="EM67" s="303">
        <f>SUMPRODUCT(EK36:EK64,EM36:EM64)/EK65</f>
        <v>123110.91780826535</v>
      </c>
      <c r="EN67" s="303"/>
      <c r="EO67" s="303"/>
      <c r="EP67" s="303"/>
    </row>
    <row r="68" spans="1:146">
      <c r="B68"/>
      <c r="H68"/>
      <c r="N68"/>
      <c r="T68"/>
      <c r="Z68"/>
      <c r="AF68"/>
      <c r="AP68" s="283"/>
      <c r="AV68" s="283"/>
      <c r="BB68" s="283"/>
      <c r="BW68"/>
    </row>
    <row r="69" spans="1:146">
      <c r="B69"/>
      <c r="H69"/>
      <c r="N69"/>
      <c r="T69"/>
      <c r="Z69"/>
      <c r="AF69"/>
      <c r="BW69"/>
    </row>
    <row r="70" spans="1:146">
      <c r="B70"/>
      <c r="H70"/>
      <c r="N70"/>
      <c r="T70"/>
      <c r="Z70"/>
      <c r="AF70"/>
      <c r="BW70"/>
    </row>
    <row r="71" spans="1:146">
      <c r="B71"/>
      <c r="H71"/>
      <c r="N71"/>
      <c r="T71"/>
      <c r="Z71"/>
      <c r="AF71"/>
      <c r="BW71"/>
    </row>
    <row r="72" spans="1:146">
      <c r="A72" s="428" t="s">
        <v>203</v>
      </c>
      <c r="B72" s="428"/>
      <c r="C72" s="428"/>
      <c r="D72" s="428"/>
      <c r="E72" s="357"/>
      <c r="F72" s="357"/>
      <c r="G72" s="357"/>
      <c r="H72"/>
      <c r="N72"/>
      <c r="T72"/>
      <c r="W72" s="357"/>
      <c r="X72" s="357"/>
      <c r="Y72" s="357"/>
      <c r="Z72"/>
      <c r="AC72" s="357"/>
      <c r="AD72" s="357"/>
      <c r="AE72" s="357"/>
      <c r="AF72"/>
      <c r="AI72" s="357"/>
      <c r="AJ72" s="357"/>
      <c r="AK72" s="357"/>
    </row>
    <row r="73" spans="1:146" ht="15.75" thickBot="1">
      <c r="B73"/>
      <c r="H73"/>
      <c r="N73"/>
      <c r="T73"/>
      <c r="Z73"/>
      <c r="AF73"/>
      <c r="BW73" s="110" t="s">
        <v>169</v>
      </c>
    </row>
    <row r="74" spans="1:146" s="110" customFormat="1" ht="15.75" thickBot="1">
      <c r="A74" s="129" t="s">
        <v>142</v>
      </c>
      <c r="B74" s="423" t="s">
        <v>80</v>
      </c>
      <c r="C74" s="423"/>
      <c r="D74" s="423"/>
      <c r="E74" s="423"/>
      <c r="F74" s="423"/>
      <c r="G74" s="424"/>
      <c r="H74" s="422" t="s">
        <v>81</v>
      </c>
      <c r="I74" s="423"/>
      <c r="J74" s="423"/>
      <c r="K74" s="423"/>
      <c r="L74" s="423"/>
      <c r="M74" s="424"/>
      <c r="N74" s="422" t="s">
        <v>82</v>
      </c>
      <c r="O74" s="423"/>
      <c r="P74" s="423"/>
      <c r="Q74" s="423"/>
      <c r="R74" s="423"/>
      <c r="S74" s="424"/>
      <c r="T74" s="422" t="s">
        <v>83</v>
      </c>
      <c r="U74" s="423"/>
      <c r="V74" s="423"/>
      <c r="W74" s="423"/>
      <c r="X74" s="423"/>
      <c r="Y74" s="424"/>
      <c r="Z74" s="422" t="s">
        <v>119</v>
      </c>
      <c r="AA74" s="423"/>
      <c r="AB74" s="423"/>
      <c r="AC74" s="423"/>
      <c r="AD74" s="423"/>
      <c r="AE74" s="424"/>
      <c r="AF74" s="422" t="s">
        <v>143</v>
      </c>
      <c r="AG74" s="423"/>
      <c r="AH74" s="423"/>
      <c r="AI74" s="423"/>
      <c r="AJ74" s="423"/>
      <c r="AK74" s="424"/>
      <c r="AL74" s="422" t="s">
        <v>146</v>
      </c>
      <c r="AM74" s="423"/>
      <c r="AN74" s="423"/>
      <c r="AO74" s="423"/>
      <c r="AP74" s="423"/>
      <c r="AQ74" s="424"/>
      <c r="AR74" s="422" t="s">
        <v>156</v>
      </c>
      <c r="AS74" s="423"/>
      <c r="AT74" s="423"/>
      <c r="AU74" s="423"/>
      <c r="AV74" s="423"/>
      <c r="AW74" s="424"/>
      <c r="AX74" s="422" t="s">
        <v>157</v>
      </c>
      <c r="AY74" s="423"/>
      <c r="AZ74" s="423"/>
      <c r="BA74" s="423"/>
      <c r="BB74" s="423"/>
      <c r="BC74" s="424"/>
      <c r="BD74" s="422" t="s">
        <v>158</v>
      </c>
      <c r="BE74" s="423"/>
      <c r="BF74" s="423"/>
      <c r="BG74" s="423"/>
      <c r="BH74" s="423"/>
      <c r="BI74" s="424"/>
      <c r="BJ74" s="422" t="s">
        <v>160</v>
      </c>
      <c r="BK74" s="423"/>
      <c r="BL74" s="423"/>
      <c r="BM74" s="423"/>
      <c r="BN74" s="423"/>
      <c r="BO74" s="424"/>
      <c r="BP74" s="422" t="s">
        <v>161</v>
      </c>
      <c r="BQ74" s="423"/>
      <c r="BR74" s="423"/>
      <c r="BS74" s="423"/>
      <c r="BT74" s="423"/>
      <c r="BU74" s="424"/>
      <c r="BW74" s="422" t="s">
        <v>80</v>
      </c>
      <c r="BX74" s="423"/>
      <c r="BY74" s="423"/>
      <c r="BZ74" s="423"/>
      <c r="CA74" s="423"/>
      <c r="CB74" s="424"/>
      <c r="CC74" s="422" t="str">
        <f>CC4</f>
        <v>MAY</v>
      </c>
      <c r="CD74" s="423"/>
      <c r="CE74" s="423"/>
      <c r="CF74" s="423"/>
      <c r="CG74" s="423"/>
      <c r="CH74" s="424"/>
      <c r="CI74" s="422" t="str">
        <f>CI4</f>
        <v>JUNE</v>
      </c>
      <c r="CJ74" s="423"/>
      <c r="CK74" s="423"/>
      <c r="CL74" s="423"/>
      <c r="CM74" s="423"/>
      <c r="CN74" s="424"/>
      <c r="CO74" s="422" t="str">
        <f>CO4</f>
        <v>JULY</v>
      </c>
      <c r="CP74" s="423"/>
      <c r="CQ74" s="423"/>
      <c r="CR74" s="423"/>
      <c r="CS74" s="423"/>
      <c r="CT74" s="424"/>
      <c r="CU74" s="422" t="str">
        <f>CU4</f>
        <v>AUG</v>
      </c>
      <c r="CV74" s="423"/>
      <c r="CW74" s="423"/>
      <c r="CX74" s="423"/>
      <c r="CY74" s="423"/>
      <c r="CZ74" s="424"/>
      <c r="DA74" s="422" t="str">
        <f>DA4</f>
        <v>SEPT</v>
      </c>
      <c r="DB74" s="423"/>
      <c r="DC74" s="423"/>
      <c r="DD74" s="423"/>
      <c r="DE74" s="423"/>
      <c r="DF74" s="424"/>
      <c r="DG74" s="422" t="str">
        <f>DG4</f>
        <v>OCT</v>
      </c>
      <c r="DH74" s="423"/>
      <c r="DI74" s="423"/>
      <c r="DJ74" s="423"/>
      <c r="DK74" s="423"/>
      <c r="DL74" s="424"/>
      <c r="DM74" s="422" t="str">
        <f>DM4</f>
        <v>NOV</v>
      </c>
      <c r="DN74" s="423"/>
      <c r="DO74" s="423"/>
      <c r="DP74" s="423"/>
      <c r="DQ74" s="423"/>
      <c r="DR74" s="424"/>
      <c r="DS74" s="422" t="str">
        <f>DS4</f>
        <v>DEC</v>
      </c>
      <c r="DT74" s="423"/>
      <c r="DU74" s="423"/>
      <c r="DV74" s="423"/>
      <c r="DW74" s="423"/>
      <c r="DX74" s="424"/>
      <c r="DY74" s="422" t="str">
        <f>DY4</f>
        <v>JAN</v>
      </c>
      <c r="DZ74" s="423"/>
      <c r="EA74" s="423"/>
      <c r="EB74" s="423"/>
      <c r="EC74" s="423"/>
      <c r="ED74" s="424"/>
      <c r="EE74" s="422" t="str">
        <f>EE4</f>
        <v>FEB</v>
      </c>
      <c r="EF74" s="423"/>
      <c r="EG74" s="423"/>
      <c r="EH74" s="423"/>
      <c r="EI74" s="423"/>
      <c r="EJ74" s="424"/>
      <c r="EK74" s="422" t="str">
        <f>EK4</f>
        <v>MARCH 17</v>
      </c>
      <c r="EL74" s="423"/>
      <c r="EM74" s="423"/>
      <c r="EN74" s="423"/>
      <c r="EO74" s="423"/>
      <c r="EP74" s="424"/>
    </row>
    <row r="75" spans="1:146" s="318" customFormat="1">
      <c r="A75" s="314" t="s">
        <v>144</v>
      </c>
      <c r="B75" s="317" t="s">
        <v>122</v>
      </c>
      <c r="C75" s="315" t="s">
        <v>123</v>
      </c>
      <c r="D75" s="315" t="s">
        <v>108</v>
      </c>
      <c r="E75" s="315" t="s">
        <v>32</v>
      </c>
      <c r="F75" s="315" t="s">
        <v>150</v>
      </c>
      <c r="G75" s="316" t="s">
        <v>151</v>
      </c>
      <c r="H75" s="317" t="s">
        <v>122</v>
      </c>
      <c r="I75" s="315" t="s">
        <v>123</v>
      </c>
      <c r="J75" s="315" t="s">
        <v>108</v>
      </c>
      <c r="K75" s="315" t="s">
        <v>32</v>
      </c>
      <c r="L75" s="315" t="s">
        <v>150</v>
      </c>
      <c r="M75" s="316" t="s">
        <v>151</v>
      </c>
      <c r="N75" s="317" t="s">
        <v>122</v>
      </c>
      <c r="O75" s="315" t="s">
        <v>123</v>
      </c>
      <c r="P75" s="315" t="s">
        <v>108</v>
      </c>
      <c r="Q75" s="315" t="s">
        <v>32</v>
      </c>
      <c r="R75" s="315" t="s">
        <v>150</v>
      </c>
      <c r="S75" s="316" t="s">
        <v>151</v>
      </c>
      <c r="T75" s="317" t="s">
        <v>122</v>
      </c>
      <c r="U75" s="315" t="s">
        <v>123</v>
      </c>
      <c r="V75" s="315" t="s">
        <v>108</v>
      </c>
      <c r="W75" s="315" t="s">
        <v>32</v>
      </c>
      <c r="X75" s="315" t="s">
        <v>150</v>
      </c>
      <c r="Y75" s="316" t="s">
        <v>151</v>
      </c>
      <c r="Z75" s="317" t="s">
        <v>122</v>
      </c>
      <c r="AA75" s="315" t="s">
        <v>123</v>
      </c>
      <c r="AB75" s="315" t="s">
        <v>108</v>
      </c>
      <c r="AC75" s="315" t="s">
        <v>32</v>
      </c>
      <c r="AD75" s="315" t="s">
        <v>150</v>
      </c>
      <c r="AE75" s="316" t="s">
        <v>151</v>
      </c>
      <c r="AF75" s="317" t="s">
        <v>122</v>
      </c>
      <c r="AG75" s="315" t="s">
        <v>123</v>
      </c>
      <c r="AH75" s="315" t="s">
        <v>108</v>
      </c>
      <c r="AI75" s="315" t="s">
        <v>32</v>
      </c>
      <c r="AJ75" s="315" t="s">
        <v>150</v>
      </c>
      <c r="AK75" s="316" t="s">
        <v>151</v>
      </c>
      <c r="AL75" s="317" t="s">
        <v>122</v>
      </c>
      <c r="AM75" s="315" t="s">
        <v>123</v>
      </c>
      <c r="AN75" s="315" t="s">
        <v>108</v>
      </c>
      <c r="AO75" s="315" t="s">
        <v>32</v>
      </c>
      <c r="AP75" s="315" t="s">
        <v>150</v>
      </c>
      <c r="AQ75" s="316" t="s">
        <v>151</v>
      </c>
      <c r="AR75" s="317" t="s">
        <v>122</v>
      </c>
      <c r="AS75" s="315" t="s">
        <v>123</v>
      </c>
      <c r="AT75" s="315" t="s">
        <v>108</v>
      </c>
      <c r="AU75" s="315" t="s">
        <v>32</v>
      </c>
      <c r="AV75" s="315" t="s">
        <v>150</v>
      </c>
      <c r="AW75" s="316" t="s">
        <v>151</v>
      </c>
      <c r="AX75" s="317" t="s">
        <v>122</v>
      </c>
      <c r="AY75" s="315" t="s">
        <v>123</v>
      </c>
      <c r="AZ75" s="315" t="s">
        <v>108</v>
      </c>
      <c r="BA75" s="315" t="s">
        <v>32</v>
      </c>
      <c r="BB75" s="315" t="s">
        <v>150</v>
      </c>
      <c r="BC75" s="316" t="s">
        <v>151</v>
      </c>
      <c r="BD75" s="317" t="s">
        <v>122</v>
      </c>
      <c r="BE75" s="315" t="s">
        <v>123</v>
      </c>
      <c r="BF75" s="315" t="s">
        <v>108</v>
      </c>
      <c r="BG75" s="315" t="s">
        <v>32</v>
      </c>
      <c r="BH75" s="315" t="s">
        <v>150</v>
      </c>
      <c r="BI75" s="316" t="s">
        <v>151</v>
      </c>
      <c r="BJ75" s="317" t="s">
        <v>122</v>
      </c>
      <c r="BK75" s="315" t="s">
        <v>123</v>
      </c>
      <c r="BL75" s="315" t="s">
        <v>108</v>
      </c>
      <c r="BM75" s="315" t="s">
        <v>32</v>
      </c>
      <c r="BN75" s="315" t="s">
        <v>150</v>
      </c>
      <c r="BO75" s="316" t="s">
        <v>151</v>
      </c>
      <c r="BP75" s="317" t="s">
        <v>122</v>
      </c>
      <c r="BQ75" s="315" t="s">
        <v>123</v>
      </c>
      <c r="BR75" s="315" t="s">
        <v>108</v>
      </c>
      <c r="BS75" s="315" t="s">
        <v>32</v>
      </c>
      <c r="BT75" s="315" t="s">
        <v>150</v>
      </c>
      <c r="BU75" s="316" t="s">
        <v>151</v>
      </c>
      <c r="BW75" s="317" t="s">
        <v>122</v>
      </c>
      <c r="BX75" s="315" t="s">
        <v>123</v>
      </c>
      <c r="BY75" s="315" t="s">
        <v>108</v>
      </c>
      <c r="BZ75" s="315" t="s">
        <v>32</v>
      </c>
      <c r="CA75" s="315" t="s">
        <v>150</v>
      </c>
      <c r="CB75" s="316" t="s">
        <v>151</v>
      </c>
      <c r="CC75" s="317" t="s">
        <v>122</v>
      </c>
      <c r="CD75" s="315" t="s">
        <v>123</v>
      </c>
      <c r="CE75" s="315" t="s">
        <v>108</v>
      </c>
      <c r="CF75" s="315" t="s">
        <v>32</v>
      </c>
      <c r="CG75" s="315" t="s">
        <v>150</v>
      </c>
      <c r="CH75" s="316" t="s">
        <v>151</v>
      </c>
      <c r="CI75" s="317" t="s">
        <v>122</v>
      </c>
      <c r="CJ75" s="315" t="s">
        <v>123</v>
      </c>
      <c r="CK75" s="315" t="s">
        <v>108</v>
      </c>
      <c r="CL75" s="315" t="s">
        <v>32</v>
      </c>
      <c r="CM75" s="315" t="s">
        <v>150</v>
      </c>
      <c r="CN75" s="316" t="s">
        <v>151</v>
      </c>
      <c r="CO75" s="317" t="s">
        <v>122</v>
      </c>
      <c r="CP75" s="315" t="s">
        <v>123</v>
      </c>
      <c r="CQ75" s="315" t="s">
        <v>108</v>
      </c>
      <c r="CR75" s="315" t="s">
        <v>32</v>
      </c>
      <c r="CS75" s="315" t="s">
        <v>150</v>
      </c>
      <c r="CT75" s="316" t="s">
        <v>151</v>
      </c>
      <c r="CU75" s="317" t="s">
        <v>122</v>
      </c>
      <c r="CV75" s="315" t="s">
        <v>123</v>
      </c>
      <c r="CW75" s="315" t="s">
        <v>108</v>
      </c>
      <c r="CX75" s="315" t="s">
        <v>32</v>
      </c>
      <c r="CY75" s="315" t="s">
        <v>150</v>
      </c>
      <c r="CZ75" s="316" t="s">
        <v>151</v>
      </c>
      <c r="DA75" s="317" t="s">
        <v>122</v>
      </c>
      <c r="DB75" s="315" t="s">
        <v>123</v>
      </c>
      <c r="DC75" s="315" t="s">
        <v>108</v>
      </c>
      <c r="DD75" s="315" t="s">
        <v>32</v>
      </c>
      <c r="DE75" s="315" t="s">
        <v>150</v>
      </c>
      <c r="DF75" s="316" t="s">
        <v>151</v>
      </c>
      <c r="DG75" s="317" t="s">
        <v>122</v>
      </c>
      <c r="DH75" s="315" t="s">
        <v>123</v>
      </c>
      <c r="DI75" s="315" t="s">
        <v>108</v>
      </c>
      <c r="DJ75" s="315" t="s">
        <v>32</v>
      </c>
      <c r="DK75" s="315" t="s">
        <v>150</v>
      </c>
      <c r="DL75" s="316" t="s">
        <v>151</v>
      </c>
      <c r="DM75" s="317" t="s">
        <v>122</v>
      </c>
      <c r="DN75" s="315" t="s">
        <v>123</v>
      </c>
      <c r="DO75" s="315" t="s">
        <v>108</v>
      </c>
      <c r="DP75" s="315" t="s">
        <v>32</v>
      </c>
      <c r="DQ75" s="315" t="s">
        <v>150</v>
      </c>
      <c r="DR75" s="316" t="s">
        <v>151</v>
      </c>
      <c r="DS75" s="317" t="s">
        <v>122</v>
      </c>
      <c r="DT75" s="315" t="s">
        <v>123</v>
      </c>
      <c r="DU75" s="315" t="s">
        <v>108</v>
      </c>
      <c r="DV75" s="315" t="s">
        <v>32</v>
      </c>
      <c r="DW75" s="315" t="s">
        <v>150</v>
      </c>
      <c r="DX75" s="316" t="s">
        <v>151</v>
      </c>
      <c r="DY75" s="317" t="s">
        <v>122</v>
      </c>
      <c r="DZ75" s="315" t="s">
        <v>123</v>
      </c>
      <c r="EA75" s="315" t="s">
        <v>108</v>
      </c>
      <c r="EB75" s="315" t="s">
        <v>32</v>
      </c>
      <c r="EC75" s="315" t="s">
        <v>150</v>
      </c>
      <c r="ED75" s="316" t="s">
        <v>151</v>
      </c>
      <c r="EE75" s="317" t="s">
        <v>122</v>
      </c>
      <c r="EF75" s="315" t="s">
        <v>123</v>
      </c>
      <c r="EG75" s="315" t="s">
        <v>108</v>
      </c>
      <c r="EH75" s="315" t="s">
        <v>32</v>
      </c>
      <c r="EI75" s="315" t="s">
        <v>150</v>
      </c>
      <c r="EJ75" s="316" t="s">
        <v>151</v>
      </c>
      <c r="EK75" s="317" t="s">
        <v>122</v>
      </c>
      <c r="EL75" s="315" t="s">
        <v>123</v>
      </c>
      <c r="EM75" s="315" t="s">
        <v>108</v>
      </c>
      <c r="EN75" s="315" t="s">
        <v>32</v>
      </c>
      <c r="EO75" s="309" t="s">
        <v>150</v>
      </c>
      <c r="EP75" s="316" t="str">
        <f>EP35</f>
        <v>Net GC</v>
      </c>
    </row>
    <row r="76" spans="1:146" s="301" customFormat="1">
      <c r="A76" s="103" t="s">
        <v>197</v>
      </c>
      <c r="B76" s="249">
        <v>30.560599999999774</v>
      </c>
      <c r="C76" s="250">
        <v>0.43933588761174969</v>
      </c>
      <c r="D76" s="299">
        <v>99097.547352003283</v>
      </c>
      <c r="E76" s="299">
        <v>69535</v>
      </c>
      <c r="F76" s="299">
        <v>9847.2316101203996</v>
      </c>
      <c r="G76" s="300">
        <f>D76-E76-F76</f>
        <v>19715.315741882885</v>
      </c>
      <c r="H76" s="249">
        <v>33.524189999999784</v>
      </c>
      <c r="I76" s="250">
        <v>0.53523131672597868</v>
      </c>
      <c r="J76" s="299">
        <v>98910.883524904988</v>
      </c>
      <c r="K76" s="299">
        <v>69535</v>
      </c>
      <c r="L76" s="299">
        <v>10849.046385811822</v>
      </c>
      <c r="M76" s="300">
        <f>J76-K76-L76</f>
        <v>18526.837139093164</v>
      </c>
      <c r="N76" s="249">
        <v>13.661759999999981</v>
      </c>
      <c r="O76" s="250">
        <v>0.41786447638603696</v>
      </c>
      <c r="P76" s="299">
        <v>98957.389200654579</v>
      </c>
      <c r="Q76" s="299">
        <v>68676</v>
      </c>
      <c r="R76" s="299">
        <v>10266.968639906676</v>
      </c>
      <c r="S76" s="300">
        <f>P76-Q76-R76</f>
        <v>20014.420560747902</v>
      </c>
      <c r="T76" s="304">
        <v>16.591679999999954</v>
      </c>
      <c r="U76" s="250">
        <v>0.44109055501460565</v>
      </c>
      <c r="V76" s="299">
        <v>97124.674102588484</v>
      </c>
      <c r="W76" s="299">
        <v>68847</v>
      </c>
      <c r="X76" s="299">
        <v>7572.8185942851369</v>
      </c>
      <c r="Y76" s="300">
        <f>V76-W76-X76</f>
        <v>20704.855508303346</v>
      </c>
      <c r="Z76" s="249">
        <v>11.73227999999999</v>
      </c>
      <c r="AA76" s="250">
        <v>0.45563139931740615</v>
      </c>
      <c r="AB76" s="299">
        <v>96989.890281419299</v>
      </c>
      <c r="AC76" s="299">
        <v>69230</v>
      </c>
      <c r="AD76" s="299">
        <v>8721.8665042847861</v>
      </c>
      <c r="AE76" s="300">
        <f>AB76-AC76-AD76</f>
        <v>19038.023777134513</v>
      </c>
      <c r="AF76" s="249">
        <v>10.881079999999981</v>
      </c>
      <c r="AG76" s="250">
        <v>0.45077720207253885</v>
      </c>
      <c r="AH76" s="299">
        <v>97078.008161945123</v>
      </c>
      <c r="AI76" s="299">
        <v>69230</v>
      </c>
      <c r="AJ76" s="299">
        <v>8614.4346931350501</v>
      </c>
      <c r="AK76" s="300">
        <f>AH76-AI76-AJ76</f>
        <v>19233.573468810071</v>
      </c>
      <c r="AL76" s="249">
        <v>12.418979999999989</v>
      </c>
      <c r="AM76" s="250">
        <v>0.41400304414003042</v>
      </c>
      <c r="AN76" s="299">
        <v>96975.332698371218</v>
      </c>
      <c r="AO76" s="299">
        <v>68275</v>
      </c>
      <c r="AP76" s="299">
        <v>11313.071385445322</v>
      </c>
      <c r="AQ76" s="300">
        <f>AN76-AO76-AP76</f>
        <v>17387.261312925897</v>
      </c>
      <c r="AR76" s="249">
        <v>10.403259999999989</v>
      </c>
      <c r="AS76" s="250">
        <v>0.3936348408710218</v>
      </c>
      <c r="AT76" s="299">
        <v>97041.915399666133</v>
      </c>
      <c r="AU76" s="299">
        <v>65958</v>
      </c>
      <c r="AV76" s="299">
        <v>11762.983603286979</v>
      </c>
      <c r="AW76" s="300">
        <f>AT76-AU76-AV76</f>
        <v>19320.931796379155</v>
      </c>
      <c r="AX76" s="249">
        <v>9.174900000000008</v>
      </c>
      <c r="AY76" s="250">
        <v>0.25101626016260165</v>
      </c>
      <c r="AZ76" s="299">
        <v>96954.803867072056</v>
      </c>
      <c r="BA76" s="299">
        <v>65958</v>
      </c>
      <c r="BB76" s="299">
        <v>8843.8195511667709</v>
      </c>
      <c r="BC76" s="300">
        <f>AZ76-BA76-BB76</f>
        <v>22152.984315905283</v>
      </c>
      <c r="BD76" s="249">
        <v>7.3577000000000092</v>
      </c>
      <c r="BE76" s="250">
        <v>0.34887737478411052</v>
      </c>
      <c r="BF76" s="299">
        <v>97040.213653723185</v>
      </c>
      <c r="BG76" s="299">
        <v>65958</v>
      </c>
      <c r="BH76" s="299">
        <v>9191.5571442162636</v>
      </c>
      <c r="BI76" s="300">
        <f>BF76-BG76-BH76</f>
        <v>21890.656509506924</v>
      </c>
      <c r="BJ76" s="249">
        <v>12.55883999999997</v>
      </c>
      <c r="BK76" s="250">
        <v>0.45153061224489793</v>
      </c>
      <c r="BL76" s="299">
        <v>96943.630940437448</v>
      </c>
      <c r="BM76" s="299">
        <v>65553</v>
      </c>
      <c r="BN76" s="299">
        <v>9175.2422994480548</v>
      </c>
      <c r="BO76" s="300">
        <f>BL76-BM76-BN76</f>
        <v>22215.388640989393</v>
      </c>
      <c r="BP76" s="261">
        <v>8.6953300000000038</v>
      </c>
      <c r="BQ76" s="250">
        <v>0.20240963855421687</v>
      </c>
      <c r="BR76" s="261">
        <v>96995.035266056497</v>
      </c>
      <c r="BS76" s="299">
        <v>69150</v>
      </c>
      <c r="BT76" s="299">
        <v>12807.824429895114</v>
      </c>
      <c r="BU76" s="300">
        <f>BR76-BS76-BT76</f>
        <v>15037.210836161383</v>
      </c>
      <c r="BV76" s="322"/>
      <c r="BW76" s="297">
        <v>12.50213999999999</v>
      </c>
      <c r="BX76" s="298">
        <f>BW76/BW$95</f>
        <v>0.27984897725767899</v>
      </c>
      <c r="BY76" s="299">
        <v>97012.596243523149</v>
      </c>
      <c r="BZ76" s="299">
        <v>66957</v>
      </c>
      <c r="CA76" s="299">
        <v>15273.802724973481</v>
      </c>
      <c r="CB76" s="300">
        <f>BY76-BZ76-CA76</f>
        <v>14781.793518549668</v>
      </c>
      <c r="CC76" s="297">
        <v>6.5856000000000057</v>
      </c>
      <c r="CD76" s="298">
        <f>CC76/CC$95</f>
        <v>0.13689004102086691</v>
      </c>
      <c r="CE76" s="299">
        <v>96920.878887269078</v>
      </c>
      <c r="CF76" s="299">
        <v>66957</v>
      </c>
      <c r="CG76" s="299">
        <v>11140.78292031097</v>
      </c>
      <c r="CH76" s="300">
        <f>CE76-CF76-CG76</f>
        <v>18823.095966958106</v>
      </c>
      <c r="CI76" s="297">
        <v>11.693359999999993</v>
      </c>
      <c r="CJ76" s="298">
        <f>CI76/CI$95</f>
        <v>0.2715492535423743</v>
      </c>
      <c r="CK76" s="299">
        <v>96954.33134702094</v>
      </c>
      <c r="CL76" s="299">
        <v>68608.087329378395</v>
      </c>
      <c r="CM76" s="299">
        <v>15011.669015578082</v>
      </c>
      <c r="CN76" s="300">
        <f>CK76-CL76-CM76</f>
        <v>13334.575002064463</v>
      </c>
      <c r="CO76" s="297">
        <v>7.344960000000003</v>
      </c>
      <c r="CP76" s="298">
        <f>CO76/CO$95</f>
        <v>0.25410753488124932</v>
      </c>
      <c r="CQ76" s="299">
        <v>96898.018505206186</v>
      </c>
      <c r="CR76" s="261">
        <f>CL76+675</f>
        <v>69283.087329378395</v>
      </c>
      <c r="CS76" s="261">
        <v>8518.3649740774654</v>
      </c>
      <c r="CT76" s="300">
        <f>CQ76-CR76-CS76</f>
        <v>19096.566201750327</v>
      </c>
      <c r="CU76" s="297">
        <v>5.1609599999999967</v>
      </c>
      <c r="CV76" s="298">
        <f>CU76/CU$95</f>
        <v>0.22704935961993736</v>
      </c>
      <c r="CW76" s="299">
        <v>97010.013640872989</v>
      </c>
      <c r="CX76" s="261">
        <v>70789.087329378395</v>
      </c>
      <c r="CY76" s="261">
        <v>8521.2344215029843</v>
      </c>
      <c r="CZ76" s="300">
        <f>CW76-CX76-CY76</f>
        <v>17699.691889991609</v>
      </c>
      <c r="DA76" s="249">
        <v>8.5612800000000071</v>
      </c>
      <c r="DB76" s="298">
        <f>DA76/DA$95</f>
        <v>0.1908005793765073</v>
      </c>
      <c r="DC76" s="261">
        <v>96846.503092995306</v>
      </c>
      <c r="DD76" s="360">
        <f>CX76+4681/7*6</f>
        <v>74801.373043664105</v>
      </c>
      <c r="DE76" s="261">
        <v>9304.1110675039163</v>
      </c>
      <c r="DF76" s="300">
        <f>DC76-DD76-DE76</f>
        <v>12741.018981827285</v>
      </c>
      <c r="DG76" s="249">
        <v>4.7308799999999991</v>
      </c>
      <c r="DH76" s="298">
        <f>DG76/DG$95</f>
        <v>0.21458653962603597</v>
      </c>
      <c r="DI76" s="261">
        <v>96723.983698593001</v>
      </c>
      <c r="DJ76" s="360">
        <f>DD76</f>
        <v>74801.373043664105</v>
      </c>
      <c r="DK76" s="261">
        <v>7956.5852441829011</v>
      </c>
      <c r="DL76" s="300">
        <f>DI76-DJ76-DK76</f>
        <v>13966.025410745995</v>
      </c>
      <c r="DM76" s="249">
        <v>2.1818999999999984</v>
      </c>
      <c r="DN76" s="250">
        <f t="shared" ref="DN76:DN78" si="287">DM76/DM$95</f>
        <v>0.16077442888566573</v>
      </c>
      <c r="DO76" s="261">
        <v>96976.877950410286</v>
      </c>
      <c r="DP76" s="360">
        <f>DJ76</f>
        <v>74801.373043664105</v>
      </c>
      <c r="DQ76" s="261">
        <v>9885.2468032448833</v>
      </c>
      <c r="DR76" s="251">
        <f t="shared" ref="DR76:DR94" si="288">DO76-DP76-DQ76</f>
        <v>12290.258103501297</v>
      </c>
      <c r="DS76" s="249">
        <v>7.6473600000000017</v>
      </c>
      <c r="DT76" s="250">
        <f t="shared" ref="DT76:DT78" si="289">DS76/DS$95</f>
        <v>0.34308331377307666</v>
      </c>
      <c r="DU76" s="261">
        <v>97004.904960666172</v>
      </c>
      <c r="DV76" s="360">
        <f>DP76-625</f>
        <v>74176.373043664105</v>
      </c>
      <c r="DW76" s="261">
        <v>8821.0964306636506</v>
      </c>
      <c r="DX76" s="251">
        <f t="shared" ref="DX76:DX94" si="290">DU76-DV76-DW76</f>
        <v>14007.435486338416</v>
      </c>
      <c r="DY76" s="249">
        <f>'Net NR'!DD76</f>
        <v>13.168399999999981</v>
      </c>
      <c r="DZ76" s="250">
        <f t="shared" ref="DZ76:DZ78" si="291">DY76/DY$95</f>
        <v>0.29901668552343136</v>
      </c>
      <c r="EA76" s="261">
        <f>'Net NR'!DF76</f>
        <v>96916.256340937529</v>
      </c>
      <c r="EB76" s="261">
        <f>DV76-1071</f>
        <v>73105.373043664105</v>
      </c>
      <c r="EC76" s="261">
        <f>'Net NR'!DG76</f>
        <v>31167.929285258688</v>
      </c>
      <c r="ED76" s="251">
        <f t="shared" ref="ED76:ED94" si="292">EA76-EB76-EC76</f>
        <v>-7357.0459879852642</v>
      </c>
      <c r="EE76" s="249"/>
      <c r="EF76" s="250"/>
      <c r="EG76" s="261"/>
      <c r="EH76" s="261"/>
      <c r="EI76" s="261"/>
      <c r="EJ76" s="251"/>
      <c r="EK76" s="249">
        <v>1.02739</v>
      </c>
      <c r="EL76" s="298">
        <f>EK76/EK$95</f>
        <v>4.4143058415016749E-2</v>
      </c>
      <c r="EM76" s="261">
        <v>96379.330147266359</v>
      </c>
      <c r="EN76" s="261">
        <v>78025.875981147037</v>
      </c>
      <c r="EO76" s="261">
        <v>8434.8397395341581</v>
      </c>
      <c r="EP76" s="251">
        <f t="shared" ref="EP76:EP81" si="293">EM76-EN76-EO76</f>
        <v>9918.6144265851635</v>
      </c>
    </row>
    <row r="77" spans="1:146" s="301" customFormat="1">
      <c r="A77" s="103" t="s">
        <v>198</v>
      </c>
      <c r="B77" s="249">
        <v>31.197311999999936</v>
      </c>
      <c r="C77" s="250">
        <v>0.31417624521072796</v>
      </c>
      <c r="D77" s="299">
        <v>102090.64631026894</v>
      </c>
      <c r="E77" s="299">
        <v>71720</v>
      </c>
      <c r="F77" s="299">
        <v>18000.328849585021</v>
      </c>
      <c r="G77" s="300">
        <f t="shared" ref="G77:G94" si="294">D77-E77-F77</f>
        <v>12370.317460683924</v>
      </c>
      <c r="H77" s="249">
        <v>30.476817999999959</v>
      </c>
      <c r="I77" s="250">
        <v>0.28398576512455515</v>
      </c>
      <c r="J77" s="299">
        <v>102052.81350633004</v>
      </c>
      <c r="K77" s="299">
        <v>71720</v>
      </c>
      <c r="L77" s="299">
        <v>2960.2320563898575</v>
      </c>
      <c r="M77" s="300">
        <f t="shared" ref="M77:M94" si="295">J77-K77-L77</f>
        <v>27372.581449940186</v>
      </c>
      <c r="N77" s="249">
        <v>28.09311199999993</v>
      </c>
      <c r="O77" s="250">
        <v>0.36242299794661192</v>
      </c>
      <c r="P77" s="299">
        <v>102062.49247357233</v>
      </c>
      <c r="Q77" s="299">
        <v>70865</v>
      </c>
      <c r="R77" s="299">
        <v>10342.606474470078</v>
      </c>
      <c r="S77" s="300">
        <f t="shared" ref="S77:S94" si="296">P77-Q77-R77</f>
        <v>20854.885999102255</v>
      </c>
      <c r="T77" s="304">
        <v>32.597567999999931</v>
      </c>
      <c r="U77" s="250">
        <v>0.34761441090555012</v>
      </c>
      <c r="V77" s="299">
        <v>99899.589748864179</v>
      </c>
      <c r="W77" s="299">
        <v>71036</v>
      </c>
      <c r="X77" s="299">
        <v>14833.949269181541</v>
      </c>
      <c r="Y77" s="300">
        <f t="shared" ref="Y77:Y94" si="297">V77-W77-X77</f>
        <v>14029.640479682637</v>
      </c>
      <c r="Z77" s="249">
        <v>16.342847999999972</v>
      </c>
      <c r="AA77" s="250">
        <v>0.35494880546075086</v>
      </c>
      <c r="AB77" s="299">
        <v>100259.05325943406</v>
      </c>
      <c r="AC77" s="299">
        <v>71470</v>
      </c>
      <c r="AD77" s="299">
        <v>11992.729666385892</v>
      </c>
      <c r="AE77" s="300">
        <f t="shared" ref="AE77:AE94" si="298">AB77-AC77-AD77</f>
        <v>16796.323593048168</v>
      </c>
      <c r="AF77" s="249">
        <v>12.051367999999966</v>
      </c>
      <c r="AG77" s="250">
        <v>0.36096718480138168</v>
      </c>
      <c r="AH77" s="299">
        <v>99814.307815382126</v>
      </c>
      <c r="AI77" s="299">
        <v>71470</v>
      </c>
      <c r="AJ77" s="299">
        <v>17534.988156402113</v>
      </c>
      <c r="AK77" s="300">
        <f t="shared" ref="AK77:AK94" si="299">AH77-AI77-AJ77</f>
        <v>10809.319658980014</v>
      </c>
      <c r="AL77" s="249">
        <v>15.539086911999961</v>
      </c>
      <c r="AM77" s="250">
        <v>0.43378995433789952</v>
      </c>
      <c r="AN77" s="299">
        <v>99966.768198769569</v>
      </c>
      <c r="AO77" s="299">
        <v>70516</v>
      </c>
      <c r="AP77" s="299">
        <v>18152.416609151544</v>
      </c>
      <c r="AQ77" s="300">
        <f t="shared" ref="AQ77:AQ94" si="300">AN77-AO77-AP77</f>
        <v>11298.351589618025</v>
      </c>
      <c r="AR77" s="249">
        <v>14.452991999999972</v>
      </c>
      <c r="AS77" s="250">
        <v>0.37688442211055279</v>
      </c>
      <c r="AT77" s="299">
        <v>99933.055371121489</v>
      </c>
      <c r="AU77" s="299">
        <v>68199</v>
      </c>
      <c r="AV77" s="299">
        <v>18106.506238595801</v>
      </c>
      <c r="AW77" s="300">
        <f t="shared" ref="AW77:AW94" si="301">AT77-AU77-AV77</f>
        <v>13627.549132525688</v>
      </c>
      <c r="AX77" s="249">
        <v>12.952163999999962</v>
      </c>
      <c r="AY77" s="250">
        <v>0.20934959349593496</v>
      </c>
      <c r="AZ77" s="299">
        <v>99999.577676750007</v>
      </c>
      <c r="BA77" s="299">
        <v>68199</v>
      </c>
      <c r="BB77" s="299">
        <v>17150.502417974378</v>
      </c>
      <c r="BC77" s="300">
        <f t="shared" ref="BC77:BC94" si="302">AZ77-BA77-BB77</f>
        <v>14650.075258775629</v>
      </c>
      <c r="BD77" s="249">
        <v>31.01075399999992</v>
      </c>
      <c r="BE77" s="250">
        <v>0.55267702936096719</v>
      </c>
      <c r="BF77" s="299">
        <v>99759.079060122604</v>
      </c>
      <c r="BG77" s="299">
        <v>68199</v>
      </c>
      <c r="BH77" s="299">
        <v>16342.495251808487</v>
      </c>
      <c r="BI77" s="300">
        <f t="shared" ref="BI77:BI94" si="303">BF77-BG77-BH77</f>
        <v>15217.583808314117</v>
      </c>
      <c r="BJ77" s="249">
        <v>8.5386239999999987</v>
      </c>
      <c r="BK77" s="250">
        <v>0.44387755102040816</v>
      </c>
      <c r="BL77" s="299">
        <v>99865.670393731009</v>
      </c>
      <c r="BM77" s="299">
        <v>67795</v>
      </c>
      <c r="BN77" s="299">
        <v>16746.873969388995</v>
      </c>
      <c r="BO77" s="300">
        <f t="shared" ref="BO77:BO94" si="304">BL77-BM77-BN77</f>
        <v>15323.796424342014</v>
      </c>
      <c r="BP77" s="261">
        <v>12.56157199999997</v>
      </c>
      <c r="BQ77" s="250">
        <v>0.22289156626506024</v>
      </c>
      <c r="BR77" s="261">
        <v>99804.319873340923</v>
      </c>
      <c r="BS77" s="299">
        <v>71330</v>
      </c>
      <c r="BT77" s="299">
        <v>17667.186877565997</v>
      </c>
      <c r="BU77" s="300">
        <f t="shared" ref="BU77:BU94" si="305">BR77-BS77-BT77</f>
        <v>10807.132995774926</v>
      </c>
      <c r="BV77" s="322"/>
      <c r="BW77" s="297">
        <v>15.549695999999972</v>
      </c>
      <c r="BX77" s="298">
        <f t="shared" ref="BX77:BX79" si="306">BW77/BW$95</f>
        <v>0.34806573292794818</v>
      </c>
      <c r="BY77" s="299">
        <v>99792.019085132328</v>
      </c>
      <c r="BZ77" s="299">
        <v>69265</v>
      </c>
      <c r="CA77" s="299">
        <v>16794.934769142779</v>
      </c>
      <c r="CB77" s="300">
        <f t="shared" ref="CB77:CB94" si="307">BY77-BZ77-CA77</f>
        <v>13732.084315989548</v>
      </c>
      <c r="CC77" s="297">
        <v>18.621085999999949</v>
      </c>
      <c r="CD77" s="298">
        <f t="shared" ref="CD77:CD79" si="308">CC77/CC$95</f>
        <v>0.38706286843918264</v>
      </c>
      <c r="CE77" s="299">
        <v>99577.93170602445</v>
      </c>
      <c r="CF77" s="299">
        <v>69265</v>
      </c>
      <c r="CG77" s="299">
        <v>16027.292393150483</v>
      </c>
      <c r="CH77" s="300">
        <f t="shared" ref="CH77:CH94" si="309">CE77-CF77-CG77</f>
        <v>14285.639312873967</v>
      </c>
      <c r="CI77" s="297">
        <v>13.135933999999969</v>
      </c>
      <c r="CJ77" s="298">
        <f t="shared" ref="CJ77:CJ79" si="310">CI77/CI$95</f>
        <v>0.30504945304701891</v>
      </c>
      <c r="CK77" s="299">
        <v>99596.439811589007</v>
      </c>
      <c r="CL77" s="299">
        <v>70921.041703959156</v>
      </c>
      <c r="CM77" s="299">
        <v>16659.789855826053</v>
      </c>
      <c r="CN77" s="300">
        <f t="shared" ref="CN77:CN94" si="311">CK77-CL77-CM77</f>
        <v>12015.608251803798</v>
      </c>
      <c r="CO77" s="297">
        <v>5.5716480000000042</v>
      </c>
      <c r="CP77" s="298">
        <f t="shared" ref="CP77:CP79" si="312">CO77/CO$95</f>
        <v>0.19275771937574113</v>
      </c>
      <c r="CQ77" s="299">
        <v>100031.62439551087</v>
      </c>
      <c r="CR77" s="261">
        <f t="shared" ref="CR77:CR79" si="313">CL77+675</f>
        <v>71596.041703959156</v>
      </c>
      <c r="CS77" s="261">
        <v>17157.460413866764</v>
      </c>
      <c r="CT77" s="300">
        <f t="shared" ref="CT77:CT94" si="314">CQ77-CR77-CS77</f>
        <v>11278.122277684946</v>
      </c>
      <c r="CU77" s="297">
        <v>12.194303999999981</v>
      </c>
      <c r="CV77" s="298">
        <f t="shared" ref="CV77:CV79" si="315">CU77/CU$95</f>
        <v>0.53647168631627418</v>
      </c>
      <c r="CW77" s="299">
        <v>99639.0544306589</v>
      </c>
      <c r="CX77" s="261">
        <v>73102.041703959156</v>
      </c>
      <c r="CY77" s="261">
        <v>17038.104019712831</v>
      </c>
      <c r="CZ77" s="300">
        <f t="shared" ref="CZ77:CZ94" si="316">CW77-CX77-CY77</f>
        <v>9498.9087069869129</v>
      </c>
      <c r="DA77" s="249">
        <v>28.269503999999959</v>
      </c>
      <c r="DB77" s="298">
        <f t="shared" ref="DB77:DB79" si="317">DA77/DA$95</f>
        <v>0.63002702188066251</v>
      </c>
      <c r="DC77" s="261">
        <v>99509.852383685458</v>
      </c>
      <c r="DD77" s="360">
        <f t="shared" ref="DD77:DD79" si="318">CX77+4681/7*6</f>
        <v>77114.327418244866</v>
      </c>
      <c r="DE77" s="261">
        <v>14683.223306641694</v>
      </c>
      <c r="DF77" s="300">
        <f t="shared" ref="DF77:DF94" si="319">DC77-DD77-DE77</f>
        <v>7712.3016587988986</v>
      </c>
      <c r="DG77" s="249">
        <v>15.178109999999972</v>
      </c>
      <c r="DH77" s="298">
        <f t="shared" ref="DH77:DH79" si="320">DG77/DG$95</f>
        <v>0.68845925133660701</v>
      </c>
      <c r="DI77" s="261">
        <v>99655.732498974074</v>
      </c>
      <c r="DJ77" s="360">
        <f>DD77</f>
        <v>77114.327418244866</v>
      </c>
      <c r="DK77" s="261">
        <v>16844.359409702553</v>
      </c>
      <c r="DL77" s="300">
        <f t="shared" ref="DL77:DL94" si="321">DI77-DJ77-DK77</f>
        <v>5697.0456710266553</v>
      </c>
      <c r="DM77" s="249">
        <v>8.7050879999999893</v>
      </c>
      <c r="DN77" s="250">
        <f t="shared" si="287"/>
        <v>0.64143890719073349</v>
      </c>
      <c r="DO77" s="261">
        <v>99179.898009072596</v>
      </c>
      <c r="DP77" s="360">
        <f>DJ77</f>
        <v>77114.327418244866</v>
      </c>
      <c r="DQ77" s="261">
        <v>16834.065319041027</v>
      </c>
      <c r="DR77" s="251">
        <f t="shared" si="288"/>
        <v>5231.5052717867038</v>
      </c>
      <c r="DS77" s="249">
        <v>5.1783360000000052</v>
      </c>
      <c r="DT77" s="250">
        <f t="shared" si="289"/>
        <v>0.23231555395723755</v>
      </c>
      <c r="DU77" s="261">
        <v>99322.542994506162</v>
      </c>
      <c r="DV77" s="360">
        <f t="shared" ref="DV77:DV79" si="322">DP77-625</f>
        <v>76489.327418244866</v>
      </c>
      <c r="DW77" s="261">
        <v>16345.559654684415</v>
      </c>
      <c r="DX77" s="251">
        <f t="shared" si="290"/>
        <v>6487.6559215768812</v>
      </c>
      <c r="DY77" s="249">
        <f>'Net NR'!DD77</f>
        <v>19.229413999999974</v>
      </c>
      <c r="DZ77" s="250">
        <f t="shared" si="291"/>
        <v>0.43664497120666662</v>
      </c>
      <c r="EA77" s="261">
        <f>'Net NR'!DF77</f>
        <v>99543.431224685512</v>
      </c>
      <c r="EB77" s="261">
        <f t="shared" ref="EB77:EB79" si="323">DV77-1071</f>
        <v>75418.327418244866</v>
      </c>
      <c r="EC77" s="261">
        <f>'Net NR'!DG77</f>
        <v>17056.56084995624</v>
      </c>
      <c r="ED77" s="251">
        <f t="shared" si="292"/>
        <v>7068.5429564844053</v>
      </c>
      <c r="EE77" s="249">
        <f>'Net NR'!DI77</f>
        <v>15.34406399999996</v>
      </c>
      <c r="EF77" s="250">
        <f t="shared" ref="EF77:EF78" si="324">EE77/EE$95</f>
        <v>0.54084451757814811</v>
      </c>
      <c r="EG77" s="261">
        <f>'Net NR'!DK77</f>
        <v>99532.4022371131</v>
      </c>
      <c r="EH77" s="381">
        <f>EB77+2330/7*6</f>
        <v>77415.470275387721</v>
      </c>
      <c r="EI77" s="261">
        <f>'Net NR'!DL77</f>
        <v>21025.951794778775</v>
      </c>
      <c r="EJ77" s="251">
        <f t="shared" ref="EJ77:EJ94" si="325">EG77-EH77-EI77</f>
        <v>1090.9801669466033</v>
      </c>
      <c r="EK77" s="249">
        <v>8.3036160000000052</v>
      </c>
      <c r="EL77" s="298">
        <f t="shared" ref="EL77:EL81" si="326">EK77/EK$95</f>
        <v>0.35677494052294451</v>
      </c>
      <c r="EM77" s="261">
        <v>99820.708231209152</v>
      </c>
      <c r="EN77" s="261">
        <v>80318.000117542237</v>
      </c>
      <c r="EO77" s="261">
        <v>18206.283864764449</v>
      </c>
      <c r="EP77" s="251">
        <f t="shared" si="293"/>
        <v>1296.4242489024655</v>
      </c>
    </row>
    <row r="78" spans="1:146" s="301" customFormat="1">
      <c r="A78" s="103" t="s">
        <v>199</v>
      </c>
      <c r="B78" s="249">
        <v>17.175000000000033</v>
      </c>
      <c r="C78" s="250">
        <v>0.22222222222222221</v>
      </c>
      <c r="D78" s="299">
        <v>117913.65287989828</v>
      </c>
      <c r="E78" s="299">
        <v>69565.504060321793</v>
      </c>
      <c r="F78" s="299">
        <v>15376.217654280232</v>
      </c>
      <c r="G78" s="300">
        <f t="shared" si="294"/>
        <v>32971.93116529625</v>
      </c>
      <c r="H78" s="249">
        <v>11.789999999999983</v>
      </c>
      <c r="I78" s="250">
        <v>0.16725978647686832</v>
      </c>
      <c r="J78" s="299">
        <v>117824.77679395599</v>
      </c>
      <c r="K78" s="299">
        <v>69565.504060321793</v>
      </c>
      <c r="L78" s="299">
        <v>15844.541082407559</v>
      </c>
      <c r="M78" s="300">
        <f t="shared" si="295"/>
        <v>32414.731651226633</v>
      </c>
      <c r="N78" s="249">
        <v>14.084499999999997</v>
      </c>
      <c r="O78" s="250">
        <v>0.21149897330595482</v>
      </c>
      <c r="P78" s="299">
        <v>118385.98952369555</v>
      </c>
      <c r="Q78" s="299">
        <v>68704.775805457233</v>
      </c>
      <c r="R78" s="299">
        <v>15298.603439612527</v>
      </c>
      <c r="S78" s="300">
        <f t="shared" si="296"/>
        <v>34382.610278625791</v>
      </c>
      <c r="T78" s="304">
        <v>15.687999999999992</v>
      </c>
      <c r="U78" s="250">
        <v>0.20934761441090555</v>
      </c>
      <c r="V78" s="299">
        <v>115995.17003270343</v>
      </c>
      <c r="W78" s="299">
        <v>68876.050805457242</v>
      </c>
      <c r="X78" s="299">
        <v>13303.571358557467</v>
      </c>
      <c r="Y78" s="300">
        <f t="shared" si="297"/>
        <v>33815.547868688722</v>
      </c>
      <c r="Z78" s="249">
        <v>7.8299999999999983</v>
      </c>
      <c r="AA78" s="250">
        <v>0.18600682593856654</v>
      </c>
      <c r="AB78" s="299">
        <v>115704.65918245756</v>
      </c>
      <c r="AC78" s="299">
        <v>69395.233499471084</v>
      </c>
      <c r="AD78" s="299">
        <v>14139.4731707419</v>
      </c>
      <c r="AE78" s="300">
        <f t="shared" si="298"/>
        <v>32169.952512244578</v>
      </c>
      <c r="AF78" s="249">
        <v>22.155000000000026</v>
      </c>
      <c r="AG78" s="250">
        <v>0.18652849740932642</v>
      </c>
      <c r="AH78" s="299">
        <v>116566.19948944109</v>
      </c>
      <c r="AI78" s="299">
        <v>69395.233499471084</v>
      </c>
      <c r="AJ78" s="299">
        <v>16572.244201879505</v>
      </c>
      <c r="AK78" s="300">
        <f t="shared" si="299"/>
        <v>30598.721788090501</v>
      </c>
      <c r="AL78" s="249">
        <v>5.0849999999999964</v>
      </c>
      <c r="AM78" s="250">
        <v>0.13850837138508371</v>
      </c>
      <c r="AN78" s="299">
        <v>115389.35946877497</v>
      </c>
      <c r="AO78" s="299">
        <v>68440.433499471081</v>
      </c>
      <c r="AP78" s="299">
        <v>12863.933583855622</v>
      </c>
      <c r="AQ78" s="300">
        <f t="shared" si="300"/>
        <v>34084.992385448269</v>
      </c>
      <c r="AR78" s="249">
        <v>4.7699999999999987</v>
      </c>
      <c r="AS78" s="250">
        <v>0.22948073701842547</v>
      </c>
      <c r="AT78" s="299">
        <v>119754.68196704735</v>
      </c>
      <c r="AU78" s="299">
        <v>66120.858499471084</v>
      </c>
      <c r="AV78" s="299">
        <v>8601.4744810225711</v>
      </c>
      <c r="AW78" s="300">
        <f t="shared" si="301"/>
        <v>45032.348986553698</v>
      </c>
      <c r="AX78" s="249">
        <v>18.735000000000031</v>
      </c>
      <c r="AY78" s="250">
        <v>0.53353658536585369</v>
      </c>
      <c r="AZ78" s="299">
        <v>127267.85374966632</v>
      </c>
      <c r="BA78" s="299">
        <v>66120.858499471084</v>
      </c>
      <c r="BB78" s="299">
        <v>7122.7227115025371</v>
      </c>
      <c r="BC78" s="300">
        <f t="shared" si="302"/>
        <v>54024.272538692698</v>
      </c>
      <c r="BD78" s="249">
        <v>2.4000000000000004</v>
      </c>
      <c r="BE78" s="250">
        <v>9.499136442141623E-2</v>
      </c>
      <c r="BF78" s="299">
        <v>119889.82083333332</v>
      </c>
      <c r="BG78" s="299">
        <v>66120.858499471084</v>
      </c>
      <c r="BH78" s="299">
        <v>11986.012499999999</v>
      </c>
      <c r="BI78" s="300">
        <f t="shared" si="303"/>
        <v>41782.949833862236</v>
      </c>
      <c r="BJ78" s="249">
        <v>1.8300000000000005</v>
      </c>
      <c r="BK78" s="250">
        <v>0.10459183673469388</v>
      </c>
      <c r="BL78" s="299">
        <v>120252.51912568303</v>
      </c>
      <c r="BM78" s="299">
        <v>67795</v>
      </c>
      <c r="BN78" s="299">
        <v>9171.863387978141</v>
      </c>
      <c r="BO78" s="300">
        <f t="shared" si="304"/>
        <v>43285.655737704888</v>
      </c>
      <c r="BP78" s="261">
        <v>11.500499999999995</v>
      </c>
      <c r="BQ78" s="250">
        <v>0.31566265060240961</v>
      </c>
      <c r="BR78" s="261">
        <v>123539.63045085012</v>
      </c>
      <c r="BS78" s="299">
        <v>69177.158912382001</v>
      </c>
      <c r="BT78" s="299">
        <v>21637.211425590205</v>
      </c>
      <c r="BU78" s="300">
        <f t="shared" si="305"/>
        <v>32725.260112877913</v>
      </c>
      <c r="BV78" s="322"/>
      <c r="BW78" s="297">
        <v>10.094999999999992</v>
      </c>
      <c r="BX78" s="298">
        <f t="shared" si="306"/>
        <v>0.2259673484232515</v>
      </c>
      <c r="BY78" s="299">
        <v>125185.04011887076</v>
      </c>
      <c r="BZ78" s="299">
        <v>67154</v>
      </c>
      <c r="CA78" s="299">
        <v>14672.386329866287</v>
      </c>
      <c r="CB78" s="300">
        <f t="shared" si="307"/>
        <v>43358.653789004471</v>
      </c>
      <c r="CC78" s="297">
        <v>16.440000000000015</v>
      </c>
      <c r="CD78" s="298">
        <f t="shared" si="308"/>
        <v>0.34172623214028369</v>
      </c>
      <c r="CE78" s="299">
        <v>126924.47506082717</v>
      </c>
      <c r="CF78" s="299">
        <v>67154</v>
      </c>
      <c r="CG78" s="299">
        <v>30907.624695863731</v>
      </c>
      <c r="CH78" s="300">
        <f t="shared" si="309"/>
        <v>28862.85036496344</v>
      </c>
      <c r="CI78" s="297">
        <v>11.409999999999995</v>
      </c>
      <c r="CJ78" s="298">
        <f t="shared" si="310"/>
        <v>0.26496892107302705</v>
      </c>
      <c r="CK78" s="299">
        <v>126661.32515337419</v>
      </c>
      <c r="CL78" s="299">
        <v>69463.605386989933</v>
      </c>
      <c r="CM78" s="299">
        <v>30117.573181419833</v>
      </c>
      <c r="CN78" s="300">
        <f t="shared" si="311"/>
        <v>27080.146584964419</v>
      </c>
      <c r="CO78" s="297">
        <v>8.5349999999999859</v>
      </c>
      <c r="CP78" s="298">
        <f t="shared" si="312"/>
        <v>0.29527836914175959</v>
      </c>
      <c r="CQ78" s="299">
        <v>125222.99589923867</v>
      </c>
      <c r="CR78" s="261">
        <f t="shared" si="313"/>
        <v>70138.605386989933</v>
      </c>
      <c r="CS78" s="261">
        <v>25018.681898066821</v>
      </c>
      <c r="CT78" s="300">
        <f t="shared" si="314"/>
        <v>30065.708614181913</v>
      </c>
      <c r="CU78" s="297">
        <v>4.2299999999999978</v>
      </c>
      <c r="CV78" s="298">
        <f t="shared" si="315"/>
        <v>0.18609305074876287</v>
      </c>
      <c r="CW78" s="299">
        <v>125279.12056737594</v>
      </c>
      <c r="CX78" s="261">
        <v>71644.605386989933</v>
      </c>
      <c r="CY78" s="261">
        <v>20225.75886524823</v>
      </c>
      <c r="CZ78" s="300">
        <f t="shared" si="316"/>
        <v>33408.756315137776</v>
      </c>
      <c r="DA78" s="249">
        <v>5.9400000000000022</v>
      </c>
      <c r="DB78" s="298">
        <f t="shared" si="317"/>
        <v>0.13238154125276277</v>
      </c>
      <c r="DC78" s="261">
        <v>125470.51346801344</v>
      </c>
      <c r="DD78" s="360">
        <f t="shared" si="318"/>
        <v>75656.891101275643</v>
      </c>
      <c r="DE78" s="261">
        <v>21585.112794612782</v>
      </c>
      <c r="DF78" s="300">
        <f t="shared" si="319"/>
        <v>28228.509572125011</v>
      </c>
      <c r="DG78" s="249">
        <v>1.6950000000000001</v>
      </c>
      <c r="DH78" s="298">
        <f t="shared" si="320"/>
        <v>7.6882986815588444E-2</v>
      </c>
      <c r="DI78" s="261">
        <v>124626.04129793514</v>
      </c>
      <c r="DJ78" s="360">
        <f>DD78</f>
        <v>75656.891101275643</v>
      </c>
      <c r="DK78" s="261">
        <v>17894.430678466069</v>
      </c>
      <c r="DL78" s="300">
        <f t="shared" si="321"/>
        <v>31074.719518193426</v>
      </c>
      <c r="DM78" s="249">
        <v>1.7049999999999996</v>
      </c>
      <c r="DN78" s="250">
        <f t="shared" si="287"/>
        <v>0.125633805971887</v>
      </c>
      <c r="DO78" s="261">
        <v>124213.33724340178</v>
      </c>
      <c r="DP78" s="360">
        <f>DJ78</f>
        <v>75656.891101275643</v>
      </c>
      <c r="DQ78" s="261">
        <v>22433.425219941357</v>
      </c>
      <c r="DR78" s="251">
        <f t="shared" si="288"/>
        <v>26123.02092218478</v>
      </c>
      <c r="DS78" s="249">
        <v>6.5699999999999941</v>
      </c>
      <c r="DT78" s="250">
        <f t="shared" si="289"/>
        <v>0.29474973997420173</v>
      </c>
      <c r="DU78" s="261">
        <v>123901.89193302902</v>
      </c>
      <c r="DV78" s="360">
        <f t="shared" si="322"/>
        <v>75031.891101275643</v>
      </c>
      <c r="DW78" s="261">
        <v>25703.258751902624</v>
      </c>
      <c r="DX78" s="251">
        <f t="shared" si="290"/>
        <v>23166.742079850756</v>
      </c>
      <c r="DY78" s="249">
        <f>'Net NR'!DD78</f>
        <v>2.3550000000000009</v>
      </c>
      <c r="DZ78" s="250">
        <f t="shared" si="291"/>
        <v>5.3475311686133634E-2</v>
      </c>
      <c r="EA78" s="261">
        <f>'Net NR'!DF78</f>
        <v>123881.09129511681</v>
      </c>
      <c r="EB78" s="261">
        <f t="shared" si="323"/>
        <v>73960.891101275643</v>
      </c>
      <c r="EC78" s="261">
        <f>'Net NR'!DG78</f>
        <v>8724.6284501061527</v>
      </c>
      <c r="ED78" s="251">
        <f t="shared" si="292"/>
        <v>41195.571743735018</v>
      </c>
      <c r="EE78" s="249">
        <f>'Net NR'!DI78</f>
        <v>4.0985000000000005</v>
      </c>
      <c r="EF78" s="250">
        <f t="shared" si="324"/>
        <v>0.14446311324653272</v>
      </c>
      <c r="EG78" s="261">
        <f>'Net NR'!DK78</f>
        <v>125067.07575942417</v>
      </c>
      <c r="EH78" s="381">
        <f>EB78+2330/7*6</f>
        <v>75958.033958418499</v>
      </c>
      <c r="EI78" s="261">
        <f>'Net NR'!DL78</f>
        <v>27596.176649993889</v>
      </c>
      <c r="EJ78" s="251">
        <f t="shared" si="325"/>
        <v>21512.865151011785</v>
      </c>
      <c r="EK78" s="249">
        <v>7.9094949999999944</v>
      </c>
      <c r="EL78" s="298">
        <f t="shared" si="326"/>
        <v>0.33984105336657228</v>
      </c>
      <c r="EM78" s="261">
        <v>123777.018633933</v>
      </c>
      <c r="EN78" s="261">
        <v>76886.604451138235</v>
      </c>
      <c r="EO78" s="261">
        <v>33757.597672164957</v>
      </c>
      <c r="EP78" s="251">
        <f t="shared" si="293"/>
        <v>13132.816510629804</v>
      </c>
    </row>
    <row r="79" spans="1:146" s="301" customFormat="1">
      <c r="A79" s="103" t="s">
        <v>200</v>
      </c>
      <c r="B79" s="249">
        <v>1.7009999999999992</v>
      </c>
      <c r="C79" s="250">
        <v>2.4265644955300127E-2</v>
      </c>
      <c r="D79" s="299">
        <v>116122.17208841689</v>
      </c>
      <c r="E79" s="299">
        <v>68913.74475016979</v>
      </c>
      <c r="F79" s="299">
        <v>16653.477203055314</v>
      </c>
      <c r="G79" s="300">
        <f t="shared" si="294"/>
        <v>30554.950135191786</v>
      </c>
      <c r="H79" s="249">
        <v>0.10691999999999999</v>
      </c>
      <c r="I79" s="250">
        <v>7.8291814946619218E-3</v>
      </c>
      <c r="J79" s="299">
        <v>115769.88793444348</v>
      </c>
      <c r="K79" s="299">
        <v>68913.74475016979</v>
      </c>
      <c r="L79" s="299">
        <v>17633.33724233722</v>
      </c>
      <c r="M79" s="300">
        <f t="shared" si="295"/>
        <v>29222.805941936473</v>
      </c>
      <c r="N79" s="249">
        <v>0.11831999999999998</v>
      </c>
      <c r="O79" s="250">
        <v>7.1868583162217657E-3</v>
      </c>
      <c r="P79" s="299">
        <v>115532.3127304443</v>
      </c>
      <c r="Q79" s="299">
        <v>68053.101752617236</v>
      </c>
      <c r="R79" s="299">
        <v>13830.064589808724</v>
      </c>
      <c r="S79" s="300">
        <f t="shared" si="296"/>
        <v>33649.146388018344</v>
      </c>
      <c r="T79" s="304">
        <v>0.17279999999999998</v>
      </c>
      <c r="U79" s="250">
        <v>1.9474196689386564E-3</v>
      </c>
      <c r="V79" s="299">
        <v>113090.11575922342</v>
      </c>
      <c r="W79" s="299">
        <v>68876.050805457242</v>
      </c>
      <c r="X79" s="299">
        <v>808.28705551970654</v>
      </c>
      <c r="Y79" s="300">
        <f t="shared" si="297"/>
        <v>43405.777898246473</v>
      </c>
      <c r="Z79" s="249">
        <v>4.3200000000000002E-2</v>
      </c>
      <c r="AA79" s="250">
        <v>3.4129692832764505E-3</v>
      </c>
      <c r="AB79" s="299">
        <v>113090.11575922341</v>
      </c>
      <c r="AC79" s="299">
        <v>68516.853133732628</v>
      </c>
      <c r="AD79" s="299">
        <v>8552.3842777419268</v>
      </c>
      <c r="AE79" s="300">
        <f t="shared" si="298"/>
        <v>36020.878347748854</v>
      </c>
      <c r="AF79" s="249">
        <v>7.1999999999999998E-3</v>
      </c>
      <c r="AG79" s="250">
        <v>1.7271157167530224E-3</v>
      </c>
      <c r="AH79" s="299">
        <v>114694.60053662737</v>
      </c>
      <c r="AI79" s="299">
        <v>68516.853133732628</v>
      </c>
      <c r="AJ79" s="299">
        <v>0.15609218293219682</v>
      </c>
      <c r="AK79" s="300">
        <f t="shared" si="299"/>
        <v>46177.591310711818</v>
      </c>
      <c r="AL79" s="249">
        <v>0.27540000000000003</v>
      </c>
      <c r="AM79" s="250">
        <v>1.3698630136986301E-2</v>
      </c>
      <c r="AN79" s="299">
        <v>113396.38347983574</v>
      </c>
      <c r="AO79" s="299">
        <v>68440.433499471081</v>
      </c>
      <c r="AP79" s="299">
        <v>32077.719718034732</v>
      </c>
      <c r="AQ79" s="300">
        <f t="shared" si="300"/>
        <v>12878.230262329929</v>
      </c>
      <c r="AR79" s="249"/>
      <c r="AS79" s="250">
        <v>0</v>
      </c>
      <c r="AT79" s="299">
        <v>0</v>
      </c>
      <c r="AU79" s="299"/>
      <c r="AV79" s="299"/>
      <c r="AW79" s="300">
        <f t="shared" si="301"/>
        <v>0</v>
      </c>
      <c r="AX79" s="249">
        <v>0.21239999999999998</v>
      </c>
      <c r="AY79" s="250">
        <v>6.0975609756097563E-3</v>
      </c>
      <c r="AZ79" s="299">
        <v>112769.49152542373</v>
      </c>
      <c r="BA79" s="299">
        <v>64830</v>
      </c>
      <c r="BB79" s="299">
        <v>2606.7325800376593</v>
      </c>
      <c r="BC79" s="300">
        <f t="shared" si="302"/>
        <v>45332.758945386071</v>
      </c>
      <c r="BD79" s="249">
        <v>2.8799999999999999E-2</v>
      </c>
      <c r="BE79" s="250">
        <v>3.4542314335060447E-3</v>
      </c>
      <c r="BF79" s="299">
        <v>113292.70833333333</v>
      </c>
      <c r="BG79" s="299">
        <v>64830</v>
      </c>
      <c r="BH79" s="299">
        <v>1586.4583333333353</v>
      </c>
      <c r="BI79" s="300">
        <f t="shared" si="303"/>
        <v>46876.249999999993</v>
      </c>
      <c r="BJ79" s="249"/>
      <c r="BK79" s="250">
        <v>0</v>
      </c>
      <c r="BL79" s="299">
        <v>0</v>
      </c>
      <c r="BM79" s="299"/>
      <c r="BN79" s="299"/>
      <c r="BO79" s="300">
        <f t="shared" si="304"/>
        <v>0</v>
      </c>
      <c r="BP79" s="261">
        <v>4.1720400000000097</v>
      </c>
      <c r="BQ79" s="250">
        <v>0.24939759036144579</v>
      </c>
      <c r="BR79" s="261">
        <v>112999.99041236383</v>
      </c>
      <c r="BS79" s="299">
        <v>68525.399602229998</v>
      </c>
      <c r="BT79" s="299">
        <v>11152.2852129893</v>
      </c>
      <c r="BU79" s="300">
        <f t="shared" si="305"/>
        <v>33322.305597144528</v>
      </c>
      <c r="BV79" s="322"/>
      <c r="BW79" s="297">
        <v>6.5277600000000193</v>
      </c>
      <c r="BX79" s="298">
        <f t="shared" si="306"/>
        <v>0.14611794139112133</v>
      </c>
      <c r="BY79" s="299">
        <v>112697.42147382849</v>
      </c>
      <c r="BZ79" s="299">
        <v>66481</v>
      </c>
      <c r="CA79" s="299">
        <v>11147.874615488276</v>
      </c>
      <c r="CB79" s="300">
        <f t="shared" si="307"/>
        <v>35068.546858340218</v>
      </c>
      <c r="CC79" s="297">
        <v>6.4620000000000264</v>
      </c>
      <c r="CD79" s="298">
        <f t="shared" si="308"/>
        <v>0.13432085839966668</v>
      </c>
      <c r="CE79" s="299">
        <v>112637.83967811783</v>
      </c>
      <c r="CF79" s="299">
        <v>66481</v>
      </c>
      <c r="CG79" s="299">
        <v>10353.443206437581</v>
      </c>
      <c r="CH79" s="300">
        <f t="shared" si="309"/>
        <v>35803.396471680251</v>
      </c>
      <c r="CI79" s="297">
        <v>6.8223600000000237</v>
      </c>
      <c r="CJ79" s="298">
        <f t="shared" si="310"/>
        <v>0.15843237233757965</v>
      </c>
      <c r="CK79" s="299">
        <v>112702.66447387679</v>
      </c>
      <c r="CL79" s="299">
        <v>68790.625037473015</v>
      </c>
      <c r="CM79" s="299">
        <v>11292.129116610633</v>
      </c>
      <c r="CN79" s="300">
        <f t="shared" si="311"/>
        <v>32619.910319793147</v>
      </c>
      <c r="CO79" s="297">
        <v>7.4533200000000148</v>
      </c>
      <c r="CP79" s="298">
        <f t="shared" si="312"/>
        <v>0.25785637660124988</v>
      </c>
      <c r="CQ79" s="299">
        <v>113355.1195977094</v>
      </c>
      <c r="CR79" s="261">
        <f t="shared" si="313"/>
        <v>69465.625037473015</v>
      </c>
      <c r="CS79" s="261">
        <v>10663.364782405662</v>
      </c>
      <c r="CT79" s="300">
        <f t="shared" si="314"/>
        <v>33226.129777830727</v>
      </c>
      <c r="CU79" s="297">
        <v>1.1732999999999998</v>
      </c>
      <c r="CV79" s="298">
        <f t="shared" si="315"/>
        <v>5.1617724927546939E-2</v>
      </c>
      <c r="CW79" s="299">
        <v>112585.72402625075</v>
      </c>
      <c r="CX79" s="261">
        <v>70971.625037473015</v>
      </c>
      <c r="CY79" s="261">
        <v>11566.896786840536</v>
      </c>
      <c r="CZ79" s="300">
        <f t="shared" si="316"/>
        <v>30047.202201937202</v>
      </c>
      <c r="DA79" s="249">
        <v>2.0995200000000001</v>
      </c>
      <c r="DB79" s="298">
        <f t="shared" si="317"/>
        <v>4.6790857490067408E-2</v>
      </c>
      <c r="DC79" s="261">
        <v>113196.85928212159</v>
      </c>
      <c r="DD79" s="360">
        <f t="shared" si="318"/>
        <v>74983.910751758725</v>
      </c>
      <c r="DE79" s="261">
        <v>10938.214449016921</v>
      </c>
      <c r="DF79" s="300">
        <f t="shared" si="319"/>
        <v>27274.734081345938</v>
      </c>
      <c r="DG79" s="249">
        <v>0.44250000000000012</v>
      </c>
      <c r="DH79" s="298">
        <f t="shared" si="320"/>
        <v>2.0071222221768669E-2</v>
      </c>
      <c r="DI79" s="261">
        <v>112626.39548022598</v>
      </c>
      <c r="DJ79" s="360">
        <f>DD79</f>
        <v>74983.910751758725</v>
      </c>
      <c r="DK79" s="261">
        <v>10688.542372881353</v>
      </c>
      <c r="DL79" s="300">
        <f t="shared" si="321"/>
        <v>26953.942355585903</v>
      </c>
      <c r="DM79" s="249">
        <v>0.97920000000000018</v>
      </c>
      <c r="DN79" s="250">
        <f>DM79/DM$95</f>
        <v>7.2152857951713653E-2</v>
      </c>
      <c r="DO79" s="261">
        <v>112459.79370915034</v>
      </c>
      <c r="DP79" s="360">
        <f>DJ79</f>
        <v>74983.910751758725</v>
      </c>
      <c r="DQ79" s="261">
        <v>10876.72589869281</v>
      </c>
      <c r="DR79" s="251">
        <f t="shared" si="288"/>
        <v>26599.157058698805</v>
      </c>
      <c r="DS79" s="249">
        <v>2.8944000000000014</v>
      </c>
      <c r="DT79" s="250">
        <f>DS79/DS$95</f>
        <v>0.12985139229548412</v>
      </c>
      <c r="DU79" s="261">
        <v>112336.79519071295</v>
      </c>
      <c r="DV79" s="360">
        <f t="shared" si="322"/>
        <v>74358.910751758725</v>
      </c>
      <c r="DW79" s="261">
        <v>15948.296710889985</v>
      </c>
      <c r="DX79" s="251">
        <f t="shared" si="290"/>
        <v>22029.587728064238</v>
      </c>
      <c r="DY79" s="249">
        <f>'Net NR'!DD79</f>
        <v>2.1006</v>
      </c>
      <c r="DZ79" s="250">
        <f>DY79/DY$95</f>
        <v>4.7698615595707969E-2</v>
      </c>
      <c r="EA79" s="261">
        <f>'Net NR'!DF79</f>
        <v>112375.3118156717</v>
      </c>
      <c r="EB79" s="261">
        <f t="shared" si="323"/>
        <v>73287.910751758725</v>
      </c>
      <c r="EC79" s="261">
        <f>'Net NR'!DG79</f>
        <v>14419.741978482334</v>
      </c>
      <c r="ED79" s="251">
        <f t="shared" si="292"/>
        <v>24667.659085430634</v>
      </c>
      <c r="EE79" s="249">
        <f>'Net NR'!DI79</f>
        <v>2.2608000000000001</v>
      </c>
      <c r="EF79" s="250">
        <f>EE79/EE$95</f>
        <v>7.9688228968588792E-2</v>
      </c>
      <c r="EG79" s="261">
        <f>'Net NR'!DK79</f>
        <v>112279.13570417547</v>
      </c>
      <c r="EH79" s="381">
        <f>EB79+2330/7*6</f>
        <v>75285.05360890158</v>
      </c>
      <c r="EI79" s="261">
        <f>'Net NR'!DL79</f>
        <v>20818.657112526544</v>
      </c>
      <c r="EJ79" s="251">
        <f t="shared" si="325"/>
        <v>16175.424982747343</v>
      </c>
      <c r="EK79" s="249">
        <v>1.6703999999999997</v>
      </c>
      <c r="EL79" s="298">
        <f t="shared" si="326"/>
        <v>7.1770763562467962E-2</v>
      </c>
      <c r="EM79" s="261">
        <v>112725.13769157087</v>
      </c>
      <c r="EN79" s="261">
        <v>78165.800567362239</v>
      </c>
      <c r="EO79" s="261">
        <v>21210.302921455954</v>
      </c>
      <c r="EP79" s="251">
        <f t="shared" si="293"/>
        <v>13349.034202752675</v>
      </c>
    </row>
    <row r="80" spans="1:146" s="301" customFormat="1">
      <c r="A80" s="103" t="s">
        <v>259</v>
      </c>
      <c r="B80" s="249"/>
      <c r="C80" s="250">
        <v>0</v>
      </c>
      <c r="D80" s="299">
        <v>0</v>
      </c>
      <c r="E80" s="299"/>
      <c r="F80" s="299"/>
      <c r="G80" s="300">
        <f t="shared" si="294"/>
        <v>0</v>
      </c>
      <c r="H80" s="249">
        <v>-2.2949999999999998E-2</v>
      </c>
      <c r="I80" s="250">
        <v>2.1352313167259788E-3</v>
      </c>
      <c r="J80" s="299">
        <v>105185.51223139936</v>
      </c>
      <c r="K80" s="299"/>
      <c r="L80" s="299">
        <v>9573.7475255170066</v>
      </c>
      <c r="M80" s="300">
        <f t="shared" si="295"/>
        <v>95611.76470588235</v>
      </c>
      <c r="N80" s="249">
        <v>-1.5525000000000001E-2</v>
      </c>
      <c r="O80" s="250">
        <v>1.026694045174538E-3</v>
      </c>
      <c r="P80" s="299">
        <v>107311.95391419801</v>
      </c>
      <c r="Q80" s="299">
        <v>67970.194748209542</v>
      </c>
      <c r="R80" s="299">
        <v>-21.379419135319068</v>
      </c>
      <c r="S80" s="300">
        <f t="shared" si="296"/>
        <v>39363.138585123786</v>
      </c>
      <c r="T80" s="304"/>
      <c r="U80" s="250">
        <v>0</v>
      </c>
      <c r="V80" s="299">
        <v>0</v>
      </c>
      <c r="W80" s="299"/>
      <c r="X80" s="299"/>
      <c r="Y80" s="300">
        <f t="shared" si="297"/>
        <v>0</v>
      </c>
      <c r="Z80" s="249"/>
      <c r="AA80" s="250">
        <v>0</v>
      </c>
      <c r="AB80" s="299">
        <v>0</v>
      </c>
      <c r="AC80" s="299"/>
      <c r="AD80" s="299"/>
      <c r="AE80" s="300">
        <f t="shared" si="298"/>
        <v>0</v>
      </c>
      <c r="AF80" s="249"/>
      <c r="AG80" s="250">
        <v>0</v>
      </c>
      <c r="AH80" s="299">
        <v>0</v>
      </c>
      <c r="AI80" s="299"/>
      <c r="AJ80" s="299"/>
      <c r="AK80" s="300">
        <f t="shared" si="299"/>
        <v>0</v>
      </c>
      <c r="AL80" s="249"/>
      <c r="AM80" s="250">
        <v>0</v>
      </c>
      <c r="AN80" s="299">
        <v>0</v>
      </c>
      <c r="AO80" s="299"/>
      <c r="AP80" s="299"/>
      <c r="AQ80" s="300">
        <f t="shared" si="300"/>
        <v>0</v>
      </c>
      <c r="AR80" s="249"/>
      <c r="AS80" s="250">
        <v>0</v>
      </c>
      <c r="AT80" s="299">
        <v>0</v>
      </c>
      <c r="AU80" s="299"/>
      <c r="AV80" s="299"/>
      <c r="AW80" s="300">
        <f t="shared" si="301"/>
        <v>0</v>
      </c>
      <c r="AX80" s="249"/>
      <c r="AY80" s="250">
        <v>0</v>
      </c>
      <c r="AZ80" s="299">
        <v>0</v>
      </c>
      <c r="BA80" s="299"/>
      <c r="BB80" s="299"/>
      <c r="BC80" s="300">
        <f t="shared" si="302"/>
        <v>0</v>
      </c>
      <c r="BD80" s="249"/>
      <c r="BE80" s="250">
        <v>0</v>
      </c>
      <c r="BF80" s="299">
        <v>0</v>
      </c>
      <c r="BG80" s="299"/>
      <c r="BH80" s="299"/>
      <c r="BI80" s="300">
        <f t="shared" si="303"/>
        <v>0</v>
      </c>
      <c r="BJ80" s="249"/>
      <c r="BK80" s="250">
        <v>0</v>
      </c>
      <c r="BL80" s="299">
        <v>0</v>
      </c>
      <c r="BM80" s="299"/>
      <c r="BN80" s="299"/>
      <c r="BO80" s="300">
        <f t="shared" si="304"/>
        <v>0</v>
      </c>
      <c r="BP80" s="261">
        <v>-3.5549999999999998E-2</v>
      </c>
      <c r="BQ80" s="250">
        <v>7.2289156626506026E-3</v>
      </c>
      <c r="BR80" s="261">
        <v>99350.210970464148</v>
      </c>
      <c r="BS80" s="299">
        <v>68442.33401018384</v>
      </c>
      <c r="BT80" s="299">
        <v>7086.638537271454</v>
      </c>
      <c r="BU80" s="300">
        <f t="shared" si="305"/>
        <v>23821.238423008854</v>
      </c>
      <c r="BV80" s="322"/>
      <c r="BW80" s="297"/>
      <c r="BX80" s="298"/>
      <c r="BY80" s="299"/>
      <c r="BZ80" s="299"/>
      <c r="CA80" s="299"/>
      <c r="CB80" s="300">
        <f t="shared" si="307"/>
        <v>0</v>
      </c>
      <c r="CC80" s="297"/>
      <c r="CD80" s="298"/>
      <c r="CE80" s="299"/>
      <c r="CF80" s="299"/>
      <c r="CG80" s="299"/>
      <c r="CH80" s="300">
        <f t="shared" si="309"/>
        <v>0</v>
      </c>
      <c r="CI80" s="297">
        <v>0</v>
      </c>
      <c r="CJ80" s="298"/>
      <c r="CK80" s="299"/>
      <c r="CL80" s="299"/>
      <c r="CM80" s="299"/>
      <c r="CN80" s="300">
        <f t="shared" si="311"/>
        <v>0</v>
      </c>
      <c r="CO80" s="297">
        <v>0</v>
      </c>
      <c r="CP80" s="298"/>
      <c r="CQ80" s="299"/>
      <c r="CR80" s="299"/>
      <c r="CS80" s="299"/>
      <c r="CT80" s="300">
        <f t="shared" si="314"/>
        <v>0</v>
      </c>
      <c r="CU80" s="297">
        <v>0</v>
      </c>
      <c r="CV80" s="298"/>
      <c r="CW80" s="299">
        <v>0</v>
      </c>
      <c r="CX80" s="299"/>
      <c r="CY80" s="299"/>
      <c r="CZ80" s="300">
        <f t="shared" si="316"/>
        <v>0</v>
      </c>
      <c r="DA80" s="249">
        <v>0</v>
      </c>
      <c r="DB80" s="298"/>
      <c r="DC80" s="261">
        <v>0</v>
      </c>
      <c r="DD80" s="299"/>
      <c r="DE80" s="299"/>
      <c r="DF80" s="300">
        <f t="shared" si="319"/>
        <v>0</v>
      </c>
      <c r="DG80" s="249">
        <v>0</v>
      </c>
      <c r="DH80" s="298"/>
      <c r="DI80" s="261">
        <v>0</v>
      </c>
      <c r="DJ80" s="299"/>
      <c r="DK80" s="299"/>
      <c r="DL80" s="300">
        <f t="shared" si="321"/>
        <v>0</v>
      </c>
      <c r="DM80" s="249">
        <v>0</v>
      </c>
      <c r="DN80" s="250">
        <f>DM80/DM$95</f>
        <v>0</v>
      </c>
      <c r="DO80" s="261">
        <v>0</v>
      </c>
      <c r="DP80" s="299"/>
      <c r="DQ80" s="299"/>
      <c r="DR80" s="300">
        <f t="shared" si="288"/>
        <v>0</v>
      </c>
      <c r="DS80" s="249">
        <v>0</v>
      </c>
      <c r="DT80" s="298"/>
      <c r="DU80" s="261">
        <v>0</v>
      </c>
      <c r="DV80" s="299"/>
      <c r="DW80" s="299"/>
      <c r="DX80" s="300">
        <f t="shared" si="290"/>
        <v>0</v>
      </c>
      <c r="DY80" s="249">
        <f>'Net NR'!DD80</f>
        <v>7.1856000000000089</v>
      </c>
      <c r="DZ80" s="250">
        <f>DY80/DY$95</f>
        <v>0.16316441598806036</v>
      </c>
      <c r="EA80" s="261">
        <f>'Net NR'!DF80</f>
        <v>84921.881262524912</v>
      </c>
      <c r="EB80" s="261">
        <f>EB79+300</f>
        <v>73587.910751758725</v>
      </c>
      <c r="EC80" s="261">
        <f>'Net NR'!DG80</f>
        <v>977.38950122467077</v>
      </c>
      <c r="ED80" s="300">
        <f t="shared" si="292"/>
        <v>10356.581009541516</v>
      </c>
      <c r="EE80" s="249">
        <f>'Net NR'!DI80</f>
        <v>6.6672000000000109</v>
      </c>
      <c r="EF80" s="250">
        <f>EE80/EE$95</f>
        <v>0.23500414020673038</v>
      </c>
      <c r="EG80" s="261">
        <f>'Net NR'!DK80</f>
        <v>84896.292296616142</v>
      </c>
      <c r="EH80" s="381">
        <f>EB80+2330/7*6</f>
        <v>75585.05360890158</v>
      </c>
      <c r="EI80" s="261">
        <f>'Net NR'!DL80</f>
        <v>539.93130549555951</v>
      </c>
      <c r="EJ80" s="300">
        <f t="shared" si="325"/>
        <v>8771.3073822190017</v>
      </c>
      <c r="EK80" s="249">
        <v>4.3632000000000026</v>
      </c>
      <c r="EL80" s="298">
        <f t="shared" si="326"/>
        <v>0.18747018413299837</v>
      </c>
      <c r="EM80" s="261">
        <v>84828.834341767462</v>
      </c>
      <c r="EN80" s="261">
        <v>78290.523728159736</v>
      </c>
      <c r="EO80" s="261">
        <v>593.53456178951194</v>
      </c>
      <c r="EP80" s="300">
        <f t="shared" si="293"/>
        <v>5944.776051818214</v>
      </c>
    </row>
    <row r="81" spans="1:146" s="301" customFormat="1" ht="15.75" thickBot="1">
      <c r="A81" s="103" t="s">
        <v>201</v>
      </c>
      <c r="B81" s="249"/>
      <c r="C81" s="250">
        <v>0</v>
      </c>
      <c r="D81" s="299">
        <v>0</v>
      </c>
      <c r="E81" s="299"/>
      <c r="F81" s="299"/>
      <c r="G81" s="300">
        <f t="shared" si="294"/>
        <v>0</v>
      </c>
      <c r="H81" s="249">
        <v>-3.8300000000000001E-2</v>
      </c>
      <c r="I81" s="250">
        <v>3.5587188612099642E-3</v>
      </c>
      <c r="J81" s="299">
        <v>103962.42487987147</v>
      </c>
      <c r="K81" s="299"/>
      <c r="L81" s="299">
        <v>5734.2264464510808</v>
      </c>
      <c r="M81" s="300">
        <f t="shared" si="295"/>
        <v>98228.198433420388</v>
      </c>
      <c r="N81" s="249"/>
      <c r="O81" s="250">
        <v>0</v>
      </c>
      <c r="P81" s="299">
        <v>0</v>
      </c>
      <c r="Q81" s="299"/>
      <c r="R81" s="299"/>
      <c r="S81" s="300">
        <f t="shared" si="296"/>
        <v>0</v>
      </c>
      <c r="T81" s="304"/>
      <c r="U81" s="250">
        <v>0</v>
      </c>
      <c r="V81" s="299">
        <v>0</v>
      </c>
      <c r="W81" s="299"/>
      <c r="X81" s="299"/>
      <c r="Y81" s="300">
        <f t="shared" si="297"/>
        <v>0</v>
      </c>
      <c r="Z81" s="249"/>
      <c r="AA81" s="250">
        <v>0</v>
      </c>
      <c r="AB81" s="299">
        <v>0</v>
      </c>
      <c r="AC81" s="299"/>
      <c r="AD81" s="299"/>
      <c r="AE81" s="300">
        <f t="shared" si="298"/>
        <v>0</v>
      </c>
      <c r="AF81" s="249"/>
      <c r="AG81" s="250">
        <v>0</v>
      </c>
      <c r="AH81" s="299">
        <v>0</v>
      </c>
      <c r="AI81" s="299"/>
      <c r="AJ81" s="299"/>
      <c r="AK81" s="300">
        <f t="shared" si="299"/>
        <v>0</v>
      </c>
      <c r="AL81" s="249"/>
      <c r="AM81" s="250">
        <v>0</v>
      </c>
      <c r="AN81" s="299">
        <v>0</v>
      </c>
      <c r="AO81" s="299"/>
      <c r="AP81" s="299"/>
      <c r="AQ81" s="300">
        <f t="shared" si="300"/>
        <v>0</v>
      </c>
      <c r="AR81" s="249"/>
      <c r="AS81" s="250">
        <v>0</v>
      </c>
      <c r="AT81" s="299">
        <v>0</v>
      </c>
      <c r="AU81" s="299"/>
      <c r="AV81" s="299"/>
      <c r="AW81" s="300">
        <f t="shared" si="301"/>
        <v>0</v>
      </c>
      <c r="AX81" s="249"/>
      <c r="AY81" s="250">
        <v>0</v>
      </c>
      <c r="AZ81" s="299">
        <v>0</v>
      </c>
      <c r="BA81" s="299"/>
      <c r="BB81" s="299"/>
      <c r="BC81" s="300">
        <f t="shared" si="302"/>
        <v>0</v>
      </c>
      <c r="BD81" s="249"/>
      <c r="BE81" s="250">
        <v>0</v>
      </c>
      <c r="BF81" s="299">
        <v>0</v>
      </c>
      <c r="BG81" s="299"/>
      <c r="BH81" s="299"/>
      <c r="BI81" s="300">
        <f t="shared" si="303"/>
        <v>0</v>
      </c>
      <c r="BJ81" s="249"/>
      <c r="BK81" s="250">
        <v>0</v>
      </c>
      <c r="BL81" s="299">
        <v>0</v>
      </c>
      <c r="BM81" s="299"/>
      <c r="BN81" s="299"/>
      <c r="BO81" s="300">
        <f t="shared" si="304"/>
        <v>0</v>
      </c>
      <c r="BP81" s="261">
        <v>-2.5999999999999999E-3</v>
      </c>
      <c r="BQ81" s="250">
        <v>2.4096385542168677E-3</v>
      </c>
      <c r="BR81" s="261">
        <v>101780.76923076923</v>
      </c>
      <c r="BS81" s="299">
        <v>69177.158912382001</v>
      </c>
      <c r="BT81" s="299">
        <v>7280.7692307692287</v>
      </c>
      <c r="BU81" s="300">
        <f t="shared" si="305"/>
        <v>25322.841087618006</v>
      </c>
      <c r="BV81" s="322"/>
      <c r="BW81" s="297">
        <v>0</v>
      </c>
      <c r="BX81" s="298"/>
      <c r="BY81" s="299">
        <v>0</v>
      </c>
      <c r="BZ81" s="299"/>
      <c r="CA81" s="299"/>
      <c r="CB81" s="300">
        <f t="shared" si="307"/>
        <v>0</v>
      </c>
      <c r="CC81" s="297">
        <v>0</v>
      </c>
      <c r="CD81" s="298"/>
      <c r="CE81" s="299">
        <v>0</v>
      </c>
      <c r="CF81" s="299"/>
      <c r="CG81" s="299"/>
      <c r="CH81" s="300">
        <f t="shared" si="309"/>
        <v>0</v>
      </c>
      <c r="CI81" s="297">
        <v>0</v>
      </c>
      <c r="CJ81" s="298"/>
      <c r="CK81" s="299">
        <v>0</v>
      </c>
      <c r="CL81" s="299"/>
      <c r="CM81" s="299"/>
      <c r="CN81" s="300">
        <f t="shared" si="311"/>
        <v>0</v>
      </c>
      <c r="CO81" s="297">
        <v>0</v>
      </c>
      <c r="CP81" s="298"/>
      <c r="CQ81" s="299">
        <v>0</v>
      </c>
      <c r="CR81" s="299"/>
      <c r="CS81" s="299"/>
      <c r="CT81" s="300">
        <f t="shared" si="314"/>
        <v>0</v>
      </c>
      <c r="CU81" s="297">
        <v>-2.8000000000000001E-2</v>
      </c>
      <c r="CV81" s="298"/>
      <c r="CW81" s="299">
        <v>0</v>
      </c>
      <c r="CX81" s="299"/>
      <c r="CY81" s="299"/>
      <c r="CZ81" s="300">
        <f t="shared" si="316"/>
        <v>0</v>
      </c>
      <c r="DA81" s="249">
        <v>0</v>
      </c>
      <c r="DB81" s="298"/>
      <c r="DC81" s="261">
        <v>0</v>
      </c>
      <c r="DD81" s="299"/>
      <c r="DE81" s="299"/>
      <c r="DF81" s="300">
        <f t="shared" si="319"/>
        <v>0</v>
      </c>
      <c r="DG81" s="249">
        <v>0</v>
      </c>
      <c r="DH81" s="298"/>
      <c r="DI81" s="261">
        <v>0</v>
      </c>
      <c r="DJ81" s="299"/>
      <c r="DK81" s="299"/>
      <c r="DL81" s="300">
        <f t="shared" si="321"/>
        <v>0</v>
      </c>
      <c r="DM81" s="249">
        <v>0</v>
      </c>
      <c r="DN81" s="298"/>
      <c r="DO81" s="261">
        <v>0</v>
      </c>
      <c r="DP81" s="299"/>
      <c r="DQ81" s="299"/>
      <c r="DR81" s="300">
        <f t="shared" si="288"/>
        <v>0</v>
      </c>
      <c r="DS81" s="249">
        <v>0</v>
      </c>
      <c r="DT81" s="298"/>
      <c r="DU81" s="261">
        <v>0</v>
      </c>
      <c r="DV81" s="299"/>
      <c r="DW81" s="299"/>
      <c r="DX81" s="300">
        <f t="shared" si="290"/>
        <v>0</v>
      </c>
      <c r="DY81" s="249">
        <v>0</v>
      </c>
      <c r="DZ81" s="298"/>
      <c r="EA81" s="261">
        <v>0</v>
      </c>
      <c r="EB81" s="299"/>
      <c r="EC81" s="299"/>
      <c r="ED81" s="300">
        <f t="shared" si="292"/>
        <v>0</v>
      </c>
      <c r="EE81" s="249">
        <v>0</v>
      </c>
      <c r="EF81" s="298"/>
      <c r="EG81" s="261">
        <v>0</v>
      </c>
      <c r="EH81" s="299"/>
      <c r="EI81" s="299"/>
      <c r="EJ81" s="300">
        <f t="shared" si="325"/>
        <v>0</v>
      </c>
      <c r="EK81" s="249"/>
      <c r="EL81" s="298">
        <f t="shared" si="326"/>
        <v>0</v>
      </c>
      <c r="EM81" s="261"/>
      <c r="EN81" s="261"/>
      <c r="EO81" s="261"/>
      <c r="EP81" s="300">
        <f t="shared" si="293"/>
        <v>0</v>
      </c>
    </row>
    <row r="82" spans="1:146" s="301" customFormat="1" ht="15.75" hidden="1" customHeight="1" thickBot="1">
      <c r="A82" s="319"/>
      <c r="B82" s="249"/>
      <c r="C82" s="250"/>
      <c r="D82" s="299"/>
      <c r="E82" s="299"/>
      <c r="F82" s="299"/>
      <c r="G82" s="300">
        <f t="shared" si="294"/>
        <v>0</v>
      </c>
      <c r="H82" s="297"/>
      <c r="I82" s="298"/>
      <c r="J82" s="320"/>
      <c r="K82" s="299"/>
      <c r="L82" s="299"/>
      <c r="M82" s="300">
        <f t="shared" si="295"/>
        <v>0</v>
      </c>
      <c r="N82" s="297"/>
      <c r="O82" s="298"/>
      <c r="P82" s="299"/>
      <c r="Q82" s="299"/>
      <c r="R82" s="299"/>
      <c r="S82" s="300">
        <f t="shared" si="296"/>
        <v>0</v>
      </c>
      <c r="T82" s="297"/>
      <c r="U82" s="298"/>
      <c r="V82" s="299"/>
      <c r="W82" s="299"/>
      <c r="X82" s="299"/>
      <c r="Y82" s="300">
        <f t="shared" si="297"/>
        <v>0</v>
      </c>
      <c r="Z82" s="297"/>
      <c r="AA82" s="298"/>
      <c r="AB82" s="299"/>
      <c r="AC82" s="299"/>
      <c r="AD82" s="299"/>
      <c r="AE82" s="300">
        <f t="shared" si="298"/>
        <v>0</v>
      </c>
      <c r="AF82" s="297"/>
      <c r="AG82" s="298"/>
      <c r="AH82" s="299"/>
      <c r="AI82" s="299"/>
      <c r="AJ82" s="299"/>
      <c r="AK82" s="300">
        <f t="shared" si="299"/>
        <v>0</v>
      </c>
      <c r="AL82" s="321"/>
      <c r="AM82" s="298"/>
      <c r="AN82" s="299"/>
      <c r="AO82" s="299"/>
      <c r="AP82" s="299"/>
      <c r="AQ82" s="300">
        <f t="shared" si="300"/>
        <v>0</v>
      </c>
      <c r="AR82" s="297"/>
      <c r="AS82" s="298"/>
      <c r="AT82" s="299"/>
      <c r="AU82" s="299"/>
      <c r="AV82" s="299"/>
      <c r="AW82" s="300">
        <f t="shared" si="301"/>
        <v>0</v>
      </c>
      <c r="AX82" s="297"/>
      <c r="AY82" s="298"/>
      <c r="AZ82" s="299"/>
      <c r="BA82" s="299"/>
      <c r="BB82" s="299"/>
      <c r="BC82" s="300">
        <f t="shared" si="302"/>
        <v>0</v>
      </c>
      <c r="BD82" s="321"/>
      <c r="BE82" s="298"/>
      <c r="BF82" s="299"/>
      <c r="BG82" s="299"/>
      <c r="BH82" s="299"/>
      <c r="BI82" s="300">
        <f t="shared" si="303"/>
        <v>0</v>
      </c>
      <c r="BJ82" s="297"/>
      <c r="BK82" s="298"/>
      <c r="BL82" s="299"/>
      <c r="BM82" s="299"/>
      <c r="BN82" s="299"/>
      <c r="BO82" s="300">
        <f t="shared" si="304"/>
        <v>0</v>
      </c>
      <c r="BP82" s="297"/>
      <c r="BQ82" s="298"/>
      <c r="BR82" s="299"/>
      <c r="BS82" s="299"/>
      <c r="BT82" s="299"/>
      <c r="BU82" s="300">
        <f t="shared" si="305"/>
        <v>0</v>
      </c>
      <c r="BV82" s="322"/>
      <c r="BW82" s="297">
        <v>0</v>
      </c>
      <c r="BX82" s="298">
        <f t="shared" ref="BX82:BX94" si="327">BW82/BW$27</f>
        <v>0</v>
      </c>
      <c r="BY82" s="299">
        <v>0</v>
      </c>
      <c r="BZ82" s="299"/>
      <c r="CA82" s="299"/>
      <c r="CB82" s="300">
        <f t="shared" si="307"/>
        <v>0</v>
      </c>
      <c r="CC82" s="297">
        <v>0</v>
      </c>
      <c r="CD82" s="298">
        <f t="shared" ref="CD82:CD94" si="328">CC82/CC$27</f>
        <v>0</v>
      </c>
      <c r="CE82" s="299">
        <v>0</v>
      </c>
      <c r="CF82" s="299"/>
      <c r="CG82" s="299"/>
      <c r="CH82" s="300">
        <f t="shared" si="309"/>
        <v>0</v>
      </c>
      <c r="CI82" s="297">
        <v>0</v>
      </c>
      <c r="CJ82" s="298">
        <f t="shared" ref="CJ82:CJ94" si="329">CI82/CI$27</f>
        <v>0</v>
      </c>
      <c r="CK82" s="299">
        <v>0</v>
      </c>
      <c r="CL82" s="299"/>
      <c r="CM82" s="299"/>
      <c r="CN82" s="300">
        <f t="shared" si="311"/>
        <v>0</v>
      </c>
      <c r="CO82" s="297">
        <v>0</v>
      </c>
      <c r="CP82" s="298">
        <f t="shared" ref="CP82:CP94" si="330">CO82/CO$27</f>
        <v>0</v>
      </c>
      <c r="CQ82" s="299">
        <v>0</v>
      </c>
      <c r="CR82" s="299"/>
      <c r="CS82" s="299"/>
      <c r="CT82" s="300">
        <f t="shared" si="314"/>
        <v>0</v>
      </c>
      <c r="CU82" s="297">
        <v>0</v>
      </c>
      <c r="CV82" s="298">
        <f t="shared" ref="CV82:CV94" si="331">CU82/CU$27</f>
        <v>0</v>
      </c>
      <c r="CW82" s="299">
        <v>0</v>
      </c>
      <c r="CX82" s="299"/>
      <c r="CY82" s="299"/>
      <c r="CZ82" s="300">
        <f t="shared" si="316"/>
        <v>0</v>
      </c>
      <c r="DA82" s="297">
        <v>0</v>
      </c>
      <c r="DB82" s="298">
        <f t="shared" ref="DB82:DB94" si="332">DA82/DA$27</f>
        <v>0</v>
      </c>
      <c r="DC82" s="299">
        <v>0</v>
      </c>
      <c r="DD82" s="299"/>
      <c r="DE82" s="299"/>
      <c r="DF82" s="300">
        <f t="shared" si="319"/>
        <v>0</v>
      </c>
      <c r="DG82" s="297">
        <v>0</v>
      </c>
      <c r="DH82" s="298">
        <f t="shared" ref="DH82:DH94" si="333">DG82/DG$27</f>
        <v>0</v>
      </c>
      <c r="DI82" s="299">
        <v>0</v>
      </c>
      <c r="DJ82" s="299"/>
      <c r="DK82" s="299"/>
      <c r="DL82" s="300">
        <f t="shared" si="321"/>
        <v>0</v>
      </c>
      <c r="DM82" s="297">
        <v>0</v>
      </c>
      <c r="DN82" s="298">
        <f t="shared" ref="DN82:DN94" si="334">DM82/DM$27</f>
        <v>0</v>
      </c>
      <c r="DO82" s="299">
        <v>0</v>
      </c>
      <c r="DP82" s="299"/>
      <c r="DQ82" s="299"/>
      <c r="DR82" s="300">
        <f t="shared" si="288"/>
        <v>0</v>
      </c>
      <c r="DS82" s="297">
        <v>0</v>
      </c>
      <c r="DT82" s="298">
        <f t="shared" ref="DT82:DT94" si="335">DS82/DS$27</f>
        <v>0</v>
      </c>
      <c r="DU82" s="299">
        <v>0</v>
      </c>
      <c r="DV82" s="299"/>
      <c r="DW82" s="299"/>
      <c r="DX82" s="300">
        <f t="shared" si="290"/>
        <v>0</v>
      </c>
      <c r="DY82" s="297">
        <v>0</v>
      </c>
      <c r="DZ82" s="298">
        <f t="shared" ref="DZ82:DZ94" si="336">DY82/DY$27</f>
        <v>0</v>
      </c>
      <c r="EA82" s="299">
        <v>0</v>
      </c>
      <c r="EB82" s="299"/>
      <c r="EC82" s="299"/>
      <c r="ED82" s="300">
        <f t="shared" si="292"/>
        <v>0</v>
      </c>
      <c r="EE82" s="297">
        <v>0</v>
      </c>
      <c r="EF82" s="298">
        <f t="shared" ref="EF82:EF94" si="337">EE82/EE$27</f>
        <v>0</v>
      </c>
      <c r="EG82" s="299">
        <v>0</v>
      </c>
      <c r="EH82" s="299"/>
      <c r="EI82" s="299"/>
      <c r="EJ82" s="300">
        <f t="shared" si="325"/>
        <v>0</v>
      </c>
      <c r="EK82" s="297"/>
      <c r="EL82" s="298"/>
      <c r="EM82" s="299"/>
      <c r="EN82" s="299"/>
      <c r="EO82" s="299"/>
      <c r="EP82" s="300" t="e">
        <f>EM82-#REF!-EO82</f>
        <v>#REF!</v>
      </c>
    </row>
    <row r="83" spans="1:146" s="301" customFormat="1" ht="15.75" hidden="1" customHeight="1" thickBot="1">
      <c r="A83" s="319"/>
      <c r="B83" s="297"/>
      <c r="C83" s="298"/>
      <c r="D83" s="299"/>
      <c r="E83" s="299"/>
      <c r="F83" s="299"/>
      <c r="G83" s="300">
        <f t="shared" si="294"/>
        <v>0</v>
      </c>
      <c r="H83" s="297"/>
      <c r="I83" s="298"/>
      <c r="J83" s="320"/>
      <c r="K83" s="299"/>
      <c r="L83" s="299"/>
      <c r="M83" s="300">
        <f t="shared" si="295"/>
        <v>0</v>
      </c>
      <c r="N83" s="297"/>
      <c r="O83" s="298"/>
      <c r="P83" s="299"/>
      <c r="Q83" s="299"/>
      <c r="R83" s="299"/>
      <c r="S83" s="300">
        <f t="shared" si="296"/>
        <v>0</v>
      </c>
      <c r="T83" s="297"/>
      <c r="U83" s="298"/>
      <c r="V83" s="299"/>
      <c r="W83" s="299"/>
      <c r="X83" s="299"/>
      <c r="Y83" s="300">
        <f t="shared" si="297"/>
        <v>0</v>
      </c>
      <c r="Z83" s="297"/>
      <c r="AA83" s="298"/>
      <c r="AB83" s="299"/>
      <c r="AC83" s="299"/>
      <c r="AD83" s="299"/>
      <c r="AE83" s="300">
        <f t="shared" si="298"/>
        <v>0</v>
      </c>
      <c r="AF83" s="297"/>
      <c r="AG83" s="298"/>
      <c r="AH83" s="299"/>
      <c r="AI83" s="299"/>
      <c r="AJ83" s="299"/>
      <c r="AK83" s="300">
        <f t="shared" si="299"/>
        <v>0</v>
      </c>
      <c r="AL83" s="321"/>
      <c r="AM83" s="298"/>
      <c r="AN83" s="299"/>
      <c r="AO83" s="299"/>
      <c r="AP83" s="299"/>
      <c r="AQ83" s="300">
        <f t="shared" si="300"/>
        <v>0</v>
      </c>
      <c r="AR83" s="297"/>
      <c r="AS83" s="298"/>
      <c r="AT83" s="299"/>
      <c r="AU83" s="299"/>
      <c r="AV83" s="299"/>
      <c r="AW83" s="300">
        <f t="shared" si="301"/>
        <v>0</v>
      </c>
      <c r="AX83" s="297"/>
      <c r="AY83" s="298"/>
      <c r="AZ83" s="299"/>
      <c r="BA83" s="299"/>
      <c r="BB83" s="299"/>
      <c r="BC83" s="300">
        <f t="shared" si="302"/>
        <v>0</v>
      </c>
      <c r="BD83" s="321"/>
      <c r="BE83" s="298"/>
      <c r="BF83" s="299"/>
      <c r="BG83" s="299"/>
      <c r="BH83" s="299"/>
      <c r="BI83" s="300">
        <f t="shared" si="303"/>
        <v>0</v>
      </c>
      <c r="BJ83" s="297"/>
      <c r="BK83" s="298"/>
      <c r="BL83" s="299"/>
      <c r="BM83" s="299"/>
      <c r="BN83" s="299"/>
      <c r="BO83" s="300">
        <f t="shared" si="304"/>
        <v>0</v>
      </c>
      <c r="BP83" s="297"/>
      <c r="BQ83" s="298"/>
      <c r="BR83" s="299"/>
      <c r="BS83" s="299"/>
      <c r="BT83" s="299"/>
      <c r="BU83" s="300">
        <f t="shared" si="305"/>
        <v>0</v>
      </c>
      <c r="BV83" s="322"/>
      <c r="BW83" s="297">
        <v>0</v>
      </c>
      <c r="BX83" s="298">
        <f t="shared" si="327"/>
        <v>0</v>
      </c>
      <c r="BY83" s="299">
        <v>0</v>
      </c>
      <c r="BZ83" s="299"/>
      <c r="CA83" s="299"/>
      <c r="CB83" s="300">
        <f t="shared" si="307"/>
        <v>0</v>
      </c>
      <c r="CC83" s="297">
        <v>0</v>
      </c>
      <c r="CD83" s="298">
        <f t="shared" si="328"/>
        <v>0</v>
      </c>
      <c r="CE83" s="299">
        <v>0</v>
      </c>
      <c r="CF83" s="299"/>
      <c r="CG83" s="299"/>
      <c r="CH83" s="300">
        <f t="shared" si="309"/>
        <v>0</v>
      </c>
      <c r="CI83" s="297">
        <v>0</v>
      </c>
      <c r="CJ83" s="298">
        <f t="shared" si="329"/>
        <v>0</v>
      </c>
      <c r="CK83" s="299">
        <v>0</v>
      </c>
      <c r="CL83" s="299"/>
      <c r="CM83" s="299"/>
      <c r="CN83" s="300">
        <f t="shared" si="311"/>
        <v>0</v>
      </c>
      <c r="CO83" s="297">
        <v>0</v>
      </c>
      <c r="CP83" s="298">
        <f t="shared" si="330"/>
        <v>0</v>
      </c>
      <c r="CQ83" s="299">
        <v>0</v>
      </c>
      <c r="CR83" s="299"/>
      <c r="CS83" s="299"/>
      <c r="CT83" s="300">
        <f t="shared" si="314"/>
        <v>0</v>
      </c>
      <c r="CU83" s="297">
        <v>0</v>
      </c>
      <c r="CV83" s="298">
        <f t="shared" si="331"/>
        <v>0</v>
      </c>
      <c r="CW83" s="299">
        <v>0</v>
      </c>
      <c r="CX83" s="299"/>
      <c r="CY83" s="299"/>
      <c r="CZ83" s="300">
        <f t="shared" si="316"/>
        <v>0</v>
      </c>
      <c r="DA83" s="297">
        <v>0</v>
      </c>
      <c r="DB83" s="298">
        <f t="shared" si="332"/>
        <v>0</v>
      </c>
      <c r="DC83" s="299">
        <v>0</v>
      </c>
      <c r="DD83" s="299"/>
      <c r="DE83" s="299"/>
      <c r="DF83" s="300">
        <f t="shared" si="319"/>
        <v>0</v>
      </c>
      <c r="DG83" s="297">
        <v>0</v>
      </c>
      <c r="DH83" s="298">
        <f t="shared" si="333"/>
        <v>0</v>
      </c>
      <c r="DI83" s="299">
        <v>0</v>
      </c>
      <c r="DJ83" s="299"/>
      <c r="DK83" s="299"/>
      <c r="DL83" s="300">
        <f t="shared" si="321"/>
        <v>0</v>
      </c>
      <c r="DM83" s="297">
        <v>0</v>
      </c>
      <c r="DN83" s="298">
        <f t="shared" si="334"/>
        <v>0</v>
      </c>
      <c r="DO83" s="299">
        <v>0</v>
      </c>
      <c r="DP83" s="299"/>
      <c r="DQ83" s="299"/>
      <c r="DR83" s="300">
        <f t="shared" si="288"/>
        <v>0</v>
      </c>
      <c r="DS83" s="297">
        <v>0</v>
      </c>
      <c r="DT83" s="298">
        <f t="shared" si="335"/>
        <v>0</v>
      </c>
      <c r="DU83" s="299">
        <v>0</v>
      </c>
      <c r="DV83" s="299"/>
      <c r="DW83" s="299"/>
      <c r="DX83" s="300">
        <f t="shared" si="290"/>
        <v>0</v>
      </c>
      <c r="DY83" s="297">
        <v>0</v>
      </c>
      <c r="DZ83" s="298">
        <f t="shared" si="336"/>
        <v>0</v>
      </c>
      <c r="EA83" s="299">
        <v>0</v>
      </c>
      <c r="EB83" s="299"/>
      <c r="EC83" s="299"/>
      <c r="ED83" s="300">
        <f t="shared" si="292"/>
        <v>0</v>
      </c>
      <c r="EE83" s="297">
        <v>0</v>
      </c>
      <c r="EF83" s="298">
        <f t="shared" si="337"/>
        <v>0</v>
      </c>
      <c r="EG83" s="299">
        <v>0</v>
      </c>
      <c r="EH83" s="299"/>
      <c r="EI83" s="299"/>
      <c r="EJ83" s="300">
        <f t="shared" si="325"/>
        <v>0</v>
      </c>
      <c r="EK83" s="297"/>
      <c r="EL83" s="298"/>
      <c r="EM83" s="299"/>
      <c r="EN83" s="299"/>
      <c r="EO83" s="299"/>
      <c r="EP83" s="300" t="e">
        <f>EM83-#REF!-EO83</f>
        <v>#REF!</v>
      </c>
    </row>
    <row r="84" spans="1:146" s="301" customFormat="1" ht="15.75" hidden="1" customHeight="1" thickBot="1">
      <c r="A84" s="319"/>
      <c r="B84" s="297"/>
      <c r="C84" s="298"/>
      <c r="D84" s="299"/>
      <c r="E84" s="299"/>
      <c r="F84" s="299"/>
      <c r="G84" s="300">
        <f t="shared" si="294"/>
        <v>0</v>
      </c>
      <c r="H84" s="297"/>
      <c r="I84" s="298"/>
      <c r="J84" s="320"/>
      <c r="K84" s="299"/>
      <c r="L84" s="299"/>
      <c r="M84" s="300">
        <f t="shared" si="295"/>
        <v>0</v>
      </c>
      <c r="N84" s="297"/>
      <c r="O84" s="298"/>
      <c r="P84" s="299"/>
      <c r="Q84" s="299"/>
      <c r="R84" s="299"/>
      <c r="S84" s="300">
        <f t="shared" si="296"/>
        <v>0</v>
      </c>
      <c r="T84" s="297"/>
      <c r="U84" s="298"/>
      <c r="V84" s="299"/>
      <c r="W84" s="299"/>
      <c r="X84" s="299"/>
      <c r="Y84" s="300">
        <f t="shared" si="297"/>
        <v>0</v>
      </c>
      <c r="Z84" s="297"/>
      <c r="AA84" s="298"/>
      <c r="AB84" s="299"/>
      <c r="AC84" s="299"/>
      <c r="AD84" s="299"/>
      <c r="AE84" s="300">
        <f t="shared" si="298"/>
        <v>0</v>
      </c>
      <c r="AF84" s="297"/>
      <c r="AG84" s="298"/>
      <c r="AH84" s="299"/>
      <c r="AI84" s="299"/>
      <c r="AJ84" s="299"/>
      <c r="AK84" s="300">
        <f t="shared" si="299"/>
        <v>0</v>
      </c>
      <c r="AL84" s="321"/>
      <c r="AM84" s="298"/>
      <c r="AN84" s="299"/>
      <c r="AO84" s="299"/>
      <c r="AP84" s="299"/>
      <c r="AQ84" s="300">
        <f t="shared" si="300"/>
        <v>0</v>
      </c>
      <c r="AR84" s="297"/>
      <c r="AS84" s="298"/>
      <c r="AT84" s="299"/>
      <c r="AU84" s="299"/>
      <c r="AV84" s="299"/>
      <c r="AW84" s="300">
        <f t="shared" si="301"/>
        <v>0</v>
      </c>
      <c r="AX84" s="297"/>
      <c r="AY84" s="298"/>
      <c r="AZ84" s="299"/>
      <c r="BA84" s="299"/>
      <c r="BB84" s="299"/>
      <c r="BC84" s="300">
        <f t="shared" si="302"/>
        <v>0</v>
      </c>
      <c r="BD84" s="321"/>
      <c r="BE84" s="298"/>
      <c r="BF84" s="299"/>
      <c r="BG84" s="299"/>
      <c r="BH84" s="299"/>
      <c r="BI84" s="300">
        <f t="shared" si="303"/>
        <v>0</v>
      </c>
      <c r="BJ84" s="297"/>
      <c r="BK84" s="298"/>
      <c r="BL84" s="299"/>
      <c r="BM84" s="299"/>
      <c r="BN84" s="299"/>
      <c r="BO84" s="300">
        <f t="shared" si="304"/>
        <v>0</v>
      </c>
      <c r="BP84" s="297"/>
      <c r="BQ84" s="298"/>
      <c r="BR84" s="299"/>
      <c r="BS84" s="299"/>
      <c r="BT84" s="299"/>
      <c r="BU84" s="300">
        <f t="shared" si="305"/>
        <v>0</v>
      </c>
      <c r="BV84" s="322"/>
      <c r="BW84" s="297">
        <v>0</v>
      </c>
      <c r="BX84" s="298">
        <f t="shared" si="327"/>
        <v>0</v>
      </c>
      <c r="BY84" s="299">
        <v>0</v>
      </c>
      <c r="BZ84" s="299"/>
      <c r="CA84" s="299"/>
      <c r="CB84" s="300">
        <f t="shared" si="307"/>
        <v>0</v>
      </c>
      <c r="CC84" s="297">
        <v>0</v>
      </c>
      <c r="CD84" s="298">
        <f t="shared" si="328"/>
        <v>0</v>
      </c>
      <c r="CE84" s="299">
        <v>0</v>
      </c>
      <c r="CF84" s="299"/>
      <c r="CG84" s="299"/>
      <c r="CH84" s="300">
        <f t="shared" si="309"/>
        <v>0</v>
      </c>
      <c r="CI84" s="297">
        <v>0</v>
      </c>
      <c r="CJ84" s="298">
        <f t="shared" si="329"/>
        <v>0</v>
      </c>
      <c r="CK84" s="299">
        <v>0</v>
      </c>
      <c r="CL84" s="299"/>
      <c r="CM84" s="299"/>
      <c r="CN84" s="300">
        <f t="shared" si="311"/>
        <v>0</v>
      </c>
      <c r="CO84" s="297">
        <v>0</v>
      </c>
      <c r="CP84" s="298">
        <f t="shared" si="330"/>
        <v>0</v>
      </c>
      <c r="CQ84" s="299">
        <v>0</v>
      </c>
      <c r="CR84" s="299"/>
      <c r="CS84" s="299"/>
      <c r="CT84" s="300">
        <f t="shared" si="314"/>
        <v>0</v>
      </c>
      <c r="CU84" s="297">
        <v>0</v>
      </c>
      <c r="CV84" s="298">
        <f t="shared" si="331"/>
        <v>0</v>
      </c>
      <c r="CW84" s="299">
        <v>0</v>
      </c>
      <c r="CX84" s="299"/>
      <c r="CY84" s="299"/>
      <c r="CZ84" s="300">
        <f t="shared" si="316"/>
        <v>0</v>
      </c>
      <c r="DA84" s="297">
        <v>0</v>
      </c>
      <c r="DB84" s="298">
        <f t="shared" si="332"/>
        <v>0</v>
      </c>
      <c r="DC84" s="299">
        <v>0</v>
      </c>
      <c r="DD84" s="299"/>
      <c r="DE84" s="299"/>
      <c r="DF84" s="300">
        <f t="shared" si="319"/>
        <v>0</v>
      </c>
      <c r="DG84" s="297">
        <v>0</v>
      </c>
      <c r="DH84" s="298">
        <f t="shared" si="333"/>
        <v>0</v>
      </c>
      <c r="DI84" s="299">
        <v>0</v>
      </c>
      <c r="DJ84" s="299"/>
      <c r="DK84" s="299"/>
      <c r="DL84" s="300">
        <f t="shared" si="321"/>
        <v>0</v>
      </c>
      <c r="DM84" s="297">
        <v>0</v>
      </c>
      <c r="DN84" s="298">
        <f t="shared" si="334"/>
        <v>0</v>
      </c>
      <c r="DO84" s="299">
        <v>0</v>
      </c>
      <c r="DP84" s="299"/>
      <c r="DQ84" s="299"/>
      <c r="DR84" s="300">
        <f t="shared" si="288"/>
        <v>0</v>
      </c>
      <c r="DS84" s="297">
        <v>0</v>
      </c>
      <c r="DT84" s="298">
        <f t="shared" si="335"/>
        <v>0</v>
      </c>
      <c r="DU84" s="299">
        <v>0</v>
      </c>
      <c r="DV84" s="299"/>
      <c r="DW84" s="299"/>
      <c r="DX84" s="300">
        <f t="shared" si="290"/>
        <v>0</v>
      </c>
      <c r="DY84" s="297">
        <v>0</v>
      </c>
      <c r="DZ84" s="298">
        <f t="shared" si="336"/>
        <v>0</v>
      </c>
      <c r="EA84" s="299">
        <v>0</v>
      </c>
      <c r="EB84" s="299"/>
      <c r="EC84" s="299"/>
      <c r="ED84" s="300">
        <f t="shared" si="292"/>
        <v>0</v>
      </c>
      <c r="EE84" s="297">
        <v>0</v>
      </c>
      <c r="EF84" s="298">
        <f t="shared" si="337"/>
        <v>0</v>
      </c>
      <c r="EG84" s="299">
        <v>0</v>
      </c>
      <c r="EH84" s="299"/>
      <c r="EI84" s="299"/>
      <c r="EJ84" s="300">
        <f t="shared" si="325"/>
        <v>0</v>
      </c>
      <c r="EK84" s="297"/>
      <c r="EL84" s="298"/>
      <c r="EM84" s="299"/>
      <c r="EN84" s="299"/>
      <c r="EO84" s="299"/>
      <c r="EP84" s="300" t="e">
        <f>EM84-#REF!-EO84</f>
        <v>#REF!</v>
      </c>
    </row>
    <row r="85" spans="1:146" s="301" customFormat="1" ht="15.75" hidden="1" customHeight="1" thickBot="1">
      <c r="A85" s="319"/>
      <c r="B85" s="297"/>
      <c r="C85" s="298"/>
      <c r="D85" s="299"/>
      <c r="E85" s="299"/>
      <c r="F85" s="299"/>
      <c r="G85" s="300">
        <f t="shared" si="294"/>
        <v>0</v>
      </c>
      <c r="H85" s="297"/>
      <c r="I85" s="298"/>
      <c r="J85" s="320"/>
      <c r="K85" s="299"/>
      <c r="L85" s="299"/>
      <c r="M85" s="300">
        <f t="shared" si="295"/>
        <v>0</v>
      </c>
      <c r="N85" s="297"/>
      <c r="O85" s="298"/>
      <c r="P85" s="299"/>
      <c r="Q85" s="299"/>
      <c r="R85" s="299"/>
      <c r="S85" s="300">
        <f t="shared" si="296"/>
        <v>0</v>
      </c>
      <c r="T85" s="297"/>
      <c r="U85" s="298"/>
      <c r="V85" s="299"/>
      <c r="W85" s="299"/>
      <c r="X85" s="299"/>
      <c r="Y85" s="300">
        <f t="shared" si="297"/>
        <v>0</v>
      </c>
      <c r="Z85" s="297"/>
      <c r="AA85" s="298"/>
      <c r="AB85" s="299"/>
      <c r="AC85" s="299"/>
      <c r="AD85" s="299"/>
      <c r="AE85" s="300">
        <f t="shared" si="298"/>
        <v>0</v>
      </c>
      <c r="AF85" s="297"/>
      <c r="AG85" s="298"/>
      <c r="AH85" s="299"/>
      <c r="AI85" s="299"/>
      <c r="AJ85" s="299"/>
      <c r="AK85" s="300">
        <f t="shared" si="299"/>
        <v>0</v>
      </c>
      <c r="AL85" s="321"/>
      <c r="AM85" s="298"/>
      <c r="AN85" s="299"/>
      <c r="AO85" s="299"/>
      <c r="AP85" s="299"/>
      <c r="AQ85" s="300">
        <f t="shared" si="300"/>
        <v>0</v>
      </c>
      <c r="AR85" s="297"/>
      <c r="AS85" s="298"/>
      <c r="AT85" s="299"/>
      <c r="AU85" s="299"/>
      <c r="AV85" s="299"/>
      <c r="AW85" s="300">
        <f t="shared" si="301"/>
        <v>0</v>
      </c>
      <c r="AX85" s="297"/>
      <c r="AY85" s="298"/>
      <c r="AZ85" s="299"/>
      <c r="BA85" s="299"/>
      <c r="BB85" s="299"/>
      <c r="BC85" s="300">
        <f t="shared" si="302"/>
        <v>0</v>
      </c>
      <c r="BD85" s="321"/>
      <c r="BE85" s="298"/>
      <c r="BF85" s="299"/>
      <c r="BG85" s="299"/>
      <c r="BH85" s="299"/>
      <c r="BI85" s="300">
        <f t="shared" si="303"/>
        <v>0</v>
      </c>
      <c r="BJ85" s="297"/>
      <c r="BK85" s="298"/>
      <c r="BL85" s="299"/>
      <c r="BM85" s="299"/>
      <c r="BN85" s="299"/>
      <c r="BO85" s="300">
        <f t="shared" si="304"/>
        <v>0</v>
      </c>
      <c r="BP85" s="297"/>
      <c r="BQ85" s="298"/>
      <c r="BR85" s="299"/>
      <c r="BS85" s="299"/>
      <c r="BT85" s="299"/>
      <c r="BU85" s="300">
        <f t="shared" si="305"/>
        <v>0</v>
      </c>
      <c r="BV85" s="322"/>
      <c r="BW85" s="297">
        <v>0</v>
      </c>
      <c r="BX85" s="298">
        <f t="shared" si="327"/>
        <v>0</v>
      </c>
      <c r="BY85" s="299">
        <v>0</v>
      </c>
      <c r="BZ85" s="299"/>
      <c r="CA85" s="299"/>
      <c r="CB85" s="300">
        <f t="shared" si="307"/>
        <v>0</v>
      </c>
      <c r="CC85" s="297">
        <v>0</v>
      </c>
      <c r="CD85" s="298">
        <f t="shared" si="328"/>
        <v>0</v>
      </c>
      <c r="CE85" s="299">
        <v>0</v>
      </c>
      <c r="CF85" s="299"/>
      <c r="CG85" s="299"/>
      <c r="CH85" s="300">
        <f t="shared" si="309"/>
        <v>0</v>
      </c>
      <c r="CI85" s="297">
        <v>0</v>
      </c>
      <c r="CJ85" s="298">
        <f t="shared" si="329"/>
        <v>0</v>
      </c>
      <c r="CK85" s="299">
        <v>0</v>
      </c>
      <c r="CL85" s="299"/>
      <c r="CM85" s="299"/>
      <c r="CN85" s="300">
        <f t="shared" si="311"/>
        <v>0</v>
      </c>
      <c r="CO85" s="297">
        <v>0</v>
      </c>
      <c r="CP85" s="298">
        <f t="shared" si="330"/>
        <v>0</v>
      </c>
      <c r="CQ85" s="299">
        <v>0</v>
      </c>
      <c r="CR85" s="299"/>
      <c r="CS85" s="299"/>
      <c r="CT85" s="300">
        <f t="shared" si="314"/>
        <v>0</v>
      </c>
      <c r="CU85" s="297">
        <v>0</v>
      </c>
      <c r="CV85" s="298">
        <f t="shared" si="331"/>
        <v>0</v>
      </c>
      <c r="CW85" s="299">
        <v>0</v>
      </c>
      <c r="CX85" s="299"/>
      <c r="CY85" s="299"/>
      <c r="CZ85" s="300">
        <f t="shared" si="316"/>
        <v>0</v>
      </c>
      <c r="DA85" s="297">
        <v>0</v>
      </c>
      <c r="DB85" s="298">
        <f t="shared" si="332"/>
        <v>0</v>
      </c>
      <c r="DC85" s="299">
        <v>0</v>
      </c>
      <c r="DD85" s="299"/>
      <c r="DE85" s="299"/>
      <c r="DF85" s="300">
        <f t="shared" si="319"/>
        <v>0</v>
      </c>
      <c r="DG85" s="297">
        <v>0</v>
      </c>
      <c r="DH85" s="298">
        <f t="shared" si="333"/>
        <v>0</v>
      </c>
      <c r="DI85" s="299">
        <v>0</v>
      </c>
      <c r="DJ85" s="299"/>
      <c r="DK85" s="299"/>
      <c r="DL85" s="300">
        <f t="shared" si="321"/>
        <v>0</v>
      </c>
      <c r="DM85" s="297">
        <v>0</v>
      </c>
      <c r="DN85" s="298">
        <f t="shared" si="334"/>
        <v>0</v>
      </c>
      <c r="DO85" s="299">
        <v>0</v>
      </c>
      <c r="DP85" s="299"/>
      <c r="DQ85" s="299"/>
      <c r="DR85" s="300">
        <f t="shared" si="288"/>
        <v>0</v>
      </c>
      <c r="DS85" s="297">
        <v>0</v>
      </c>
      <c r="DT85" s="298">
        <f t="shared" si="335"/>
        <v>0</v>
      </c>
      <c r="DU85" s="299">
        <v>0</v>
      </c>
      <c r="DV85" s="299"/>
      <c r="DW85" s="299"/>
      <c r="DX85" s="300">
        <f t="shared" si="290"/>
        <v>0</v>
      </c>
      <c r="DY85" s="297">
        <v>0</v>
      </c>
      <c r="DZ85" s="298">
        <f t="shared" si="336"/>
        <v>0</v>
      </c>
      <c r="EA85" s="299">
        <v>0</v>
      </c>
      <c r="EB85" s="299"/>
      <c r="EC85" s="299"/>
      <c r="ED85" s="300">
        <f t="shared" si="292"/>
        <v>0</v>
      </c>
      <c r="EE85" s="297">
        <v>0</v>
      </c>
      <c r="EF85" s="298">
        <f t="shared" si="337"/>
        <v>0</v>
      </c>
      <c r="EG85" s="299">
        <v>0</v>
      </c>
      <c r="EH85" s="299"/>
      <c r="EI85" s="299"/>
      <c r="EJ85" s="300">
        <f t="shared" si="325"/>
        <v>0</v>
      </c>
      <c r="EK85" s="297"/>
      <c r="EL85" s="298"/>
      <c r="EM85" s="299"/>
      <c r="EN85" s="299"/>
      <c r="EO85" s="299"/>
      <c r="EP85" s="300" t="e">
        <f>EM85-#REF!-EO85</f>
        <v>#REF!</v>
      </c>
    </row>
    <row r="86" spans="1:146" s="301" customFormat="1" ht="15.75" hidden="1" customHeight="1" thickBot="1">
      <c r="A86" s="319"/>
      <c r="B86" s="297"/>
      <c r="C86" s="298"/>
      <c r="D86" s="299"/>
      <c r="E86" s="299"/>
      <c r="F86" s="299"/>
      <c r="G86" s="300">
        <f t="shared" si="294"/>
        <v>0</v>
      </c>
      <c r="H86" s="297"/>
      <c r="I86" s="298"/>
      <c r="J86" s="320"/>
      <c r="K86" s="299"/>
      <c r="L86" s="299"/>
      <c r="M86" s="300">
        <f t="shared" si="295"/>
        <v>0</v>
      </c>
      <c r="N86" s="297"/>
      <c r="O86" s="298"/>
      <c r="P86" s="299"/>
      <c r="Q86" s="299"/>
      <c r="R86" s="299"/>
      <c r="S86" s="300">
        <f t="shared" si="296"/>
        <v>0</v>
      </c>
      <c r="T86" s="297"/>
      <c r="U86" s="298"/>
      <c r="V86" s="299"/>
      <c r="W86" s="299"/>
      <c r="X86" s="299"/>
      <c r="Y86" s="300">
        <f t="shared" si="297"/>
        <v>0</v>
      </c>
      <c r="Z86" s="297"/>
      <c r="AA86" s="298"/>
      <c r="AB86" s="299"/>
      <c r="AC86" s="299"/>
      <c r="AD86" s="299"/>
      <c r="AE86" s="300">
        <f t="shared" si="298"/>
        <v>0</v>
      </c>
      <c r="AF86" s="297"/>
      <c r="AG86" s="298"/>
      <c r="AH86" s="299"/>
      <c r="AI86" s="299"/>
      <c r="AJ86" s="299"/>
      <c r="AK86" s="300">
        <f t="shared" si="299"/>
        <v>0</v>
      </c>
      <c r="AL86" s="321"/>
      <c r="AM86" s="298"/>
      <c r="AN86" s="299"/>
      <c r="AO86" s="299"/>
      <c r="AP86" s="299"/>
      <c r="AQ86" s="300">
        <f t="shared" si="300"/>
        <v>0</v>
      </c>
      <c r="AR86" s="297"/>
      <c r="AS86" s="298"/>
      <c r="AT86" s="299"/>
      <c r="AU86" s="299"/>
      <c r="AV86" s="299"/>
      <c r="AW86" s="300">
        <f t="shared" si="301"/>
        <v>0</v>
      </c>
      <c r="AX86" s="297"/>
      <c r="AY86" s="298"/>
      <c r="AZ86" s="299"/>
      <c r="BA86" s="299"/>
      <c r="BB86" s="299"/>
      <c r="BC86" s="300">
        <f t="shared" si="302"/>
        <v>0</v>
      </c>
      <c r="BD86" s="321"/>
      <c r="BE86" s="298"/>
      <c r="BF86" s="299"/>
      <c r="BG86" s="299"/>
      <c r="BH86" s="299"/>
      <c r="BI86" s="300">
        <f t="shared" si="303"/>
        <v>0</v>
      </c>
      <c r="BJ86" s="297"/>
      <c r="BK86" s="298"/>
      <c r="BL86" s="299"/>
      <c r="BM86" s="299"/>
      <c r="BN86" s="299"/>
      <c r="BO86" s="300">
        <f t="shared" si="304"/>
        <v>0</v>
      </c>
      <c r="BP86" s="297"/>
      <c r="BQ86" s="298"/>
      <c r="BR86" s="299"/>
      <c r="BS86" s="299"/>
      <c r="BT86" s="299"/>
      <c r="BU86" s="300">
        <f t="shared" si="305"/>
        <v>0</v>
      </c>
      <c r="BV86" s="322"/>
      <c r="BW86" s="297">
        <v>0</v>
      </c>
      <c r="BX86" s="298">
        <f t="shared" si="327"/>
        <v>0</v>
      </c>
      <c r="BY86" s="299">
        <v>0</v>
      </c>
      <c r="BZ86" s="299"/>
      <c r="CA86" s="299"/>
      <c r="CB86" s="300">
        <f t="shared" si="307"/>
        <v>0</v>
      </c>
      <c r="CC86" s="297">
        <v>0</v>
      </c>
      <c r="CD86" s="298">
        <f t="shared" si="328"/>
        <v>0</v>
      </c>
      <c r="CE86" s="299">
        <v>0</v>
      </c>
      <c r="CF86" s="299"/>
      <c r="CG86" s="299"/>
      <c r="CH86" s="300">
        <f t="shared" si="309"/>
        <v>0</v>
      </c>
      <c r="CI86" s="297">
        <v>0</v>
      </c>
      <c r="CJ86" s="298">
        <f t="shared" si="329"/>
        <v>0</v>
      </c>
      <c r="CK86" s="299">
        <v>0</v>
      </c>
      <c r="CL86" s="299"/>
      <c r="CM86" s="299"/>
      <c r="CN86" s="300">
        <f t="shared" si="311"/>
        <v>0</v>
      </c>
      <c r="CO86" s="297">
        <v>0</v>
      </c>
      <c r="CP86" s="298">
        <f t="shared" si="330"/>
        <v>0</v>
      </c>
      <c r="CQ86" s="299">
        <v>0</v>
      </c>
      <c r="CR86" s="299"/>
      <c r="CS86" s="299"/>
      <c r="CT86" s="300">
        <f t="shared" si="314"/>
        <v>0</v>
      </c>
      <c r="CU86" s="297">
        <v>0</v>
      </c>
      <c r="CV86" s="298">
        <f t="shared" si="331"/>
        <v>0</v>
      </c>
      <c r="CW86" s="299">
        <v>0</v>
      </c>
      <c r="CX86" s="299"/>
      <c r="CY86" s="299"/>
      <c r="CZ86" s="300">
        <f t="shared" si="316"/>
        <v>0</v>
      </c>
      <c r="DA86" s="297">
        <v>0</v>
      </c>
      <c r="DB86" s="298">
        <f t="shared" si="332"/>
        <v>0</v>
      </c>
      <c r="DC86" s="299">
        <v>0</v>
      </c>
      <c r="DD86" s="299"/>
      <c r="DE86" s="299"/>
      <c r="DF86" s="300">
        <f t="shared" si="319"/>
        <v>0</v>
      </c>
      <c r="DG86" s="297">
        <v>0</v>
      </c>
      <c r="DH86" s="298">
        <f t="shared" si="333"/>
        <v>0</v>
      </c>
      <c r="DI86" s="299">
        <v>0</v>
      </c>
      <c r="DJ86" s="299"/>
      <c r="DK86" s="299"/>
      <c r="DL86" s="300">
        <f t="shared" si="321"/>
        <v>0</v>
      </c>
      <c r="DM86" s="297">
        <v>0</v>
      </c>
      <c r="DN86" s="298">
        <f t="shared" si="334"/>
        <v>0</v>
      </c>
      <c r="DO86" s="299">
        <v>0</v>
      </c>
      <c r="DP86" s="299"/>
      <c r="DQ86" s="299"/>
      <c r="DR86" s="300">
        <f t="shared" si="288"/>
        <v>0</v>
      </c>
      <c r="DS86" s="297">
        <v>0</v>
      </c>
      <c r="DT86" s="298">
        <f t="shared" si="335"/>
        <v>0</v>
      </c>
      <c r="DU86" s="299">
        <v>0</v>
      </c>
      <c r="DV86" s="299"/>
      <c r="DW86" s="299"/>
      <c r="DX86" s="300">
        <f t="shared" si="290"/>
        <v>0</v>
      </c>
      <c r="DY86" s="297">
        <v>0</v>
      </c>
      <c r="DZ86" s="298">
        <f t="shared" si="336"/>
        <v>0</v>
      </c>
      <c r="EA86" s="299">
        <v>0</v>
      </c>
      <c r="EB86" s="299"/>
      <c r="EC86" s="299"/>
      <c r="ED86" s="300">
        <f t="shared" si="292"/>
        <v>0</v>
      </c>
      <c r="EE86" s="297">
        <v>0</v>
      </c>
      <c r="EF86" s="298">
        <f t="shared" si="337"/>
        <v>0</v>
      </c>
      <c r="EG86" s="299">
        <v>0</v>
      </c>
      <c r="EH86" s="299"/>
      <c r="EI86" s="299"/>
      <c r="EJ86" s="300">
        <f t="shared" si="325"/>
        <v>0</v>
      </c>
      <c r="EK86" s="297"/>
      <c r="EL86" s="298"/>
      <c r="EM86" s="299"/>
      <c r="EN86" s="299"/>
      <c r="EO86" s="299"/>
      <c r="EP86" s="300" t="e">
        <f>EM86-#REF!-EO86</f>
        <v>#REF!</v>
      </c>
    </row>
    <row r="87" spans="1:146" s="301" customFormat="1" ht="15.75" hidden="1" customHeight="1" thickBot="1">
      <c r="A87" s="319"/>
      <c r="B87" s="297"/>
      <c r="C87" s="298"/>
      <c r="D87" s="299"/>
      <c r="E87" s="299"/>
      <c r="F87" s="299"/>
      <c r="G87" s="300">
        <f t="shared" si="294"/>
        <v>0</v>
      </c>
      <c r="H87" s="297"/>
      <c r="I87" s="298"/>
      <c r="J87" s="320"/>
      <c r="K87" s="299"/>
      <c r="L87" s="299"/>
      <c r="M87" s="300">
        <f t="shared" si="295"/>
        <v>0</v>
      </c>
      <c r="N87" s="297"/>
      <c r="O87" s="298"/>
      <c r="P87" s="299"/>
      <c r="Q87" s="299"/>
      <c r="R87" s="299"/>
      <c r="S87" s="300">
        <f t="shared" si="296"/>
        <v>0</v>
      </c>
      <c r="T87" s="297"/>
      <c r="U87" s="298"/>
      <c r="V87" s="299"/>
      <c r="W87" s="299"/>
      <c r="X87" s="299"/>
      <c r="Y87" s="300">
        <f t="shared" si="297"/>
        <v>0</v>
      </c>
      <c r="Z87" s="297"/>
      <c r="AA87" s="298"/>
      <c r="AB87" s="299"/>
      <c r="AC87" s="299"/>
      <c r="AD87" s="299"/>
      <c r="AE87" s="300">
        <f t="shared" si="298"/>
        <v>0</v>
      </c>
      <c r="AF87" s="297"/>
      <c r="AG87" s="298"/>
      <c r="AH87" s="299"/>
      <c r="AI87" s="299"/>
      <c r="AJ87" s="299"/>
      <c r="AK87" s="300">
        <f t="shared" si="299"/>
        <v>0</v>
      </c>
      <c r="AL87" s="321"/>
      <c r="AM87" s="298"/>
      <c r="AN87" s="299"/>
      <c r="AO87" s="299"/>
      <c r="AP87" s="299"/>
      <c r="AQ87" s="300">
        <f t="shared" si="300"/>
        <v>0</v>
      </c>
      <c r="AR87" s="297"/>
      <c r="AS87" s="298"/>
      <c r="AT87" s="299"/>
      <c r="AU87" s="299"/>
      <c r="AV87" s="299"/>
      <c r="AW87" s="300">
        <f t="shared" si="301"/>
        <v>0</v>
      </c>
      <c r="AX87" s="297"/>
      <c r="AY87" s="298"/>
      <c r="AZ87" s="299"/>
      <c r="BA87" s="299"/>
      <c r="BB87" s="299"/>
      <c r="BC87" s="300">
        <f t="shared" si="302"/>
        <v>0</v>
      </c>
      <c r="BD87" s="321"/>
      <c r="BE87" s="298"/>
      <c r="BF87" s="299"/>
      <c r="BG87" s="299"/>
      <c r="BH87" s="299"/>
      <c r="BI87" s="300">
        <f t="shared" si="303"/>
        <v>0</v>
      </c>
      <c r="BJ87" s="297"/>
      <c r="BK87" s="298"/>
      <c r="BL87" s="299"/>
      <c r="BM87" s="299"/>
      <c r="BN87" s="299"/>
      <c r="BO87" s="300">
        <f t="shared" si="304"/>
        <v>0</v>
      </c>
      <c r="BP87" s="297"/>
      <c r="BQ87" s="298"/>
      <c r="BR87" s="299"/>
      <c r="BS87" s="299"/>
      <c r="BT87" s="299"/>
      <c r="BU87" s="300">
        <f t="shared" si="305"/>
        <v>0</v>
      </c>
      <c r="BV87" s="322"/>
      <c r="BW87" s="297">
        <v>0</v>
      </c>
      <c r="BX87" s="298">
        <f t="shared" si="327"/>
        <v>0</v>
      </c>
      <c r="BY87" s="299">
        <v>0</v>
      </c>
      <c r="BZ87" s="299"/>
      <c r="CA87" s="299"/>
      <c r="CB87" s="300">
        <f t="shared" si="307"/>
        <v>0</v>
      </c>
      <c r="CC87" s="297">
        <v>0</v>
      </c>
      <c r="CD87" s="298">
        <f t="shared" si="328"/>
        <v>0</v>
      </c>
      <c r="CE87" s="299">
        <v>0</v>
      </c>
      <c r="CF87" s="299"/>
      <c r="CG87" s="299"/>
      <c r="CH87" s="300">
        <f t="shared" si="309"/>
        <v>0</v>
      </c>
      <c r="CI87" s="297">
        <v>0</v>
      </c>
      <c r="CJ87" s="298">
        <f t="shared" si="329"/>
        <v>0</v>
      </c>
      <c r="CK87" s="299">
        <v>0</v>
      </c>
      <c r="CL87" s="299"/>
      <c r="CM87" s="299"/>
      <c r="CN87" s="300">
        <f t="shared" si="311"/>
        <v>0</v>
      </c>
      <c r="CO87" s="297">
        <v>0</v>
      </c>
      <c r="CP87" s="298">
        <f t="shared" si="330"/>
        <v>0</v>
      </c>
      <c r="CQ87" s="299">
        <v>0</v>
      </c>
      <c r="CR87" s="299"/>
      <c r="CS87" s="299"/>
      <c r="CT87" s="300">
        <f t="shared" si="314"/>
        <v>0</v>
      </c>
      <c r="CU87" s="297">
        <v>0</v>
      </c>
      <c r="CV87" s="298">
        <f t="shared" si="331"/>
        <v>0</v>
      </c>
      <c r="CW87" s="299">
        <v>0</v>
      </c>
      <c r="CX87" s="299"/>
      <c r="CY87" s="299"/>
      <c r="CZ87" s="300">
        <f t="shared" si="316"/>
        <v>0</v>
      </c>
      <c r="DA87" s="297">
        <v>0</v>
      </c>
      <c r="DB87" s="298">
        <f t="shared" si="332"/>
        <v>0</v>
      </c>
      <c r="DC87" s="299">
        <v>0</v>
      </c>
      <c r="DD87" s="299"/>
      <c r="DE87" s="299"/>
      <c r="DF87" s="300">
        <f t="shared" si="319"/>
        <v>0</v>
      </c>
      <c r="DG87" s="297">
        <v>0</v>
      </c>
      <c r="DH87" s="298">
        <f t="shared" si="333"/>
        <v>0</v>
      </c>
      <c r="DI87" s="299">
        <v>0</v>
      </c>
      <c r="DJ87" s="299"/>
      <c r="DK87" s="299"/>
      <c r="DL87" s="300">
        <f t="shared" si="321"/>
        <v>0</v>
      </c>
      <c r="DM87" s="297">
        <v>0</v>
      </c>
      <c r="DN87" s="298">
        <f t="shared" si="334"/>
        <v>0</v>
      </c>
      <c r="DO87" s="299">
        <v>0</v>
      </c>
      <c r="DP87" s="299"/>
      <c r="DQ87" s="299"/>
      <c r="DR87" s="300">
        <f t="shared" si="288"/>
        <v>0</v>
      </c>
      <c r="DS87" s="297">
        <v>0</v>
      </c>
      <c r="DT87" s="298">
        <f t="shared" si="335"/>
        <v>0</v>
      </c>
      <c r="DU87" s="299">
        <v>0</v>
      </c>
      <c r="DV87" s="299"/>
      <c r="DW87" s="299"/>
      <c r="DX87" s="300">
        <f t="shared" si="290"/>
        <v>0</v>
      </c>
      <c r="DY87" s="297">
        <v>0</v>
      </c>
      <c r="DZ87" s="298">
        <f t="shared" si="336"/>
        <v>0</v>
      </c>
      <c r="EA87" s="299">
        <v>0</v>
      </c>
      <c r="EB87" s="299"/>
      <c r="EC87" s="299"/>
      <c r="ED87" s="300">
        <f t="shared" si="292"/>
        <v>0</v>
      </c>
      <c r="EE87" s="297">
        <v>0</v>
      </c>
      <c r="EF87" s="298">
        <f t="shared" si="337"/>
        <v>0</v>
      </c>
      <c r="EG87" s="299">
        <v>0</v>
      </c>
      <c r="EH87" s="299"/>
      <c r="EI87" s="299"/>
      <c r="EJ87" s="300">
        <f t="shared" si="325"/>
        <v>0</v>
      </c>
      <c r="EK87" s="297"/>
      <c r="EL87" s="298"/>
      <c r="EM87" s="299"/>
      <c r="EN87" s="299"/>
      <c r="EO87" s="299"/>
      <c r="EP87" s="300" t="e">
        <f>EM87-#REF!-EO87</f>
        <v>#REF!</v>
      </c>
    </row>
    <row r="88" spans="1:146" s="301" customFormat="1" ht="15.75" hidden="1" customHeight="1" thickBot="1">
      <c r="A88" s="319"/>
      <c r="B88" s="297"/>
      <c r="C88" s="298"/>
      <c r="D88" s="299"/>
      <c r="E88" s="299"/>
      <c r="F88" s="299"/>
      <c r="G88" s="300">
        <f t="shared" si="294"/>
        <v>0</v>
      </c>
      <c r="H88" s="297"/>
      <c r="I88" s="298"/>
      <c r="J88" s="320"/>
      <c r="K88" s="299"/>
      <c r="L88" s="299"/>
      <c r="M88" s="300">
        <f t="shared" si="295"/>
        <v>0</v>
      </c>
      <c r="N88" s="297"/>
      <c r="O88" s="298"/>
      <c r="P88" s="299"/>
      <c r="Q88" s="299"/>
      <c r="R88" s="299"/>
      <c r="S88" s="300">
        <f t="shared" si="296"/>
        <v>0</v>
      </c>
      <c r="T88" s="297"/>
      <c r="U88" s="298"/>
      <c r="V88" s="299"/>
      <c r="W88" s="299"/>
      <c r="X88" s="299"/>
      <c r="Y88" s="300">
        <f t="shared" si="297"/>
        <v>0</v>
      </c>
      <c r="Z88" s="297"/>
      <c r="AA88" s="298"/>
      <c r="AB88" s="299"/>
      <c r="AC88" s="299"/>
      <c r="AD88" s="299"/>
      <c r="AE88" s="300">
        <f t="shared" si="298"/>
        <v>0</v>
      </c>
      <c r="AF88" s="297"/>
      <c r="AG88" s="298"/>
      <c r="AH88" s="299"/>
      <c r="AI88" s="299"/>
      <c r="AJ88" s="299"/>
      <c r="AK88" s="300">
        <f t="shared" si="299"/>
        <v>0</v>
      </c>
      <c r="AL88" s="321"/>
      <c r="AM88" s="298"/>
      <c r="AN88" s="299"/>
      <c r="AO88" s="299"/>
      <c r="AP88" s="299"/>
      <c r="AQ88" s="300">
        <f t="shared" si="300"/>
        <v>0</v>
      </c>
      <c r="AR88" s="297"/>
      <c r="AS88" s="298"/>
      <c r="AT88" s="299"/>
      <c r="AU88" s="299"/>
      <c r="AV88" s="299"/>
      <c r="AW88" s="300">
        <f t="shared" si="301"/>
        <v>0</v>
      </c>
      <c r="AX88" s="297"/>
      <c r="AY88" s="298"/>
      <c r="AZ88" s="299"/>
      <c r="BA88" s="299"/>
      <c r="BB88" s="299"/>
      <c r="BC88" s="300">
        <f t="shared" si="302"/>
        <v>0</v>
      </c>
      <c r="BD88" s="321"/>
      <c r="BE88" s="298"/>
      <c r="BF88" s="299"/>
      <c r="BG88" s="299"/>
      <c r="BH88" s="299"/>
      <c r="BI88" s="300">
        <f t="shared" si="303"/>
        <v>0</v>
      </c>
      <c r="BJ88" s="297"/>
      <c r="BK88" s="298"/>
      <c r="BL88" s="299"/>
      <c r="BM88" s="299"/>
      <c r="BN88" s="299"/>
      <c r="BO88" s="300">
        <f t="shared" si="304"/>
        <v>0</v>
      </c>
      <c r="BP88" s="297"/>
      <c r="BQ88" s="298"/>
      <c r="BR88" s="299"/>
      <c r="BS88" s="299"/>
      <c r="BT88" s="299"/>
      <c r="BU88" s="300">
        <f t="shared" si="305"/>
        <v>0</v>
      </c>
      <c r="BV88" s="322"/>
      <c r="BW88" s="297">
        <v>0</v>
      </c>
      <c r="BX88" s="298">
        <f t="shared" si="327"/>
        <v>0</v>
      </c>
      <c r="BY88" s="299">
        <v>0</v>
      </c>
      <c r="BZ88" s="299"/>
      <c r="CA88" s="299"/>
      <c r="CB88" s="300">
        <f t="shared" si="307"/>
        <v>0</v>
      </c>
      <c r="CC88" s="297">
        <v>0</v>
      </c>
      <c r="CD88" s="298">
        <f t="shared" si="328"/>
        <v>0</v>
      </c>
      <c r="CE88" s="299">
        <v>0</v>
      </c>
      <c r="CF88" s="299"/>
      <c r="CG88" s="299"/>
      <c r="CH88" s="300">
        <f t="shared" si="309"/>
        <v>0</v>
      </c>
      <c r="CI88" s="297">
        <v>0</v>
      </c>
      <c r="CJ88" s="298">
        <f t="shared" si="329"/>
        <v>0</v>
      </c>
      <c r="CK88" s="299">
        <v>0</v>
      </c>
      <c r="CL88" s="299"/>
      <c r="CM88" s="299"/>
      <c r="CN88" s="300">
        <f t="shared" si="311"/>
        <v>0</v>
      </c>
      <c r="CO88" s="297">
        <v>0</v>
      </c>
      <c r="CP88" s="298">
        <f t="shared" si="330"/>
        <v>0</v>
      </c>
      <c r="CQ88" s="299">
        <v>0</v>
      </c>
      <c r="CR88" s="299"/>
      <c r="CS88" s="299"/>
      <c r="CT88" s="300">
        <f t="shared" si="314"/>
        <v>0</v>
      </c>
      <c r="CU88" s="297">
        <v>0</v>
      </c>
      <c r="CV88" s="298">
        <f t="shared" si="331"/>
        <v>0</v>
      </c>
      <c r="CW88" s="299">
        <v>0</v>
      </c>
      <c r="CX88" s="299"/>
      <c r="CY88" s="299"/>
      <c r="CZ88" s="300">
        <f t="shared" si="316"/>
        <v>0</v>
      </c>
      <c r="DA88" s="297">
        <v>0</v>
      </c>
      <c r="DB88" s="298">
        <f t="shared" si="332"/>
        <v>0</v>
      </c>
      <c r="DC88" s="299">
        <v>0</v>
      </c>
      <c r="DD88" s="299"/>
      <c r="DE88" s="299"/>
      <c r="DF88" s="300">
        <f t="shared" si="319"/>
        <v>0</v>
      </c>
      <c r="DG88" s="297">
        <v>0</v>
      </c>
      <c r="DH88" s="298">
        <f t="shared" si="333"/>
        <v>0</v>
      </c>
      <c r="DI88" s="299">
        <v>0</v>
      </c>
      <c r="DJ88" s="299"/>
      <c r="DK88" s="299"/>
      <c r="DL88" s="300">
        <f t="shared" si="321"/>
        <v>0</v>
      </c>
      <c r="DM88" s="297">
        <v>0</v>
      </c>
      <c r="DN88" s="298">
        <f t="shared" si="334"/>
        <v>0</v>
      </c>
      <c r="DO88" s="299">
        <v>0</v>
      </c>
      <c r="DP88" s="299"/>
      <c r="DQ88" s="299"/>
      <c r="DR88" s="300">
        <f t="shared" si="288"/>
        <v>0</v>
      </c>
      <c r="DS88" s="297">
        <v>0</v>
      </c>
      <c r="DT88" s="298">
        <f t="shared" si="335"/>
        <v>0</v>
      </c>
      <c r="DU88" s="299">
        <v>0</v>
      </c>
      <c r="DV88" s="299"/>
      <c r="DW88" s="299"/>
      <c r="DX88" s="300">
        <f t="shared" si="290"/>
        <v>0</v>
      </c>
      <c r="DY88" s="297">
        <v>0</v>
      </c>
      <c r="DZ88" s="298">
        <f t="shared" si="336"/>
        <v>0</v>
      </c>
      <c r="EA88" s="299">
        <v>0</v>
      </c>
      <c r="EB88" s="299"/>
      <c r="EC88" s="299"/>
      <c r="ED88" s="300">
        <f t="shared" si="292"/>
        <v>0</v>
      </c>
      <c r="EE88" s="297">
        <v>0</v>
      </c>
      <c r="EF88" s="298">
        <f t="shared" si="337"/>
        <v>0</v>
      </c>
      <c r="EG88" s="299">
        <v>0</v>
      </c>
      <c r="EH88" s="299"/>
      <c r="EI88" s="299"/>
      <c r="EJ88" s="300">
        <f t="shared" si="325"/>
        <v>0</v>
      </c>
      <c r="EK88" s="297"/>
      <c r="EL88" s="298"/>
      <c r="EM88" s="299"/>
      <c r="EN88" s="299"/>
      <c r="EO88" s="299"/>
      <c r="EP88" s="300" t="e">
        <f>EM88-#REF!-EO88</f>
        <v>#REF!</v>
      </c>
    </row>
    <row r="89" spans="1:146" s="301" customFormat="1" ht="15.75" hidden="1" customHeight="1" thickBot="1">
      <c r="A89" s="319"/>
      <c r="B89" s="297"/>
      <c r="C89" s="298"/>
      <c r="D89" s="299"/>
      <c r="E89" s="299"/>
      <c r="F89" s="299"/>
      <c r="G89" s="300">
        <f t="shared" si="294"/>
        <v>0</v>
      </c>
      <c r="H89" s="297"/>
      <c r="I89" s="298"/>
      <c r="J89" s="320"/>
      <c r="K89" s="299"/>
      <c r="L89" s="299"/>
      <c r="M89" s="300">
        <f t="shared" si="295"/>
        <v>0</v>
      </c>
      <c r="N89" s="297"/>
      <c r="O89" s="298"/>
      <c r="P89" s="299"/>
      <c r="Q89" s="299"/>
      <c r="R89" s="299"/>
      <c r="S89" s="300">
        <f t="shared" si="296"/>
        <v>0</v>
      </c>
      <c r="T89" s="297"/>
      <c r="U89" s="298"/>
      <c r="V89" s="299"/>
      <c r="W89" s="299"/>
      <c r="X89" s="299"/>
      <c r="Y89" s="300">
        <f t="shared" si="297"/>
        <v>0</v>
      </c>
      <c r="Z89" s="297"/>
      <c r="AA89" s="298"/>
      <c r="AB89" s="299"/>
      <c r="AC89" s="299"/>
      <c r="AD89" s="299"/>
      <c r="AE89" s="300">
        <f t="shared" si="298"/>
        <v>0</v>
      </c>
      <c r="AF89" s="297"/>
      <c r="AG89" s="298"/>
      <c r="AH89" s="299"/>
      <c r="AI89" s="299"/>
      <c r="AJ89" s="299"/>
      <c r="AK89" s="300">
        <f t="shared" si="299"/>
        <v>0</v>
      </c>
      <c r="AL89" s="321"/>
      <c r="AM89" s="298"/>
      <c r="AN89" s="299"/>
      <c r="AO89" s="299"/>
      <c r="AP89" s="299"/>
      <c r="AQ89" s="300">
        <f t="shared" si="300"/>
        <v>0</v>
      </c>
      <c r="AR89" s="297"/>
      <c r="AS89" s="298"/>
      <c r="AT89" s="299"/>
      <c r="AU89" s="299"/>
      <c r="AV89" s="299"/>
      <c r="AW89" s="300">
        <f t="shared" si="301"/>
        <v>0</v>
      </c>
      <c r="AX89" s="297"/>
      <c r="AY89" s="298"/>
      <c r="AZ89" s="299"/>
      <c r="BA89" s="299"/>
      <c r="BB89" s="299"/>
      <c r="BC89" s="300">
        <f t="shared" si="302"/>
        <v>0</v>
      </c>
      <c r="BD89" s="321"/>
      <c r="BE89" s="298"/>
      <c r="BF89" s="299"/>
      <c r="BG89" s="299"/>
      <c r="BH89" s="299"/>
      <c r="BI89" s="300">
        <f t="shared" si="303"/>
        <v>0</v>
      </c>
      <c r="BJ89" s="297"/>
      <c r="BK89" s="298"/>
      <c r="BL89" s="299"/>
      <c r="BM89" s="299"/>
      <c r="BN89" s="299"/>
      <c r="BO89" s="300">
        <f t="shared" si="304"/>
        <v>0</v>
      </c>
      <c r="BP89" s="297"/>
      <c r="BQ89" s="298"/>
      <c r="BR89" s="299"/>
      <c r="BS89" s="299"/>
      <c r="BT89" s="299"/>
      <c r="BU89" s="300">
        <f t="shared" si="305"/>
        <v>0</v>
      </c>
      <c r="BV89" s="322"/>
      <c r="BW89" s="297">
        <v>0</v>
      </c>
      <c r="BX89" s="298">
        <f t="shared" si="327"/>
        <v>0</v>
      </c>
      <c r="BY89" s="299">
        <v>0</v>
      </c>
      <c r="BZ89" s="299"/>
      <c r="CA89" s="299"/>
      <c r="CB89" s="300">
        <f t="shared" si="307"/>
        <v>0</v>
      </c>
      <c r="CC89" s="297">
        <v>0</v>
      </c>
      <c r="CD89" s="298">
        <f t="shared" si="328"/>
        <v>0</v>
      </c>
      <c r="CE89" s="299">
        <v>0</v>
      </c>
      <c r="CF89" s="299"/>
      <c r="CG89" s="299"/>
      <c r="CH89" s="300">
        <f t="shared" si="309"/>
        <v>0</v>
      </c>
      <c r="CI89" s="297">
        <v>0</v>
      </c>
      <c r="CJ89" s="298">
        <f t="shared" si="329"/>
        <v>0</v>
      </c>
      <c r="CK89" s="299">
        <v>0</v>
      </c>
      <c r="CL89" s="299"/>
      <c r="CM89" s="299"/>
      <c r="CN89" s="300">
        <f t="shared" si="311"/>
        <v>0</v>
      </c>
      <c r="CO89" s="297">
        <v>0</v>
      </c>
      <c r="CP89" s="298">
        <f t="shared" si="330"/>
        <v>0</v>
      </c>
      <c r="CQ89" s="299">
        <v>0</v>
      </c>
      <c r="CR89" s="299"/>
      <c r="CS89" s="299"/>
      <c r="CT89" s="300">
        <f t="shared" si="314"/>
        <v>0</v>
      </c>
      <c r="CU89" s="297">
        <v>0</v>
      </c>
      <c r="CV89" s="298">
        <f t="shared" si="331"/>
        <v>0</v>
      </c>
      <c r="CW89" s="299">
        <v>0</v>
      </c>
      <c r="CX89" s="299"/>
      <c r="CY89" s="299"/>
      <c r="CZ89" s="300">
        <f t="shared" si="316"/>
        <v>0</v>
      </c>
      <c r="DA89" s="297">
        <v>0</v>
      </c>
      <c r="DB89" s="298">
        <f t="shared" si="332"/>
        <v>0</v>
      </c>
      <c r="DC89" s="299">
        <v>0</v>
      </c>
      <c r="DD89" s="299"/>
      <c r="DE89" s="299"/>
      <c r="DF89" s="300">
        <f t="shared" si="319"/>
        <v>0</v>
      </c>
      <c r="DG89" s="297">
        <v>0</v>
      </c>
      <c r="DH89" s="298">
        <f t="shared" si="333"/>
        <v>0</v>
      </c>
      <c r="DI89" s="299">
        <v>0</v>
      </c>
      <c r="DJ89" s="299"/>
      <c r="DK89" s="299"/>
      <c r="DL89" s="300">
        <f t="shared" si="321"/>
        <v>0</v>
      </c>
      <c r="DM89" s="297">
        <v>0</v>
      </c>
      <c r="DN89" s="298">
        <f t="shared" si="334"/>
        <v>0</v>
      </c>
      <c r="DO89" s="299">
        <v>0</v>
      </c>
      <c r="DP89" s="299"/>
      <c r="DQ89" s="299"/>
      <c r="DR89" s="300">
        <f t="shared" si="288"/>
        <v>0</v>
      </c>
      <c r="DS89" s="297">
        <v>0</v>
      </c>
      <c r="DT89" s="298">
        <f t="shared" si="335"/>
        <v>0</v>
      </c>
      <c r="DU89" s="299">
        <v>0</v>
      </c>
      <c r="DV89" s="299"/>
      <c r="DW89" s="299"/>
      <c r="DX89" s="300">
        <f t="shared" si="290"/>
        <v>0</v>
      </c>
      <c r="DY89" s="297">
        <v>0</v>
      </c>
      <c r="DZ89" s="298">
        <f t="shared" si="336"/>
        <v>0</v>
      </c>
      <c r="EA89" s="299">
        <v>0</v>
      </c>
      <c r="EB89" s="299"/>
      <c r="EC89" s="299"/>
      <c r="ED89" s="300">
        <f t="shared" si="292"/>
        <v>0</v>
      </c>
      <c r="EE89" s="297">
        <v>0</v>
      </c>
      <c r="EF89" s="298">
        <f t="shared" si="337"/>
        <v>0</v>
      </c>
      <c r="EG89" s="299">
        <v>0</v>
      </c>
      <c r="EH89" s="299"/>
      <c r="EI89" s="299"/>
      <c r="EJ89" s="300">
        <f t="shared" si="325"/>
        <v>0</v>
      </c>
      <c r="EK89" s="297"/>
      <c r="EL89" s="298"/>
      <c r="EM89" s="299"/>
      <c r="EN89" s="299"/>
      <c r="EO89" s="299"/>
      <c r="EP89" s="300" t="e">
        <f>EM89-#REF!-EO89</f>
        <v>#REF!</v>
      </c>
    </row>
    <row r="90" spans="1:146" s="301" customFormat="1" ht="15.75" hidden="1" customHeight="1" thickBot="1">
      <c r="A90" s="319"/>
      <c r="B90" s="297"/>
      <c r="C90" s="298"/>
      <c r="D90" s="299"/>
      <c r="E90" s="299"/>
      <c r="F90" s="299"/>
      <c r="G90" s="300">
        <f t="shared" si="294"/>
        <v>0</v>
      </c>
      <c r="H90" s="297"/>
      <c r="I90" s="298"/>
      <c r="J90" s="320"/>
      <c r="K90" s="299"/>
      <c r="L90" s="299"/>
      <c r="M90" s="300">
        <f t="shared" si="295"/>
        <v>0</v>
      </c>
      <c r="N90" s="297"/>
      <c r="O90" s="298"/>
      <c r="P90" s="299"/>
      <c r="Q90" s="299"/>
      <c r="R90" s="299"/>
      <c r="S90" s="300">
        <f t="shared" si="296"/>
        <v>0</v>
      </c>
      <c r="T90" s="297"/>
      <c r="U90" s="298"/>
      <c r="V90" s="299"/>
      <c r="W90" s="299"/>
      <c r="X90" s="299"/>
      <c r="Y90" s="300">
        <f t="shared" si="297"/>
        <v>0</v>
      </c>
      <c r="Z90" s="297"/>
      <c r="AA90" s="298"/>
      <c r="AB90" s="299"/>
      <c r="AC90" s="299"/>
      <c r="AD90" s="299"/>
      <c r="AE90" s="300">
        <f t="shared" si="298"/>
        <v>0</v>
      </c>
      <c r="AF90" s="297"/>
      <c r="AG90" s="298"/>
      <c r="AH90" s="299"/>
      <c r="AI90" s="299"/>
      <c r="AJ90" s="299"/>
      <c r="AK90" s="300">
        <f t="shared" si="299"/>
        <v>0</v>
      </c>
      <c r="AL90" s="321"/>
      <c r="AM90" s="298"/>
      <c r="AN90" s="299"/>
      <c r="AO90" s="299"/>
      <c r="AP90" s="299"/>
      <c r="AQ90" s="300">
        <f t="shared" si="300"/>
        <v>0</v>
      </c>
      <c r="AR90" s="297"/>
      <c r="AS90" s="298"/>
      <c r="AT90" s="299"/>
      <c r="AU90" s="299"/>
      <c r="AV90" s="299"/>
      <c r="AW90" s="300">
        <f t="shared" si="301"/>
        <v>0</v>
      </c>
      <c r="AX90" s="297"/>
      <c r="AY90" s="298"/>
      <c r="AZ90" s="299"/>
      <c r="BA90" s="299"/>
      <c r="BB90" s="299"/>
      <c r="BC90" s="300">
        <f t="shared" si="302"/>
        <v>0</v>
      </c>
      <c r="BD90" s="321"/>
      <c r="BE90" s="298"/>
      <c r="BF90" s="299"/>
      <c r="BG90" s="299"/>
      <c r="BH90" s="299"/>
      <c r="BI90" s="300">
        <f t="shared" si="303"/>
        <v>0</v>
      </c>
      <c r="BJ90" s="297"/>
      <c r="BK90" s="298"/>
      <c r="BL90" s="299"/>
      <c r="BM90" s="299"/>
      <c r="BN90" s="299"/>
      <c r="BO90" s="300">
        <f t="shared" si="304"/>
        <v>0</v>
      </c>
      <c r="BP90" s="297"/>
      <c r="BQ90" s="298"/>
      <c r="BR90" s="299"/>
      <c r="BS90" s="299"/>
      <c r="BT90" s="299"/>
      <c r="BU90" s="300">
        <f t="shared" si="305"/>
        <v>0</v>
      </c>
      <c r="BV90" s="322"/>
      <c r="BW90" s="297">
        <v>0</v>
      </c>
      <c r="BX90" s="298">
        <f t="shared" si="327"/>
        <v>0</v>
      </c>
      <c r="BY90" s="299">
        <v>0</v>
      </c>
      <c r="BZ90" s="299"/>
      <c r="CA90" s="299"/>
      <c r="CB90" s="300">
        <f t="shared" si="307"/>
        <v>0</v>
      </c>
      <c r="CC90" s="297">
        <v>0</v>
      </c>
      <c r="CD90" s="298">
        <f t="shared" si="328"/>
        <v>0</v>
      </c>
      <c r="CE90" s="299">
        <v>0</v>
      </c>
      <c r="CF90" s="299"/>
      <c r="CG90" s="299"/>
      <c r="CH90" s="300">
        <f t="shared" si="309"/>
        <v>0</v>
      </c>
      <c r="CI90" s="297">
        <v>0</v>
      </c>
      <c r="CJ90" s="298">
        <f t="shared" si="329"/>
        <v>0</v>
      </c>
      <c r="CK90" s="299">
        <v>0</v>
      </c>
      <c r="CL90" s="299"/>
      <c r="CM90" s="299"/>
      <c r="CN90" s="300">
        <f t="shared" si="311"/>
        <v>0</v>
      </c>
      <c r="CO90" s="297">
        <v>0</v>
      </c>
      <c r="CP90" s="298">
        <f t="shared" si="330"/>
        <v>0</v>
      </c>
      <c r="CQ90" s="299">
        <v>0</v>
      </c>
      <c r="CR90" s="299"/>
      <c r="CS90" s="299"/>
      <c r="CT90" s="300">
        <f t="shared" si="314"/>
        <v>0</v>
      </c>
      <c r="CU90" s="297">
        <v>0</v>
      </c>
      <c r="CV90" s="298">
        <f t="shared" si="331"/>
        <v>0</v>
      </c>
      <c r="CW90" s="299">
        <v>0</v>
      </c>
      <c r="CX90" s="299"/>
      <c r="CY90" s="299"/>
      <c r="CZ90" s="300">
        <f t="shared" si="316"/>
        <v>0</v>
      </c>
      <c r="DA90" s="297">
        <v>0</v>
      </c>
      <c r="DB90" s="298">
        <f t="shared" si="332"/>
        <v>0</v>
      </c>
      <c r="DC90" s="299">
        <v>0</v>
      </c>
      <c r="DD90" s="299"/>
      <c r="DE90" s="299"/>
      <c r="DF90" s="300">
        <f t="shared" si="319"/>
        <v>0</v>
      </c>
      <c r="DG90" s="297">
        <v>0</v>
      </c>
      <c r="DH90" s="298">
        <f t="shared" si="333"/>
        <v>0</v>
      </c>
      <c r="DI90" s="299">
        <v>0</v>
      </c>
      <c r="DJ90" s="299"/>
      <c r="DK90" s="299"/>
      <c r="DL90" s="300">
        <f t="shared" si="321"/>
        <v>0</v>
      </c>
      <c r="DM90" s="297">
        <v>0</v>
      </c>
      <c r="DN90" s="298">
        <f t="shared" si="334"/>
        <v>0</v>
      </c>
      <c r="DO90" s="299">
        <v>0</v>
      </c>
      <c r="DP90" s="299"/>
      <c r="DQ90" s="299"/>
      <c r="DR90" s="300">
        <f t="shared" si="288"/>
        <v>0</v>
      </c>
      <c r="DS90" s="297">
        <v>0</v>
      </c>
      <c r="DT90" s="298">
        <f t="shared" si="335"/>
        <v>0</v>
      </c>
      <c r="DU90" s="299">
        <v>0</v>
      </c>
      <c r="DV90" s="299"/>
      <c r="DW90" s="299"/>
      <c r="DX90" s="300">
        <f t="shared" si="290"/>
        <v>0</v>
      </c>
      <c r="DY90" s="297">
        <v>0</v>
      </c>
      <c r="DZ90" s="298">
        <f t="shared" si="336"/>
        <v>0</v>
      </c>
      <c r="EA90" s="299">
        <v>0</v>
      </c>
      <c r="EB90" s="299"/>
      <c r="EC90" s="299"/>
      <c r="ED90" s="300">
        <f t="shared" si="292"/>
        <v>0</v>
      </c>
      <c r="EE90" s="297">
        <v>0</v>
      </c>
      <c r="EF90" s="298">
        <f t="shared" si="337"/>
        <v>0</v>
      </c>
      <c r="EG90" s="299">
        <v>0</v>
      </c>
      <c r="EH90" s="299"/>
      <c r="EI90" s="299"/>
      <c r="EJ90" s="300">
        <f t="shared" si="325"/>
        <v>0</v>
      </c>
      <c r="EK90" s="297"/>
      <c r="EL90" s="298"/>
      <c r="EM90" s="299"/>
      <c r="EN90" s="299"/>
      <c r="EO90" s="299"/>
      <c r="EP90" s="300" t="e">
        <f>EM90-#REF!-EO90</f>
        <v>#REF!</v>
      </c>
    </row>
    <row r="91" spans="1:146" s="301" customFormat="1" ht="15.75" hidden="1" customHeight="1" thickBot="1">
      <c r="A91" s="319"/>
      <c r="B91" s="297"/>
      <c r="C91" s="298"/>
      <c r="D91" s="299"/>
      <c r="E91" s="299"/>
      <c r="F91" s="299"/>
      <c r="G91" s="300">
        <f t="shared" si="294"/>
        <v>0</v>
      </c>
      <c r="H91" s="297"/>
      <c r="I91" s="298"/>
      <c r="J91" s="320"/>
      <c r="K91" s="299"/>
      <c r="L91" s="299"/>
      <c r="M91" s="300">
        <f t="shared" si="295"/>
        <v>0</v>
      </c>
      <c r="N91" s="297"/>
      <c r="O91" s="298"/>
      <c r="P91" s="299"/>
      <c r="Q91" s="299"/>
      <c r="R91" s="299"/>
      <c r="S91" s="300">
        <f t="shared" si="296"/>
        <v>0</v>
      </c>
      <c r="T91" s="297"/>
      <c r="U91" s="298"/>
      <c r="V91" s="299"/>
      <c r="W91" s="299"/>
      <c r="X91" s="299"/>
      <c r="Y91" s="300">
        <f t="shared" si="297"/>
        <v>0</v>
      </c>
      <c r="Z91" s="297"/>
      <c r="AA91" s="298"/>
      <c r="AB91" s="299"/>
      <c r="AC91" s="299"/>
      <c r="AD91" s="299"/>
      <c r="AE91" s="300">
        <f t="shared" si="298"/>
        <v>0</v>
      </c>
      <c r="AF91" s="297"/>
      <c r="AG91" s="298"/>
      <c r="AH91" s="299"/>
      <c r="AI91" s="299"/>
      <c r="AJ91" s="299"/>
      <c r="AK91" s="300">
        <f t="shared" si="299"/>
        <v>0</v>
      </c>
      <c r="AL91" s="321"/>
      <c r="AM91" s="298"/>
      <c r="AN91" s="299"/>
      <c r="AO91" s="299"/>
      <c r="AP91" s="299"/>
      <c r="AQ91" s="300">
        <f t="shared" si="300"/>
        <v>0</v>
      </c>
      <c r="AR91" s="297"/>
      <c r="AS91" s="298"/>
      <c r="AT91" s="299"/>
      <c r="AU91" s="299"/>
      <c r="AV91" s="299"/>
      <c r="AW91" s="300">
        <f t="shared" si="301"/>
        <v>0</v>
      </c>
      <c r="AX91" s="297"/>
      <c r="AY91" s="298"/>
      <c r="AZ91" s="299"/>
      <c r="BA91" s="299"/>
      <c r="BB91" s="299"/>
      <c r="BC91" s="300">
        <f t="shared" si="302"/>
        <v>0</v>
      </c>
      <c r="BD91" s="321"/>
      <c r="BE91" s="298"/>
      <c r="BF91" s="299"/>
      <c r="BG91" s="299"/>
      <c r="BH91" s="299"/>
      <c r="BI91" s="300">
        <f t="shared" si="303"/>
        <v>0</v>
      </c>
      <c r="BJ91" s="297"/>
      <c r="BK91" s="298"/>
      <c r="BL91" s="299"/>
      <c r="BM91" s="299"/>
      <c r="BN91" s="299"/>
      <c r="BO91" s="300">
        <f t="shared" si="304"/>
        <v>0</v>
      </c>
      <c r="BP91" s="297"/>
      <c r="BQ91" s="298"/>
      <c r="BR91" s="299"/>
      <c r="BS91" s="299"/>
      <c r="BT91" s="299"/>
      <c r="BU91" s="300">
        <f t="shared" si="305"/>
        <v>0</v>
      </c>
      <c r="BV91" s="322"/>
      <c r="BW91" s="297">
        <v>0</v>
      </c>
      <c r="BX91" s="298">
        <f t="shared" si="327"/>
        <v>0</v>
      </c>
      <c r="BY91" s="299">
        <v>0</v>
      </c>
      <c r="BZ91" s="299"/>
      <c r="CA91" s="299"/>
      <c r="CB91" s="300">
        <f t="shared" si="307"/>
        <v>0</v>
      </c>
      <c r="CC91" s="297">
        <v>0</v>
      </c>
      <c r="CD91" s="298">
        <f t="shared" si="328"/>
        <v>0</v>
      </c>
      <c r="CE91" s="299">
        <v>0</v>
      </c>
      <c r="CF91" s="299"/>
      <c r="CG91" s="299"/>
      <c r="CH91" s="300">
        <f t="shared" si="309"/>
        <v>0</v>
      </c>
      <c r="CI91" s="297">
        <v>0</v>
      </c>
      <c r="CJ91" s="298">
        <f t="shared" si="329"/>
        <v>0</v>
      </c>
      <c r="CK91" s="299">
        <v>0</v>
      </c>
      <c r="CL91" s="299"/>
      <c r="CM91" s="299"/>
      <c r="CN91" s="300">
        <f t="shared" si="311"/>
        <v>0</v>
      </c>
      <c r="CO91" s="297">
        <v>0</v>
      </c>
      <c r="CP91" s="298">
        <f t="shared" si="330"/>
        <v>0</v>
      </c>
      <c r="CQ91" s="299">
        <v>0</v>
      </c>
      <c r="CR91" s="299"/>
      <c r="CS91" s="299"/>
      <c r="CT91" s="300">
        <f t="shared" si="314"/>
        <v>0</v>
      </c>
      <c r="CU91" s="297">
        <v>0</v>
      </c>
      <c r="CV91" s="298">
        <f t="shared" si="331"/>
        <v>0</v>
      </c>
      <c r="CW91" s="299">
        <v>0</v>
      </c>
      <c r="CX91" s="299"/>
      <c r="CY91" s="299"/>
      <c r="CZ91" s="300">
        <f t="shared" si="316"/>
        <v>0</v>
      </c>
      <c r="DA91" s="297">
        <v>0</v>
      </c>
      <c r="DB91" s="298">
        <f t="shared" si="332"/>
        <v>0</v>
      </c>
      <c r="DC91" s="299">
        <v>0</v>
      </c>
      <c r="DD91" s="299"/>
      <c r="DE91" s="299"/>
      <c r="DF91" s="300">
        <f t="shared" si="319"/>
        <v>0</v>
      </c>
      <c r="DG91" s="297">
        <v>0</v>
      </c>
      <c r="DH91" s="298">
        <f t="shared" si="333"/>
        <v>0</v>
      </c>
      <c r="DI91" s="299">
        <v>0</v>
      </c>
      <c r="DJ91" s="299"/>
      <c r="DK91" s="299"/>
      <c r="DL91" s="300">
        <f t="shared" si="321"/>
        <v>0</v>
      </c>
      <c r="DM91" s="297">
        <v>0</v>
      </c>
      <c r="DN91" s="298">
        <f t="shared" si="334"/>
        <v>0</v>
      </c>
      <c r="DO91" s="299">
        <v>0</v>
      </c>
      <c r="DP91" s="299"/>
      <c r="DQ91" s="299"/>
      <c r="DR91" s="300">
        <f t="shared" si="288"/>
        <v>0</v>
      </c>
      <c r="DS91" s="297">
        <v>0</v>
      </c>
      <c r="DT91" s="298">
        <f t="shared" si="335"/>
        <v>0</v>
      </c>
      <c r="DU91" s="299">
        <v>0</v>
      </c>
      <c r="DV91" s="299"/>
      <c r="DW91" s="299"/>
      <c r="DX91" s="300">
        <f t="shared" si="290"/>
        <v>0</v>
      </c>
      <c r="DY91" s="297">
        <v>0</v>
      </c>
      <c r="DZ91" s="298">
        <f t="shared" si="336"/>
        <v>0</v>
      </c>
      <c r="EA91" s="299">
        <v>0</v>
      </c>
      <c r="EB91" s="299"/>
      <c r="EC91" s="299"/>
      <c r="ED91" s="300">
        <f t="shared" si="292"/>
        <v>0</v>
      </c>
      <c r="EE91" s="297">
        <v>0</v>
      </c>
      <c r="EF91" s="298">
        <f t="shared" si="337"/>
        <v>0</v>
      </c>
      <c r="EG91" s="299">
        <v>0</v>
      </c>
      <c r="EH91" s="299"/>
      <c r="EI91" s="299"/>
      <c r="EJ91" s="300">
        <f t="shared" si="325"/>
        <v>0</v>
      </c>
      <c r="EK91" s="297"/>
      <c r="EL91" s="298"/>
      <c r="EM91" s="299"/>
      <c r="EN91" s="299"/>
      <c r="EO91" s="299"/>
      <c r="EP91" s="300" t="e">
        <f>EM91-#REF!-EO91</f>
        <v>#REF!</v>
      </c>
    </row>
    <row r="92" spans="1:146" s="301" customFormat="1" ht="15.75" hidden="1" customHeight="1" thickBot="1">
      <c r="A92" s="319"/>
      <c r="B92" s="297"/>
      <c r="C92" s="298"/>
      <c r="D92" s="299"/>
      <c r="E92" s="299"/>
      <c r="F92" s="299"/>
      <c r="G92" s="300">
        <f t="shared" si="294"/>
        <v>0</v>
      </c>
      <c r="H92" s="297"/>
      <c r="I92" s="298"/>
      <c r="J92" s="320"/>
      <c r="K92" s="299"/>
      <c r="L92" s="299"/>
      <c r="M92" s="300">
        <f t="shared" si="295"/>
        <v>0</v>
      </c>
      <c r="N92" s="297"/>
      <c r="O92" s="298"/>
      <c r="P92" s="299"/>
      <c r="Q92" s="299"/>
      <c r="R92" s="299"/>
      <c r="S92" s="300">
        <f t="shared" si="296"/>
        <v>0</v>
      </c>
      <c r="T92" s="297"/>
      <c r="U92" s="298"/>
      <c r="V92" s="299"/>
      <c r="W92" s="299"/>
      <c r="X92" s="299"/>
      <c r="Y92" s="300">
        <f t="shared" si="297"/>
        <v>0</v>
      </c>
      <c r="Z92" s="297"/>
      <c r="AA92" s="298"/>
      <c r="AB92" s="299"/>
      <c r="AC92" s="299"/>
      <c r="AD92" s="299"/>
      <c r="AE92" s="300">
        <f t="shared" si="298"/>
        <v>0</v>
      </c>
      <c r="AF92" s="297"/>
      <c r="AG92" s="298"/>
      <c r="AH92" s="299"/>
      <c r="AI92" s="299"/>
      <c r="AJ92" s="299"/>
      <c r="AK92" s="300">
        <f t="shared" si="299"/>
        <v>0</v>
      </c>
      <c r="AL92" s="321"/>
      <c r="AM92" s="298"/>
      <c r="AN92" s="299"/>
      <c r="AO92" s="299"/>
      <c r="AP92" s="299"/>
      <c r="AQ92" s="300">
        <f t="shared" si="300"/>
        <v>0</v>
      </c>
      <c r="AR92" s="297"/>
      <c r="AS92" s="298"/>
      <c r="AT92" s="299"/>
      <c r="AU92" s="299"/>
      <c r="AV92" s="299"/>
      <c r="AW92" s="300">
        <f t="shared" si="301"/>
        <v>0</v>
      </c>
      <c r="AX92" s="297"/>
      <c r="AY92" s="298"/>
      <c r="AZ92" s="299"/>
      <c r="BA92" s="299"/>
      <c r="BB92" s="299"/>
      <c r="BC92" s="300">
        <f t="shared" si="302"/>
        <v>0</v>
      </c>
      <c r="BD92" s="321"/>
      <c r="BE92" s="298"/>
      <c r="BF92" s="299"/>
      <c r="BG92" s="299"/>
      <c r="BH92" s="299"/>
      <c r="BI92" s="300">
        <f t="shared" si="303"/>
        <v>0</v>
      </c>
      <c r="BJ92" s="297"/>
      <c r="BK92" s="298"/>
      <c r="BL92" s="299"/>
      <c r="BM92" s="299"/>
      <c r="BN92" s="299"/>
      <c r="BO92" s="300">
        <f t="shared" si="304"/>
        <v>0</v>
      </c>
      <c r="BP92" s="297"/>
      <c r="BQ92" s="298"/>
      <c r="BR92" s="299"/>
      <c r="BS92" s="299"/>
      <c r="BT92" s="299"/>
      <c r="BU92" s="300">
        <f t="shared" si="305"/>
        <v>0</v>
      </c>
      <c r="BV92" s="322"/>
      <c r="BW92" s="297">
        <v>0</v>
      </c>
      <c r="BX92" s="298">
        <f t="shared" si="327"/>
        <v>0</v>
      </c>
      <c r="BY92" s="299">
        <v>0</v>
      </c>
      <c r="BZ92" s="299"/>
      <c r="CA92" s="299"/>
      <c r="CB92" s="300">
        <f t="shared" si="307"/>
        <v>0</v>
      </c>
      <c r="CC92" s="297">
        <v>0</v>
      </c>
      <c r="CD92" s="298">
        <f t="shared" si="328"/>
        <v>0</v>
      </c>
      <c r="CE92" s="299">
        <v>0</v>
      </c>
      <c r="CF92" s="299"/>
      <c r="CG92" s="299"/>
      <c r="CH92" s="300">
        <f t="shared" si="309"/>
        <v>0</v>
      </c>
      <c r="CI92" s="297">
        <v>0</v>
      </c>
      <c r="CJ92" s="298">
        <f t="shared" si="329"/>
        <v>0</v>
      </c>
      <c r="CK92" s="299">
        <v>0</v>
      </c>
      <c r="CL92" s="299"/>
      <c r="CM92" s="299"/>
      <c r="CN92" s="300">
        <f t="shared" si="311"/>
        <v>0</v>
      </c>
      <c r="CO92" s="297">
        <v>0</v>
      </c>
      <c r="CP92" s="298">
        <f t="shared" si="330"/>
        <v>0</v>
      </c>
      <c r="CQ92" s="299">
        <v>0</v>
      </c>
      <c r="CR92" s="299"/>
      <c r="CS92" s="299"/>
      <c r="CT92" s="300">
        <f t="shared" si="314"/>
        <v>0</v>
      </c>
      <c r="CU92" s="297">
        <v>0</v>
      </c>
      <c r="CV92" s="298">
        <f t="shared" si="331"/>
        <v>0</v>
      </c>
      <c r="CW92" s="299">
        <v>0</v>
      </c>
      <c r="CX92" s="299"/>
      <c r="CY92" s="299"/>
      <c r="CZ92" s="300">
        <f t="shared" si="316"/>
        <v>0</v>
      </c>
      <c r="DA92" s="297">
        <v>0</v>
      </c>
      <c r="DB92" s="298">
        <f t="shared" si="332"/>
        <v>0</v>
      </c>
      <c r="DC92" s="299">
        <v>0</v>
      </c>
      <c r="DD92" s="299"/>
      <c r="DE92" s="299"/>
      <c r="DF92" s="300">
        <f t="shared" si="319"/>
        <v>0</v>
      </c>
      <c r="DG92" s="297">
        <v>0</v>
      </c>
      <c r="DH92" s="298">
        <f t="shared" si="333"/>
        <v>0</v>
      </c>
      <c r="DI92" s="299">
        <v>0</v>
      </c>
      <c r="DJ92" s="299"/>
      <c r="DK92" s="299"/>
      <c r="DL92" s="300">
        <f t="shared" si="321"/>
        <v>0</v>
      </c>
      <c r="DM92" s="297">
        <v>0</v>
      </c>
      <c r="DN92" s="298">
        <f t="shared" si="334"/>
        <v>0</v>
      </c>
      <c r="DO92" s="299">
        <v>0</v>
      </c>
      <c r="DP92" s="299"/>
      <c r="DQ92" s="299"/>
      <c r="DR92" s="300">
        <f t="shared" si="288"/>
        <v>0</v>
      </c>
      <c r="DS92" s="297">
        <v>0</v>
      </c>
      <c r="DT92" s="298">
        <f t="shared" si="335"/>
        <v>0</v>
      </c>
      <c r="DU92" s="299">
        <v>0</v>
      </c>
      <c r="DV92" s="299"/>
      <c r="DW92" s="299"/>
      <c r="DX92" s="300">
        <f t="shared" si="290"/>
        <v>0</v>
      </c>
      <c r="DY92" s="297">
        <v>0</v>
      </c>
      <c r="DZ92" s="298">
        <f t="shared" si="336"/>
        <v>0</v>
      </c>
      <c r="EA92" s="299">
        <v>0</v>
      </c>
      <c r="EB92" s="299"/>
      <c r="EC92" s="299"/>
      <c r="ED92" s="300">
        <f t="shared" si="292"/>
        <v>0</v>
      </c>
      <c r="EE92" s="297">
        <v>0</v>
      </c>
      <c r="EF92" s="298">
        <f t="shared" si="337"/>
        <v>0</v>
      </c>
      <c r="EG92" s="299">
        <v>0</v>
      </c>
      <c r="EH92" s="299"/>
      <c r="EI92" s="299"/>
      <c r="EJ92" s="300">
        <f t="shared" si="325"/>
        <v>0</v>
      </c>
      <c r="EK92" s="297"/>
      <c r="EL92" s="298"/>
      <c r="EM92" s="299"/>
      <c r="EN92" s="299"/>
      <c r="EO92" s="299"/>
      <c r="EP92" s="300" t="e">
        <f>EM92-#REF!-EO92</f>
        <v>#REF!</v>
      </c>
    </row>
    <row r="93" spans="1:146" s="301" customFormat="1" ht="15.75" hidden="1" customHeight="1" thickBot="1">
      <c r="A93" s="319"/>
      <c r="B93" s="297"/>
      <c r="C93" s="298"/>
      <c r="D93" s="299"/>
      <c r="E93" s="299"/>
      <c r="F93" s="299"/>
      <c r="G93" s="300">
        <f t="shared" si="294"/>
        <v>0</v>
      </c>
      <c r="H93" s="297"/>
      <c r="I93" s="298"/>
      <c r="J93" s="320"/>
      <c r="K93" s="299"/>
      <c r="L93" s="299"/>
      <c r="M93" s="300">
        <f t="shared" si="295"/>
        <v>0</v>
      </c>
      <c r="N93" s="323"/>
      <c r="O93" s="298"/>
      <c r="P93" s="299"/>
      <c r="Q93" s="299"/>
      <c r="R93" s="299"/>
      <c r="S93" s="300">
        <f t="shared" si="296"/>
        <v>0</v>
      </c>
      <c r="T93" s="297"/>
      <c r="U93" s="298"/>
      <c r="V93" s="299"/>
      <c r="W93" s="299"/>
      <c r="X93" s="299"/>
      <c r="Y93" s="300">
        <f t="shared" si="297"/>
        <v>0</v>
      </c>
      <c r="Z93" s="297"/>
      <c r="AA93" s="298"/>
      <c r="AB93" s="299"/>
      <c r="AC93" s="299"/>
      <c r="AD93" s="299"/>
      <c r="AE93" s="300">
        <f t="shared" si="298"/>
        <v>0</v>
      </c>
      <c r="AF93" s="324"/>
      <c r="AG93" s="298"/>
      <c r="AH93" s="299"/>
      <c r="AI93" s="299"/>
      <c r="AJ93" s="299"/>
      <c r="AK93" s="300">
        <f t="shared" si="299"/>
        <v>0</v>
      </c>
      <c r="AL93" s="324"/>
      <c r="AM93" s="298"/>
      <c r="AN93" s="299"/>
      <c r="AO93" s="299"/>
      <c r="AP93" s="299"/>
      <c r="AQ93" s="300">
        <f t="shared" si="300"/>
        <v>0</v>
      </c>
      <c r="AR93" s="297"/>
      <c r="AS93" s="298"/>
      <c r="AT93" s="299"/>
      <c r="AU93" s="299"/>
      <c r="AV93" s="299"/>
      <c r="AW93" s="300">
        <f t="shared" si="301"/>
        <v>0</v>
      </c>
      <c r="AX93" s="297"/>
      <c r="AY93" s="298"/>
      <c r="AZ93" s="299"/>
      <c r="BA93" s="299"/>
      <c r="BB93" s="299"/>
      <c r="BC93" s="300">
        <f t="shared" si="302"/>
        <v>0</v>
      </c>
      <c r="BD93" s="324"/>
      <c r="BE93" s="298"/>
      <c r="BF93" s="299"/>
      <c r="BG93" s="299"/>
      <c r="BH93" s="299"/>
      <c r="BI93" s="300">
        <f t="shared" si="303"/>
        <v>0</v>
      </c>
      <c r="BJ93" s="297"/>
      <c r="BK93" s="298"/>
      <c r="BL93" s="299"/>
      <c r="BM93" s="299"/>
      <c r="BN93" s="299"/>
      <c r="BO93" s="300">
        <f t="shared" si="304"/>
        <v>0</v>
      </c>
      <c r="BP93" s="297"/>
      <c r="BQ93" s="298"/>
      <c r="BR93" s="329"/>
      <c r="BS93" s="299"/>
      <c r="BT93" s="299"/>
      <c r="BU93" s="300">
        <f t="shared" si="305"/>
        <v>0</v>
      </c>
      <c r="BV93" s="322"/>
      <c r="BW93" s="297">
        <v>0</v>
      </c>
      <c r="BX93" s="298">
        <f t="shared" si="327"/>
        <v>0</v>
      </c>
      <c r="BY93" s="299">
        <v>0</v>
      </c>
      <c r="BZ93" s="299"/>
      <c r="CA93" s="299"/>
      <c r="CB93" s="300">
        <f t="shared" si="307"/>
        <v>0</v>
      </c>
      <c r="CC93" s="297">
        <v>0</v>
      </c>
      <c r="CD93" s="298">
        <f t="shared" si="328"/>
        <v>0</v>
      </c>
      <c r="CE93" s="299">
        <v>0</v>
      </c>
      <c r="CF93" s="299"/>
      <c r="CG93" s="299"/>
      <c r="CH93" s="300">
        <f t="shared" si="309"/>
        <v>0</v>
      </c>
      <c r="CI93" s="297">
        <v>0</v>
      </c>
      <c r="CJ93" s="298">
        <f t="shared" si="329"/>
        <v>0</v>
      </c>
      <c r="CK93" s="299">
        <v>0</v>
      </c>
      <c r="CL93" s="299"/>
      <c r="CM93" s="299"/>
      <c r="CN93" s="300">
        <f t="shared" si="311"/>
        <v>0</v>
      </c>
      <c r="CO93" s="297">
        <v>0</v>
      </c>
      <c r="CP93" s="298">
        <f t="shared" si="330"/>
        <v>0</v>
      </c>
      <c r="CQ93" s="299">
        <v>0</v>
      </c>
      <c r="CR93" s="299"/>
      <c r="CS93" s="299"/>
      <c r="CT93" s="300">
        <f t="shared" si="314"/>
        <v>0</v>
      </c>
      <c r="CU93" s="297">
        <v>0</v>
      </c>
      <c r="CV93" s="298">
        <f t="shared" si="331"/>
        <v>0</v>
      </c>
      <c r="CW93" s="299">
        <v>0</v>
      </c>
      <c r="CX93" s="299"/>
      <c r="CY93" s="299"/>
      <c r="CZ93" s="300">
        <f t="shared" si="316"/>
        <v>0</v>
      </c>
      <c r="DA93" s="297">
        <v>0</v>
      </c>
      <c r="DB93" s="298">
        <f t="shared" si="332"/>
        <v>0</v>
      </c>
      <c r="DC93" s="299">
        <v>0</v>
      </c>
      <c r="DD93" s="299"/>
      <c r="DE93" s="299"/>
      <c r="DF93" s="300">
        <f t="shared" si="319"/>
        <v>0</v>
      </c>
      <c r="DG93" s="297">
        <v>0</v>
      </c>
      <c r="DH93" s="298">
        <f t="shared" si="333"/>
        <v>0</v>
      </c>
      <c r="DI93" s="299">
        <v>0</v>
      </c>
      <c r="DJ93" s="299"/>
      <c r="DK93" s="299"/>
      <c r="DL93" s="300">
        <f t="shared" si="321"/>
        <v>0</v>
      </c>
      <c r="DM93" s="297">
        <v>0</v>
      </c>
      <c r="DN93" s="298">
        <f t="shared" si="334"/>
        <v>0</v>
      </c>
      <c r="DO93" s="299">
        <v>0</v>
      </c>
      <c r="DP93" s="299"/>
      <c r="DQ93" s="299"/>
      <c r="DR93" s="300">
        <f t="shared" si="288"/>
        <v>0</v>
      </c>
      <c r="DS93" s="297">
        <v>0</v>
      </c>
      <c r="DT93" s="298">
        <f t="shared" si="335"/>
        <v>0</v>
      </c>
      <c r="DU93" s="299">
        <v>0</v>
      </c>
      <c r="DV93" s="299"/>
      <c r="DW93" s="299"/>
      <c r="DX93" s="300">
        <f t="shared" si="290"/>
        <v>0</v>
      </c>
      <c r="DY93" s="297">
        <v>0</v>
      </c>
      <c r="DZ93" s="298">
        <f t="shared" si="336"/>
        <v>0</v>
      </c>
      <c r="EA93" s="299">
        <v>0</v>
      </c>
      <c r="EB93" s="299"/>
      <c r="EC93" s="299"/>
      <c r="ED93" s="300">
        <f t="shared" si="292"/>
        <v>0</v>
      </c>
      <c r="EE93" s="297">
        <v>0</v>
      </c>
      <c r="EF93" s="298">
        <f t="shared" si="337"/>
        <v>0</v>
      </c>
      <c r="EG93" s="299">
        <v>0</v>
      </c>
      <c r="EH93" s="299"/>
      <c r="EI93" s="299"/>
      <c r="EJ93" s="300">
        <f t="shared" si="325"/>
        <v>0</v>
      </c>
      <c r="EK93" s="297"/>
      <c r="EL93" s="298"/>
      <c r="EM93" s="299"/>
      <c r="EN93" s="299"/>
      <c r="EO93" s="299"/>
      <c r="EP93" s="300" t="e">
        <f>EM93-#REF!-EO93</f>
        <v>#REF!</v>
      </c>
    </row>
    <row r="94" spans="1:146" s="301" customFormat="1" ht="15.75" hidden="1" customHeight="1">
      <c r="A94" s="319"/>
      <c r="B94" s="297"/>
      <c r="C94" s="298"/>
      <c r="D94" s="299"/>
      <c r="E94" s="299"/>
      <c r="F94" s="299"/>
      <c r="G94" s="325">
        <f t="shared" si="294"/>
        <v>0</v>
      </c>
      <c r="H94" s="326"/>
      <c r="I94" s="298"/>
      <c r="J94" s="320"/>
      <c r="K94" s="299"/>
      <c r="L94" s="299"/>
      <c r="M94" s="325">
        <f t="shared" si="295"/>
        <v>0</v>
      </c>
      <c r="N94" s="297"/>
      <c r="O94" s="298"/>
      <c r="P94" s="299"/>
      <c r="Q94" s="327"/>
      <c r="R94" s="299"/>
      <c r="S94" s="325">
        <f t="shared" si="296"/>
        <v>0</v>
      </c>
      <c r="T94" s="326"/>
      <c r="U94" s="298"/>
      <c r="V94" s="327"/>
      <c r="W94" s="327"/>
      <c r="X94" s="299"/>
      <c r="Y94" s="325">
        <f t="shared" si="297"/>
        <v>0</v>
      </c>
      <c r="Z94" s="326"/>
      <c r="AA94" s="298"/>
      <c r="AB94" s="327"/>
      <c r="AC94" s="327"/>
      <c r="AD94" s="299"/>
      <c r="AE94" s="325">
        <f t="shared" si="298"/>
        <v>0</v>
      </c>
      <c r="AF94" s="297"/>
      <c r="AG94" s="298"/>
      <c r="AH94" s="299"/>
      <c r="AI94" s="327"/>
      <c r="AJ94" s="299"/>
      <c r="AK94" s="325">
        <f t="shared" si="299"/>
        <v>0</v>
      </c>
      <c r="AL94" s="321"/>
      <c r="AM94" s="298"/>
      <c r="AN94" s="299"/>
      <c r="AO94" s="327"/>
      <c r="AP94" s="299"/>
      <c r="AQ94" s="325">
        <f t="shared" si="300"/>
        <v>0</v>
      </c>
      <c r="AR94" s="326"/>
      <c r="AS94" s="298"/>
      <c r="AT94" s="327"/>
      <c r="AU94" s="327"/>
      <c r="AV94" s="299"/>
      <c r="AW94" s="325">
        <f t="shared" si="301"/>
        <v>0</v>
      </c>
      <c r="AX94" s="326"/>
      <c r="AY94" s="298"/>
      <c r="AZ94" s="327"/>
      <c r="BA94" s="299"/>
      <c r="BB94" s="299"/>
      <c r="BC94" s="325">
        <f t="shared" si="302"/>
        <v>0</v>
      </c>
      <c r="BD94" s="321"/>
      <c r="BE94" s="298"/>
      <c r="BF94" s="327"/>
      <c r="BG94" s="299"/>
      <c r="BH94" s="299"/>
      <c r="BI94" s="325">
        <f t="shared" si="303"/>
        <v>0</v>
      </c>
      <c r="BJ94" s="326"/>
      <c r="BK94" s="298"/>
      <c r="BL94" s="327"/>
      <c r="BM94" s="299"/>
      <c r="BN94" s="299"/>
      <c r="BO94" s="325">
        <f t="shared" si="304"/>
        <v>0</v>
      </c>
      <c r="BP94" s="326"/>
      <c r="BQ94" s="298"/>
      <c r="BR94" s="299"/>
      <c r="BS94" s="299"/>
      <c r="BT94" s="299"/>
      <c r="BU94" s="325">
        <f t="shared" si="305"/>
        <v>0</v>
      </c>
      <c r="BV94" s="322"/>
      <c r="BW94" s="297">
        <v>0</v>
      </c>
      <c r="BX94" s="328">
        <f t="shared" si="327"/>
        <v>0</v>
      </c>
      <c r="BY94" s="299">
        <v>0</v>
      </c>
      <c r="BZ94" s="327"/>
      <c r="CA94" s="327"/>
      <c r="CB94" s="325">
        <f t="shared" si="307"/>
        <v>0</v>
      </c>
      <c r="CC94" s="297">
        <v>0</v>
      </c>
      <c r="CD94" s="328">
        <f t="shared" si="328"/>
        <v>0</v>
      </c>
      <c r="CE94" s="299">
        <v>0</v>
      </c>
      <c r="CF94" s="327"/>
      <c r="CG94" s="327"/>
      <c r="CH94" s="325">
        <f t="shared" si="309"/>
        <v>0</v>
      </c>
      <c r="CI94" s="297">
        <v>0</v>
      </c>
      <c r="CJ94" s="328">
        <f t="shared" si="329"/>
        <v>0</v>
      </c>
      <c r="CK94" s="299">
        <v>0</v>
      </c>
      <c r="CL94" s="327"/>
      <c r="CM94" s="327"/>
      <c r="CN94" s="325">
        <f t="shared" si="311"/>
        <v>0</v>
      </c>
      <c r="CO94" s="297">
        <v>0</v>
      </c>
      <c r="CP94" s="328">
        <f t="shared" si="330"/>
        <v>0</v>
      </c>
      <c r="CQ94" s="299">
        <v>0</v>
      </c>
      <c r="CR94" s="327"/>
      <c r="CS94" s="327"/>
      <c r="CT94" s="325">
        <f t="shared" si="314"/>
        <v>0</v>
      </c>
      <c r="CU94" s="297">
        <v>0</v>
      </c>
      <c r="CV94" s="328">
        <f t="shared" si="331"/>
        <v>0</v>
      </c>
      <c r="CW94" s="299">
        <v>0</v>
      </c>
      <c r="CX94" s="327"/>
      <c r="CY94" s="327"/>
      <c r="CZ94" s="325">
        <f t="shared" si="316"/>
        <v>0</v>
      </c>
      <c r="DA94" s="297">
        <v>0</v>
      </c>
      <c r="DB94" s="328">
        <f t="shared" si="332"/>
        <v>0</v>
      </c>
      <c r="DC94" s="299">
        <v>0</v>
      </c>
      <c r="DD94" s="327"/>
      <c r="DE94" s="327"/>
      <c r="DF94" s="325">
        <f t="shared" si="319"/>
        <v>0</v>
      </c>
      <c r="DG94" s="297">
        <v>0</v>
      </c>
      <c r="DH94" s="328">
        <f t="shared" si="333"/>
        <v>0</v>
      </c>
      <c r="DI94" s="299">
        <v>0</v>
      </c>
      <c r="DJ94" s="327"/>
      <c r="DK94" s="327"/>
      <c r="DL94" s="325">
        <f t="shared" si="321"/>
        <v>0</v>
      </c>
      <c r="DM94" s="297">
        <v>0</v>
      </c>
      <c r="DN94" s="328">
        <f t="shared" si="334"/>
        <v>0</v>
      </c>
      <c r="DO94" s="299">
        <v>0</v>
      </c>
      <c r="DP94" s="327"/>
      <c r="DQ94" s="327"/>
      <c r="DR94" s="325">
        <f t="shared" si="288"/>
        <v>0</v>
      </c>
      <c r="DS94" s="297">
        <v>0</v>
      </c>
      <c r="DT94" s="328">
        <f t="shared" si="335"/>
        <v>0</v>
      </c>
      <c r="DU94" s="299">
        <v>0</v>
      </c>
      <c r="DV94" s="327"/>
      <c r="DW94" s="327"/>
      <c r="DX94" s="325">
        <f t="shared" si="290"/>
        <v>0</v>
      </c>
      <c r="DY94" s="297">
        <v>0</v>
      </c>
      <c r="DZ94" s="328">
        <f t="shared" si="336"/>
        <v>0</v>
      </c>
      <c r="EA94" s="299">
        <v>0</v>
      </c>
      <c r="EB94" s="327"/>
      <c r="EC94" s="327"/>
      <c r="ED94" s="325">
        <f t="shared" si="292"/>
        <v>0</v>
      </c>
      <c r="EE94" s="297">
        <v>0</v>
      </c>
      <c r="EF94" s="328">
        <f t="shared" si="337"/>
        <v>0</v>
      </c>
      <c r="EG94" s="299">
        <v>0</v>
      </c>
      <c r="EH94" s="327"/>
      <c r="EI94" s="327"/>
      <c r="EJ94" s="325">
        <f t="shared" si="325"/>
        <v>0</v>
      </c>
      <c r="EK94" s="297"/>
      <c r="EL94" s="328"/>
      <c r="EM94" s="299"/>
      <c r="EN94" s="299"/>
      <c r="EO94" s="327"/>
      <c r="EP94" s="325" t="e">
        <f>EM94-#REF!-EO94</f>
        <v>#REF!</v>
      </c>
    </row>
    <row r="95" spans="1:146" s="110" customFormat="1" ht="15.75" thickBot="1">
      <c r="A95" s="252" t="s">
        <v>140</v>
      </c>
      <c r="B95" s="253">
        <f>SUM(B76:B94)</f>
        <v>80.633911999999725</v>
      </c>
      <c r="C95" s="306">
        <f t="shared" ref="C95" si="338">B95/B$65</f>
        <v>0.87478539071869554</v>
      </c>
      <c r="D95" s="294">
        <f>SUMPRODUCT(B76:B94,D76:D94)/B95</f>
        <v>104622.54459095813</v>
      </c>
      <c r="E95" s="255">
        <f>SUMPRODUCT(B76:B94,E76:E94)/B95</f>
        <v>70373.769657809316</v>
      </c>
      <c r="F95" s="255">
        <f>SUMPRODUCT(B76:B94,F76:F94)/B95</f>
        <v>14322.92264949283</v>
      </c>
      <c r="G95" s="294">
        <f>SUMPRODUCT(B76:B94,G76:G94)/B95</f>
        <v>19925.852283655986</v>
      </c>
      <c r="H95" s="253">
        <f t="shared" ref="H95" si="339">SUM(H76:H94)</f>
        <v>75.836677999999722</v>
      </c>
      <c r="I95" s="306">
        <f>SUM(I76:I94)</f>
        <v>1</v>
      </c>
      <c r="J95" s="294">
        <f t="shared" ref="J95" si="340">SUMPRODUCT(H76:H94,J76:J94)/H95</f>
        <v>103133.32478009166</v>
      </c>
      <c r="K95" s="255">
        <f t="shared" ref="K95" si="341">SUMPRODUCT(H76:H94,K76:K94)/H95</f>
        <v>70473.122373185746</v>
      </c>
      <c r="L95" s="255">
        <f t="shared" ref="L95" si="342">SUMPRODUCT(H76:H94,L76:L94)/H95</f>
        <v>8467.8960143540826</v>
      </c>
      <c r="M95" s="294">
        <f t="shared" ref="M95" si="343">SUMPRODUCT(H76:H94,M76:M94)/H95</f>
        <v>24192.306392551818</v>
      </c>
      <c r="N95" s="253">
        <f t="shared" ref="N95" si="344">SUM(N76:N94)</f>
        <v>55.942166999999912</v>
      </c>
      <c r="O95" s="306">
        <f>SUM(O76:O94)</f>
        <v>1</v>
      </c>
      <c r="P95" s="294">
        <f t="shared" ref="P95" si="345">SUMPRODUCT(N76:N94,P76:P94)/N95</f>
        <v>105440.97028185193</v>
      </c>
      <c r="Q95" s="255">
        <f t="shared" ref="Q95" si="346">SUMPRODUCT(N76:N94,Q76:Q94)/N95</f>
        <v>69781.398210724772</v>
      </c>
      <c r="R95" s="255">
        <f t="shared" ref="R95" si="347">SUMPRODUCT(N76:N94,R76:R94)/N95</f>
        <v>11582.153205615279</v>
      </c>
      <c r="S95" s="294">
        <f t="shared" ref="S95" si="348">SUMPRODUCT(N76:N94,S76:S94)/N95</f>
        <v>24077.418865511885</v>
      </c>
      <c r="T95" s="253">
        <f t="shared" ref="T95" si="349">SUM(T76:T94)</f>
        <v>65.050047999999876</v>
      </c>
      <c r="U95" s="306">
        <f>SUM(U76:U94)</f>
        <v>0.99999999999999989</v>
      </c>
      <c r="V95" s="294">
        <f t="shared" ref="V95" si="350">SUMPRODUCT(T76:T94,V76:V94)/T95</f>
        <v>103108.60004748011</v>
      </c>
      <c r="W95" s="255">
        <f t="shared" ref="W95" si="351">SUMPRODUCT(T76:T94,W76:W94)/T95</f>
        <v>69951.024479231695</v>
      </c>
      <c r="X95" s="255">
        <f t="shared" ref="X95" si="352">SUMPRODUCT(T76:T94,X76:X94)/T95</f>
        <v>12575.587220187261</v>
      </c>
      <c r="Y95" s="294">
        <f t="shared" ref="Y95" si="353">SUMPRODUCT(T76:T94,Y76:Y94)/T95</f>
        <v>20581.988348061172</v>
      </c>
      <c r="Z95" s="253">
        <f t="shared" ref="Z95" si="354">SUM(Z76:Z94)</f>
        <v>35.948327999999961</v>
      </c>
      <c r="AA95" s="306">
        <f>SUM(AA76:AA94)</f>
        <v>1</v>
      </c>
      <c r="AB95" s="294">
        <f t="shared" ref="AB95" si="355">SUMPRODUCT(Z76:Z94,AB76:AB94)/Z95</f>
        <v>102571.78003920423</v>
      </c>
      <c r="AC95" s="255">
        <f t="shared" ref="AC95" si="356">SUMPRODUCT(Z76:Z94,AC76:AC94)/Z95</f>
        <v>70283.48292905961</v>
      </c>
      <c r="AD95" s="255">
        <f t="shared" ref="AD95" si="357">SUMPRODUCT(Z76:Z94,AD76:AD94)/Z95</f>
        <v>11388.687560696373</v>
      </c>
      <c r="AE95" s="294">
        <f t="shared" ref="AE95" si="358">SUMPRODUCT(Z76:Z94,AE76:AE94)/Z95</f>
        <v>20899.609549448243</v>
      </c>
      <c r="AF95" s="253">
        <f t="shared" ref="AF95" si="359">SUM(AF76:AF94)</f>
        <v>45.094647999999971</v>
      </c>
      <c r="AG95" s="306">
        <f>SUM(AG76:AG94)</f>
        <v>0.99999999999999989</v>
      </c>
      <c r="AH95" s="294">
        <f t="shared" ref="AH95" si="360">SUMPRODUCT(AF76:AF94,AH76:AH94)/AF95</f>
        <v>107386.63441860453</v>
      </c>
      <c r="AI95" s="255">
        <f t="shared" ref="AI95" si="361">SUMPRODUCT(AF76:AF94,AI76:AI94)/AF95</f>
        <v>69909.696576040355</v>
      </c>
      <c r="AJ95" s="255">
        <f t="shared" ref="AJ95" si="362">SUMPRODUCT(AF76:AF94,AJ76:AJ94)/AF95</f>
        <v>14906.713976694653</v>
      </c>
      <c r="AK95" s="294">
        <f t="shared" ref="AK95" si="363">SUMPRODUCT(AF76:AF94,AK76:AK94)/AF95</f>
        <v>22570.223865869528</v>
      </c>
      <c r="AL95" s="253">
        <f t="shared" ref="AL95" si="364">SUM(AL76:AL94)</f>
        <v>33.318466911999941</v>
      </c>
      <c r="AM95" s="306">
        <f>SUM(AM76:AM94)</f>
        <v>1</v>
      </c>
      <c r="AN95" s="294">
        <f t="shared" ref="AN95" si="365">SUMPRODUCT(AL76:AL94,AN76:AN94)/AL95</f>
        <v>101316.52463037326</v>
      </c>
      <c r="AO95" s="255">
        <f t="shared" ref="AO95" si="366">SUMPRODUCT(AL76:AL94,AO76:AO94)/AL95</f>
        <v>69346.774508553266</v>
      </c>
      <c r="AP95" s="255">
        <f t="shared" ref="AP95" si="367">SUMPRODUCT(AL76:AL94,AP76:AP94)/AL95</f>
        <v>14911.133042924463</v>
      </c>
      <c r="AQ95" s="294">
        <f t="shared" ref="AQ95" si="368">SUMPRODUCT(AL76:AL94,AQ76:AQ94)/AL95</f>
        <v>17058.617078895524</v>
      </c>
      <c r="AR95" s="253">
        <f t="shared" ref="AR95" si="369">SUM(AR76:AR94)</f>
        <v>29.626251999999962</v>
      </c>
      <c r="AS95" s="306">
        <f>SUM(AS76:AS94)</f>
        <v>1</v>
      </c>
      <c r="AT95" s="294">
        <f t="shared" ref="AT95" si="370">SUMPRODUCT(AR76:AR94,AT76:AT94)/AR95</f>
        <v>102109.22932802713</v>
      </c>
      <c r="AU95" s="255">
        <f t="shared" ref="AU95" si="371">SUMPRODUCT(AR76:AR94,AU76:AU94)/AR95</f>
        <v>67077.479781461283</v>
      </c>
      <c r="AV95" s="255">
        <f t="shared" ref="AV95" si="372">SUMPRODUCT(AR76:AR94,AV76:AV94)/AR95</f>
        <v>14348.61216631736</v>
      </c>
      <c r="AW95" s="294">
        <f t="shared" ref="AW95" si="373">SUMPRODUCT(AR76:AR94,AW76:AW94)/AR95</f>
        <v>20683.137380248481</v>
      </c>
      <c r="AX95" s="253">
        <f t="shared" ref="AX95" si="374">SUM(AX76:AX94)</f>
        <v>41.074464000000006</v>
      </c>
      <c r="AY95" s="306">
        <f>SUM(AY76:AY94)</f>
        <v>1</v>
      </c>
      <c r="AZ95" s="294">
        <f t="shared" ref="AZ95" si="375">SUMPRODUCT(AX76:AX94,AZ76:AZ94)/AX95</f>
        <v>111823.1765605025</v>
      </c>
      <c r="BA95" s="255">
        <f t="shared" ref="BA95" si="376">SUMPRODUCT(AX76:AX94,BA76:BA94)/AX95</f>
        <v>66733.113372425025</v>
      </c>
      <c r="BB95" s="255">
        <f t="shared" ref="BB95" si="377">SUMPRODUCT(AX76:AX94,BB76:BB94)/AX95</f>
        <v>10645.912750072655</v>
      </c>
      <c r="BC95" s="294">
        <f t="shared" ref="BC95" si="378">SUMPRODUCT(AX76:AX94,BC76:BC94)/AX95</f>
        <v>34444.150438004806</v>
      </c>
      <c r="BD95" s="253">
        <f t="shared" ref="BD95" si="379">SUM(BD76:BD94)</f>
        <v>40.797253999999924</v>
      </c>
      <c r="BE95" s="306">
        <f>SUM(BE76:BE94)</f>
        <v>1</v>
      </c>
      <c r="BF95" s="294">
        <f t="shared" ref="BF95" si="380">SUMPRODUCT(BD76:BD94,BF76:BF94)/BD95</f>
        <v>100462.53211061738</v>
      </c>
      <c r="BG95" s="255">
        <f t="shared" ref="BG95" si="381">SUMPRODUCT(BD76:BD94,BG76:BG94)/BD95</f>
        <v>67670.210182399314</v>
      </c>
      <c r="BH95" s="255">
        <f t="shared" ref="BH95" si="382">SUMPRODUCT(BD76:BD94,BH76:BH94)/BD95</f>
        <v>14786.140753492893</v>
      </c>
      <c r="BI95" s="294">
        <f t="shared" ref="BI95" si="383">SUMPRODUCT(BD76:BD94,BI76:BI94)/BD95</f>
        <v>18006.181174725167</v>
      </c>
      <c r="BJ95" s="253">
        <f t="shared" ref="BJ95" si="384">SUM(BJ76:BJ94)</f>
        <v>22.927463999999969</v>
      </c>
      <c r="BK95" s="306">
        <f>SUM(BK76:BK94)</f>
        <v>1</v>
      </c>
      <c r="BL95" s="294">
        <f t="shared" ref="BL95" si="385">SUMPRODUCT(BJ76:BJ94,BL76:BL94)/BJ95</f>
        <v>99892.298162588078</v>
      </c>
      <c r="BM95" s="255">
        <f t="shared" ref="BM95" si="386">SUMPRODUCT(BJ76:BJ94,BM76:BM94)/BJ95</f>
        <v>66566.913052398639</v>
      </c>
      <c r="BN95" s="255">
        <f t="shared" ref="BN95" si="387">SUMPRODUCT(BJ76:BJ94,BN76:BN94)/BJ95</f>
        <v>11994.792359067729</v>
      </c>
      <c r="BO95" s="294">
        <f t="shared" ref="BO95" si="388">SUMPRODUCT(BJ76:BJ94,BO76:BO94)/BJ95</f>
        <v>21330.592751121716</v>
      </c>
      <c r="BP95" s="253">
        <f t="shared" ref="BP95" si="389">SUM(BP76:BP94)</f>
        <v>36.891291999999979</v>
      </c>
      <c r="BQ95" s="306">
        <f>SUM(BQ76:BQ94)</f>
        <v>1</v>
      </c>
      <c r="BR95" s="294">
        <f t="shared" ref="BR95" si="390">SUMPRODUCT(BP76:BP94,BR76:BR94)/BP95</f>
        <v>108034.01680808584</v>
      </c>
      <c r="BS95" s="255">
        <f t="shared" ref="BS95" si="391">SUMPRODUCT(BP76:BP94,BS76:BS94)/BP95</f>
        <v>69830.805570623605</v>
      </c>
      <c r="BT95" s="255">
        <f t="shared" ref="BT95" si="392">SUMPRODUCT(BP76:BP94,BT76:BT94)/BP95</f>
        <v>17033.60158814715</v>
      </c>
      <c r="BU95" s="294">
        <f t="shared" ref="BU95" si="393">SUMPRODUCT(BP76:BP94,BU76:BU94)/BP95</f>
        <v>21169.609649315058</v>
      </c>
      <c r="BW95" s="294">
        <f>SUM(BW76:BW94)</f>
        <v>44.674595999999973</v>
      </c>
      <c r="BX95" s="306">
        <f>SUM(BX76:BX94)</f>
        <v>1</v>
      </c>
      <c r="BY95" s="294">
        <f>SUMPRODUCT(BW76:BW94,BY76:BY94)/BW95</f>
        <v>106637.90490685144</v>
      </c>
      <c r="BZ95" s="294">
        <f>SUMPRODUCT(BW76:BW94,BZ76:BZ94)/BW95</f>
        <v>67735.299139134921</v>
      </c>
      <c r="CA95" s="255">
        <f>SUMPRODUCT(BW76:BW94,CA76:CA94)/BW95</f>
        <v>15064.484075021073</v>
      </c>
      <c r="CB95" s="255">
        <f>SUMPRODUCT(BW76:BW94,CB76:CB94)/BW95</f>
        <v>23838.121692695451</v>
      </c>
      <c r="CC95" s="294">
        <f>SUM(CC76:CC94)</f>
        <v>48.108685999999999</v>
      </c>
      <c r="CD95" s="306">
        <f>SUM(CD76:CD94)</f>
        <v>1</v>
      </c>
      <c r="CE95" s="294">
        <f>SUMPRODUCT(CC76:CC94,CE76:CE94)/CC95</f>
        <v>110313.45690880029</v>
      </c>
      <c r="CF95" s="294">
        <f>SUMPRODUCT(CC76:CC94,CF76:CF94)/CC95</f>
        <v>67853.724439491023</v>
      </c>
      <c r="CG95" s="255">
        <f>SUMPRODUCT(CC76:CC94,CG76:CG94)/CC95</f>
        <v>19681.261508576652</v>
      </c>
      <c r="CH95" s="255">
        <f>SUMPRODUCT(CC76:CC94,CH76:CH94)/CC95</f>
        <v>22778.470960732619</v>
      </c>
      <c r="CI95" s="294">
        <f>SUM(CI76:CI94)</f>
        <v>43.061653999999983</v>
      </c>
      <c r="CJ95" s="306">
        <f>SUM(CJ76:CJ94)</f>
        <v>0.99999999999999989</v>
      </c>
      <c r="CK95" s="294">
        <f>SUMPRODUCT(CI76:CI94,CK76:CK94)/CI95</f>
        <v>108126.7809638711</v>
      </c>
      <c r="CL95" s="294">
        <f>SUMPRODUCT(CI76:CI94,CL76:CL94)/CI95</f>
        <v>69569.258375085279</v>
      </c>
      <c r="CM95" s="255">
        <f>SUMPRODUCT(CI76:CI94,CM76:CM94)/CI95</f>
        <v>18927.726974909056</v>
      </c>
      <c r="CN95" s="255">
        <f>SUMPRODUCT(CI76:CI94,CN76:CN94)/CI95</f>
        <v>19629.795613876773</v>
      </c>
      <c r="CO95" s="294">
        <f>SUM(CO76:CO94)</f>
        <v>28.904928000000009</v>
      </c>
      <c r="CP95" s="306">
        <f>SUM(CP76:CP94)</f>
        <v>0.99999999999999978</v>
      </c>
      <c r="CQ95" s="294">
        <f>SUMPRODUCT(CO76:CO94,CQ76:CQ94)/CO95</f>
        <v>110109.36681800419</v>
      </c>
      <c r="CR95" s="294">
        <f>SUMPRODUCT(CO76:CO94,CR76:CR94)/CO95</f>
        <v>70028.611628467959</v>
      </c>
      <c r="CS95" s="255">
        <f>SUMPRODUCT(CO76:CO94,CS76:CS94)/CO95</f>
        <v>15608.905858544253</v>
      </c>
      <c r="CT95" s="255">
        <f>SUMPRODUCT(CO76:CO94,CT76:CT94)/CO95</f>
        <v>24471.849330991958</v>
      </c>
      <c r="CU95" s="294">
        <f>SUM(CU76:CU94)</f>
        <v>22.730563999999976</v>
      </c>
      <c r="CV95" s="306">
        <f>SUM(CV76:CV94)</f>
        <v>1.0012318216125213</v>
      </c>
      <c r="CW95" s="294">
        <f>SUMPRODUCT(CU76:CU94,CW76:CW94)/CU95</f>
        <v>104604.58570231702</v>
      </c>
      <c r="CX95" s="294">
        <f>SUMPRODUCT(CU76:CU94,CX76:CX94)/CU95</f>
        <v>72285.749537302254</v>
      </c>
      <c r="CY95" s="255">
        <f>SUMPRODUCT(CU76:CU94,CY76:CY94)/CU95</f>
        <v>15436.131281212392</v>
      </c>
      <c r="CZ95" s="255">
        <f>SUMPRODUCT(CU76:CU94,CZ76:CZ94)/CU95</f>
        <v>16882.704883802366</v>
      </c>
      <c r="DA95" s="294">
        <f>SUM(DA76:DA94)</f>
        <v>44.870303999999969</v>
      </c>
      <c r="DB95" s="306">
        <f>SUM(DB76:DB94)</f>
        <v>1</v>
      </c>
      <c r="DC95" s="294">
        <f>SUMPRODUCT(DA76:DA94,DC76:DC94)/DA95</f>
        <v>103078.82291147402</v>
      </c>
      <c r="DD95" s="294">
        <f>SUMPRODUCT(DA76:DA94,DD76:DD94)/DA95</f>
        <v>76380.392694949289</v>
      </c>
      <c r="DE95" s="255">
        <f>SUMPRODUCT(DA76:DA94,DE76:DE94)/DA95</f>
        <v>14395.336167100639</v>
      </c>
      <c r="DF95" s="255">
        <f>SUMPRODUCT(DA76:DA94,DF76:DF94)/DA95</f>
        <v>12303.094049424106</v>
      </c>
      <c r="DG95" s="294">
        <f>SUM(DG76:DG94)</f>
        <v>22.04648999999997</v>
      </c>
      <c r="DH95" s="306">
        <f>SUM(DH76:DH94)</f>
        <v>1.0000000000000002</v>
      </c>
      <c r="DI95" s="294">
        <f>SUMPRODUCT(DG76:DG94,DI76:DI94)/DG95</f>
        <v>101206.74765007959</v>
      </c>
      <c r="DJ95" s="294">
        <f>SUMPRODUCT(DG76:DG94,DJ76:DJ94)/DG95</f>
        <v>76463.186419210571</v>
      </c>
      <c r="DK95" s="255">
        <f>SUMPRODUCT(DG76:DG94,DK76:DK94)/DG95</f>
        <v>14894.340550355199</v>
      </c>
      <c r="DL95" s="255">
        <f>SUMPRODUCT(DG76:DG94,DL76:DL94)/DG95</f>
        <v>9849.2206805138212</v>
      </c>
      <c r="DM95" s="294">
        <f>SUM(DM76:DM94)</f>
        <v>13.571187999999989</v>
      </c>
      <c r="DN95" s="306">
        <f>SUM(DN76:DN94)</f>
        <v>0.99999999999999989</v>
      </c>
      <c r="DO95" s="294">
        <f>SUMPRODUCT(DM76:DM94,DO76:DO94)/DM95</f>
        <v>102928.93739295352</v>
      </c>
      <c r="DP95" s="294">
        <f>SUMPRODUCT(DM76:DM94,DP76:DP94)/DM95</f>
        <v>76405.644577055602</v>
      </c>
      <c r="DQ95" s="255">
        <f>SUMPRODUCT(DM76:DM94,DQ76:DQ94)/DM95</f>
        <v>15990.502821123706</v>
      </c>
      <c r="DR95" s="255">
        <f>SUMPRODUCT(DM76:DM94,DR76:DR94)/DM95</f>
        <v>10532.789994774193</v>
      </c>
      <c r="DS95" s="294">
        <f>SUM(DS76:DS94)</f>
        <v>22.290096000000002</v>
      </c>
      <c r="DT95" s="306">
        <f>SUM(DT76:DT94)</f>
        <v>1</v>
      </c>
      <c r="DU95" s="294">
        <f>SUMPRODUCT(DS76:DS94,DU76:DU94)/DS95</f>
        <v>107462.07553345662</v>
      </c>
      <c r="DV95" s="294">
        <f>SUMPRODUCT(DS76:DS94,DV76:DV94)/DS95</f>
        <v>74989.574821039394</v>
      </c>
      <c r="DW95" s="255">
        <f>SUMPRODUCT(DS76:DS94,DW76:DW94)/DS95</f>
        <v>16470.636106726502</v>
      </c>
      <c r="DX95" s="255">
        <f>SUMPRODUCT(DS76:DS94,DX76:DX94)/DS95</f>
        <v>16001.864605690718</v>
      </c>
      <c r="DY95" s="294">
        <f>SUM(DY76:DY94)</f>
        <v>44.039013999999966</v>
      </c>
      <c r="DZ95" s="306">
        <f>SUM(DZ76:DZ94)</f>
        <v>1</v>
      </c>
      <c r="EA95" s="294">
        <f>SUMPRODUCT(DY76:DY94,EA76:EA94)/DY95</f>
        <v>98285.672335897543</v>
      </c>
      <c r="EB95" s="294">
        <f>SUMPRODUCT(DY76:DY94,EB76:EB94)/DY95</f>
        <v>74248.501814042742</v>
      </c>
      <c r="EC95" s="255">
        <f>SUMPRODUCT(DY76:DY94,EC76:EC94)/DY95</f>
        <v>18081.221573216888</v>
      </c>
      <c r="ED95" s="255">
        <f>SUMPRODUCT(DY76:DY94,ED76:ED94)/DY95</f>
        <v>5955.9489486379252</v>
      </c>
      <c r="EE95" s="294">
        <f>SUM(EE76:EE94)</f>
        <v>28.370563999999973</v>
      </c>
      <c r="EF95" s="306">
        <f>SUM(EF76:EF94)</f>
        <v>1</v>
      </c>
      <c r="EG95" s="294">
        <f>SUMPRODUCT(EE76:EE94,EG76:EG94)/EE95</f>
        <v>100797.43885246714</v>
      </c>
      <c r="EH95" s="294">
        <f>SUMPRODUCT(EE76:EE94,EH76:EH94)/EE95</f>
        <v>76604.9998616347</v>
      </c>
      <c r="EI95" s="255">
        <f>SUMPRODUCT(EE76:EE94,EI76:EI94)/EE95</f>
        <v>17144.28835464815</v>
      </c>
      <c r="EJ95" s="255">
        <f>SUMPRODUCT(EE76:EE94,EJ76:EJ94)/EE95</f>
        <v>7048.1506361842903</v>
      </c>
      <c r="EK95" s="294">
        <f>SUM(EK76:EK81)</f>
        <v>23.274101000000005</v>
      </c>
      <c r="EL95" s="306">
        <v>1</v>
      </c>
      <c r="EM95" s="294">
        <f>SUMPRODUCT(EK76:EK94,EM76:EM94)/EK95</f>
        <v>105925.76443661557</v>
      </c>
      <c r="EN95" s="294">
        <f>SUMPRODUCT(EK76:EK94,EN76:EN94)/EK95</f>
        <v>78516.133253008564</v>
      </c>
      <c r="EO95" s="255">
        <f>SUMPRODUCT(EK76:EK94,EO76:EO94)/EK95</f>
        <v>19973.652688024344</v>
      </c>
      <c r="EP95" s="255">
        <f>SUMPRODUCT(EK76:EK81,EP76:EP81)/EK95</f>
        <v>7435.9784955826617</v>
      </c>
    </row>
    <row r="96" spans="1:146">
      <c r="B96"/>
      <c r="H96"/>
      <c r="N96"/>
      <c r="T96"/>
      <c r="Z96"/>
      <c r="AF96"/>
      <c r="AP96" s="283">
        <f>AP95/AN95</f>
        <v>0.14717375173816727</v>
      </c>
      <c r="AV96" s="283">
        <f>AV95/AT95</f>
        <v>0.14052218649327253</v>
      </c>
      <c r="BB96" s="283">
        <f>BB95/AZ95</f>
        <v>9.5203097224774602E-2</v>
      </c>
      <c r="BW96"/>
    </row>
    <row r="97" spans="2:146">
      <c r="B97"/>
      <c r="H97"/>
      <c r="N97"/>
      <c r="T97"/>
      <c r="Z97"/>
      <c r="AF97"/>
      <c r="BW97"/>
      <c r="EM97" s="303">
        <f>SUMPRODUCT(EK76:EK94,EM76:EM94)/EK95</f>
        <v>105925.76443661557</v>
      </c>
      <c r="EN97" s="303"/>
      <c r="EO97" s="303"/>
      <c r="EP97" s="303"/>
    </row>
    <row r="98" spans="2:146">
      <c r="B98"/>
      <c r="H98"/>
      <c r="N98"/>
      <c r="T98"/>
      <c r="Z98"/>
      <c r="AF98"/>
      <c r="BW98"/>
    </row>
    <row r="99" spans="2:146">
      <c r="B99"/>
      <c r="H99"/>
      <c r="N99"/>
      <c r="T99"/>
      <c r="Z99"/>
      <c r="AF99"/>
      <c r="BW99"/>
    </row>
    <row r="100" spans="2:146">
      <c r="B100"/>
      <c r="H100"/>
      <c r="N100"/>
      <c r="T100"/>
      <c r="Z100"/>
      <c r="AF100"/>
      <c r="BW100"/>
    </row>
    <row r="101" spans="2:146">
      <c r="B101"/>
      <c r="H101"/>
      <c r="N101"/>
      <c r="T101"/>
      <c r="Z101"/>
      <c r="AF101"/>
      <c r="BW101"/>
    </row>
    <row r="102" spans="2:146">
      <c r="B102"/>
      <c r="H102"/>
      <c r="N102"/>
      <c r="T102"/>
      <c r="Z102"/>
      <c r="AF102"/>
      <c r="BW102"/>
    </row>
    <row r="103" spans="2:146">
      <c r="B103"/>
      <c r="H103"/>
      <c r="N103"/>
      <c r="T103"/>
      <c r="Z103"/>
      <c r="AF103"/>
      <c r="BW103"/>
    </row>
    <row r="104" spans="2:146">
      <c r="B104"/>
      <c r="H104"/>
      <c r="N104"/>
      <c r="T104"/>
      <c r="Z104"/>
      <c r="AF104"/>
      <c r="BW104"/>
    </row>
    <row r="105" spans="2:146">
      <c r="B105"/>
      <c r="H105"/>
      <c r="N105"/>
      <c r="T105"/>
      <c r="Z105"/>
      <c r="AF105"/>
      <c r="BW105"/>
    </row>
    <row r="106" spans="2:146">
      <c r="B106"/>
      <c r="H106"/>
      <c r="N106"/>
      <c r="T106"/>
      <c r="Z106"/>
      <c r="AF106"/>
      <c r="BW106"/>
    </row>
    <row r="107" spans="2:146">
      <c r="B107"/>
      <c r="H107"/>
      <c r="N107"/>
      <c r="T107"/>
      <c r="Z107"/>
      <c r="AF107"/>
      <c r="BW107"/>
    </row>
    <row r="108" spans="2:146">
      <c r="B108"/>
      <c r="H108"/>
      <c r="N108"/>
      <c r="T108"/>
      <c r="Z108"/>
      <c r="AF108"/>
      <c r="BW108"/>
    </row>
    <row r="109" spans="2:146">
      <c r="B109"/>
      <c r="H109"/>
      <c r="N109"/>
      <c r="T109"/>
      <c r="Z109"/>
      <c r="AF109"/>
      <c r="BW109"/>
    </row>
    <row r="110" spans="2:146">
      <c r="B110"/>
      <c r="H110"/>
      <c r="N110"/>
      <c r="T110"/>
      <c r="Z110"/>
      <c r="AF110"/>
      <c r="BW110"/>
    </row>
    <row r="111" spans="2:146">
      <c r="B111"/>
      <c r="H111"/>
      <c r="N111"/>
      <c r="T111"/>
      <c r="Z111"/>
      <c r="AF111"/>
      <c r="BW111"/>
    </row>
    <row r="112" spans="2:146">
      <c r="B112"/>
      <c r="H112"/>
      <c r="N112"/>
      <c r="T112"/>
      <c r="Z112"/>
      <c r="AF112"/>
      <c r="BW112"/>
    </row>
    <row r="113" spans="2:75">
      <c r="B113"/>
      <c r="H113"/>
      <c r="N113"/>
      <c r="T113"/>
      <c r="Z113"/>
      <c r="AF113"/>
      <c r="BW113"/>
    </row>
    <row r="114" spans="2:75">
      <c r="B114"/>
      <c r="H114"/>
      <c r="N114"/>
      <c r="T114"/>
      <c r="Z114"/>
      <c r="AF114"/>
      <c r="BW114"/>
    </row>
    <row r="115" spans="2:75">
      <c r="B115"/>
      <c r="H115"/>
      <c r="N115"/>
      <c r="T115"/>
      <c r="Z115"/>
      <c r="AF115"/>
      <c r="BW115"/>
    </row>
    <row r="116" spans="2:75">
      <c r="B116"/>
      <c r="H116"/>
      <c r="N116"/>
      <c r="T116"/>
      <c r="Z116"/>
      <c r="AF116"/>
      <c r="BW116"/>
    </row>
    <row r="117" spans="2:75">
      <c r="B117"/>
      <c r="H117"/>
      <c r="N117"/>
      <c r="T117"/>
      <c r="Z117"/>
      <c r="AF117"/>
      <c r="BW117"/>
    </row>
    <row r="118" spans="2:75">
      <c r="B118"/>
      <c r="H118"/>
      <c r="N118"/>
      <c r="T118"/>
      <c r="Z118"/>
      <c r="AF118"/>
      <c r="BW118"/>
    </row>
    <row r="119" spans="2:75">
      <c r="B119"/>
      <c r="H119"/>
      <c r="N119"/>
      <c r="T119"/>
      <c r="Z119"/>
      <c r="AF119"/>
      <c r="BW119"/>
    </row>
    <row r="120" spans="2:75">
      <c r="B120"/>
      <c r="H120"/>
      <c r="N120"/>
      <c r="T120"/>
      <c r="Z120"/>
      <c r="AF120"/>
      <c r="BW120"/>
    </row>
    <row r="121" spans="2:75">
      <c r="B121"/>
      <c r="H121"/>
      <c r="N121"/>
      <c r="T121"/>
      <c r="Z121"/>
      <c r="AF121"/>
      <c r="BW121"/>
    </row>
    <row r="122" spans="2:75">
      <c r="B122"/>
      <c r="H122"/>
      <c r="N122"/>
      <c r="T122"/>
      <c r="Z122"/>
      <c r="AF122"/>
      <c r="BW122"/>
    </row>
    <row r="123" spans="2:75">
      <c r="B123"/>
      <c r="H123"/>
      <c r="N123"/>
      <c r="T123"/>
      <c r="Z123"/>
      <c r="AF123"/>
      <c r="BW123"/>
    </row>
    <row r="124" spans="2:75">
      <c r="B124"/>
      <c r="H124"/>
      <c r="N124"/>
      <c r="T124"/>
      <c r="Z124"/>
      <c r="AF124"/>
      <c r="BW124"/>
    </row>
    <row r="125" spans="2:75">
      <c r="B125"/>
      <c r="H125"/>
      <c r="N125"/>
      <c r="T125"/>
      <c r="Z125"/>
      <c r="AF125"/>
      <c r="BW125"/>
    </row>
    <row r="126" spans="2:75">
      <c r="B126"/>
      <c r="H126"/>
      <c r="N126"/>
      <c r="T126"/>
      <c r="Z126"/>
      <c r="AF126"/>
      <c r="BW126"/>
    </row>
    <row r="127" spans="2:75">
      <c r="B127"/>
      <c r="H127"/>
      <c r="N127"/>
      <c r="T127"/>
      <c r="Z127"/>
      <c r="AF127"/>
      <c r="BW127"/>
    </row>
    <row r="128" spans="2:75">
      <c r="B128"/>
      <c r="H128"/>
      <c r="N128"/>
      <c r="T128"/>
      <c r="Z128"/>
      <c r="AF128"/>
      <c r="BW128"/>
    </row>
    <row r="129" spans="2:75">
      <c r="B129"/>
      <c r="H129"/>
      <c r="N129"/>
      <c r="T129"/>
      <c r="Z129"/>
      <c r="AF129"/>
      <c r="BW129"/>
    </row>
    <row r="130" spans="2:75">
      <c r="B130"/>
      <c r="H130"/>
      <c r="N130"/>
      <c r="T130"/>
      <c r="Z130"/>
      <c r="AF130"/>
      <c r="BW130"/>
    </row>
    <row r="131" spans="2:75">
      <c r="B131"/>
      <c r="H131"/>
      <c r="N131"/>
      <c r="T131"/>
      <c r="Z131"/>
      <c r="AF131"/>
      <c r="BW131"/>
    </row>
    <row r="132" spans="2:75">
      <c r="B132"/>
      <c r="H132"/>
      <c r="N132"/>
      <c r="T132"/>
      <c r="Z132"/>
      <c r="AF132"/>
      <c r="BW132"/>
    </row>
    <row r="133" spans="2:75">
      <c r="B133"/>
      <c r="H133"/>
      <c r="N133"/>
      <c r="T133"/>
      <c r="Z133"/>
      <c r="AF133"/>
      <c r="BW133"/>
    </row>
    <row r="134" spans="2:75">
      <c r="B134"/>
      <c r="H134"/>
      <c r="N134"/>
      <c r="T134"/>
      <c r="Z134"/>
      <c r="AF134"/>
      <c r="BW134"/>
    </row>
    <row r="135" spans="2:75">
      <c r="B135"/>
      <c r="H135"/>
      <c r="N135"/>
      <c r="T135"/>
      <c r="Z135"/>
      <c r="AF135"/>
      <c r="BW135"/>
    </row>
    <row r="136" spans="2:75">
      <c r="B136"/>
      <c r="H136"/>
      <c r="N136"/>
      <c r="T136"/>
      <c r="Z136"/>
      <c r="AF136"/>
      <c r="BW136"/>
    </row>
    <row r="137" spans="2:75">
      <c r="B137"/>
      <c r="H137"/>
      <c r="N137"/>
      <c r="T137"/>
      <c r="Z137"/>
      <c r="AF137"/>
      <c r="BW137"/>
    </row>
    <row r="138" spans="2:75">
      <c r="B138"/>
      <c r="H138"/>
      <c r="N138"/>
      <c r="T138"/>
      <c r="Z138"/>
      <c r="AF138"/>
      <c r="BW138"/>
    </row>
    <row r="139" spans="2:75">
      <c r="B139"/>
      <c r="H139"/>
      <c r="N139"/>
      <c r="T139"/>
      <c r="Z139"/>
      <c r="AF139"/>
      <c r="BW139"/>
    </row>
    <row r="140" spans="2:75">
      <c r="B140"/>
      <c r="H140"/>
      <c r="N140"/>
      <c r="T140"/>
      <c r="Z140"/>
      <c r="AF140"/>
      <c r="BW140"/>
    </row>
    <row r="141" spans="2:75">
      <c r="B141"/>
      <c r="H141"/>
      <c r="N141"/>
      <c r="T141"/>
      <c r="Z141"/>
      <c r="AF141"/>
      <c r="BW141"/>
    </row>
    <row r="142" spans="2:75">
      <c r="B142"/>
      <c r="H142"/>
      <c r="N142"/>
      <c r="T142"/>
      <c r="Z142"/>
      <c r="AF142"/>
      <c r="BW142"/>
    </row>
    <row r="143" spans="2:75">
      <c r="B143"/>
      <c r="H143"/>
      <c r="N143"/>
      <c r="T143"/>
      <c r="Z143"/>
      <c r="AF143"/>
      <c r="BW143"/>
    </row>
    <row r="144" spans="2:75">
      <c r="B144"/>
      <c r="H144"/>
      <c r="N144"/>
      <c r="T144"/>
      <c r="Z144"/>
      <c r="AF144"/>
      <c r="BW144"/>
    </row>
    <row r="145" spans="2:75">
      <c r="B145"/>
      <c r="H145"/>
      <c r="N145"/>
      <c r="T145"/>
      <c r="Z145"/>
      <c r="AF145"/>
      <c r="BW145"/>
    </row>
    <row r="146" spans="2:75">
      <c r="B146"/>
      <c r="H146"/>
      <c r="N146"/>
      <c r="T146"/>
      <c r="Z146"/>
      <c r="AF146"/>
      <c r="BW146"/>
    </row>
    <row r="147" spans="2:75">
      <c r="B147"/>
      <c r="H147"/>
      <c r="N147"/>
      <c r="T147"/>
      <c r="Z147"/>
      <c r="AF147"/>
      <c r="BW147"/>
    </row>
    <row r="148" spans="2:75">
      <c r="B148"/>
      <c r="H148"/>
      <c r="N148"/>
      <c r="T148"/>
      <c r="Z148"/>
      <c r="AF148"/>
      <c r="BW148"/>
    </row>
    <row r="149" spans="2:75">
      <c r="B149"/>
      <c r="H149"/>
      <c r="N149"/>
      <c r="T149"/>
      <c r="Z149"/>
      <c r="AF149"/>
      <c r="BW149"/>
    </row>
    <row r="150" spans="2:75">
      <c r="B150"/>
      <c r="H150"/>
      <c r="N150"/>
      <c r="T150"/>
      <c r="Z150"/>
      <c r="AF150"/>
      <c r="BW150"/>
    </row>
    <row r="151" spans="2:75">
      <c r="B151"/>
      <c r="H151"/>
      <c r="N151"/>
      <c r="T151"/>
      <c r="Z151"/>
      <c r="AF151"/>
      <c r="BW151"/>
    </row>
    <row r="152" spans="2:75">
      <c r="B152"/>
      <c r="H152"/>
      <c r="N152"/>
      <c r="T152"/>
      <c r="Z152"/>
      <c r="AF152"/>
      <c r="BW152"/>
    </row>
    <row r="153" spans="2:75">
      <c r="B153"/>
      <c r="H153"/>
      <c r="N153"/>
      <c r="T153"/>
      <c r="Z153"/>
      <c r="AF153"/>
      <c r="BW153"/>
    </row>
    <row r="154" spans="2:75">
      <c r="B154"/>
      <c r="H154"/>
      <c r="N154"/>
      <c r="T154"/>
      <c r="Z154"/>
      <c r="AF154"/>
      <c r="BW154"/>
    </row>
    <row r="155" spans="2:75">
      <c r="B155"/>
      <c r="H155"/>
      <c r="N155"/>
      <c r="T155"/>
      <c r="Z155"/>
      <c r="AF155"/>
      <c r="BW155"/>
    </row>
    <row r="156" spans="2:75">
      <c r="B156"/>
      <c r="H156"/>
      <c r="N156"/>
      <c r="T156"/>
      <c r="Z156"/>
      <c r="AF156"/>
      <c r="BW156"/>
    </row>
    <row r="157" spans="2:75">
      <c r="B157"/>
      <c r="H157"/>
      <c r="N157"/>
      <c r="T157"/>
      <c r="Z157"/>
      <c r="AF157"/>
      <c r="BW157"/>
    </row>
    <row r="158" spans="2:75">
      <c r="B158"/>
      <c r="H158"/>
      <c r="N158"/>
      <c r="T158"/>
      <c r="Z158"/>
      <c r="AF158"/>
      <c r="BW158"/>
    </row>
    <row r="159" spans="2:75">
      <c r="B159"/>
      <c r="H159"/>
      <c r="N159"/>
      <c r="T159"/>
      <c r="Z159"/>
      <c r="AF159"/>
      <c r="BW159"/>
    </row>
    <row r="160" spans="2:75">
      <c r="B160"/>
      <c r="H160"/>
      <c r="N160"/>
      <c r="T160"/>
      <c r="Z160"/>
      <c r="AF160"/>
      <c r="BW160"/>
    </row>
    <row r="161" spans="2:75">
      <c r="B161"/>
      <c r="H161"/>
      <c r="N161"/>
      <c r="T161"/>
      <c r="Z161"/>
      <c r="AF161"/>
      <c r="BW161"/>
    </row>
    <row r="162" spans="2:75">
      <c r="B162"/>
      <c r="H162"/>
      <c r="N162"/>
      <c r="T162"/>
      <c r="Z162"/>
      <c r="AF162"/>
      <c r="BW162"/>
    </row>
    <row r="163" spans="2:75">
      <c r="B163"/>
      <c r="H163"/>
      <c r="N163"/>
      <c r="T163"/>
      <c r="Z163"/>
      <c r="AF163"/>
      <c r="BW163"/>
    </row>
    <row r="164" spans="2:75">
      <c r="B164"/>
      <c r="H164"/>
      <c r="N164"/>
      <c r="T164"/>
      <c r="Z164"/>
      <c r="AF164"/>
      <c r="BW164"/>
    </row>
    <row r="165" spans="2:75">
      <c r="B165"/>
      <c r="H165"/>
      <c r="N165"/>
      <c r="T165"/>
      <c r="Z165"/>
      <c r="AF165"/>
      <c r="BW165"/>
    </row>
    <row r="166" spans="2:75">
      <c r="B166"/>
      <c r="H166"/>
      <c r="N166"/>
      <c r="T166"/>
      <c r="Z166"/>
      <c r="AF166"/>
      <c r="BW166"/>
    </row>
    <row r="167" spans="2:75">
      <c r="B167"/>
      <c r="H167"/>
      <c r="N167"/>
      <c r="T167"/>
      <c r="Z167"/>
      <c r="AF167"/>
      <c r="BW167"/>
    </row>
    <row r="168" spans="2:75">
      <c r="B168"/>
      <c r="H168"/>
      <c r="N168"/>
      <c r="T168"/>
      <c r="Z168"/>
      <c r="AF168"/>
      <c r="BW168"/>
    </row>
    <row r="169" spans="2:75">
      <c r="B169"/>
      <c r="H169"/>
      <c r="N169"/>
      <c r="T169"/>
      <c r="Z169"/>
      <c r="AF169"/>
      <c r="BW169"/>
    </row>
    <row r="170" spans="2:75">
      <c r="B170"/>
      <c r="H170"/>
      <c r="N170"/>
      <c r="T170"/>
      <c r="Z170"/>
      <c r="AF170"/>
      <c r="BW170"/>
    </row>
    <row r="171" spans="2:75">
      <c r="B171"/>
      <c r="H171"/>
      <c r="N171"/>
      <c r="T171"/>
      <c r="Z171"/>
      <c r="AF171"/>
      <c r="BW171"/>
    </row>
    <row r="172" spans="2:75">
      <c r="B172"/>
      <c r="H172"/>
      <c r="N172"/>
      <c r="T172"/>
      <c r="Z172"/>
      <c r="AF172"/>
      <c r="BW172"/>
    </row>
    <row r="173" spans="2:75">
      <c r="B173"/>
      <c r="H173"/>
      <c r="N173"/>
      <c r="T173"/>
      <c r="Z173"/>
      <c r="AF173"/>
      <c r="BW173"/>
    </row>
  </sheetData>
  <mergeCells count="75">
    <mergeCell ref="EK4:EP4"/>
    <mergeCell ref="EK34:EP34"/>
    <mergeCell ref="EK74:EP74"/>
    <mergeCell ref="DY4:ED4"/>
    <mergeCell ref="DY34:ED34"/>
    <mergeCell ref="DY74:ED74"/>
    <mergeCell ref="EE4:EJ4"/>
    <mergeCell ref="EE34:EJ34"/>
    <mergeCell ref="EE74:EJ74"/>
    <mergeCell ref="DS4:DX4"/>
    <mergeCell ref="DS34:DX34"/>
    <mergeCell ref="DS74:DX74"/>
    <mergeCell ref="DM4:DR4"/>
    <mergeCell ref="DM34:DR34"/>
    <mergeCell ref="DM74:DR74"/>
    <mergeCell ref="Z4:AE4"/>
    <mergeCell ref="A2:D2"/>
    <mergeCell ref="B4:G4"/>
    <mergeCell ref="H4:M4"/>
    <mergeCell ref="N4:S4"/>
    <mergeCell ref="T4:Y4"/>
    <mergeCell ref="AF4:AK4"/>
    <mergeCell ref="AL4:AQ4"/>
    <mergeCell ref="BJ34:BO34"/>
    <mergeCell ref="AR4:AW4"/>
    <mergeCell ref="AX4:BC4"/>
    <mergeCell ref="BD4:BI4"/>
    <mergeCell ref="BD34:BI34"/>
    <mergeCell ref="BJ4:BO4"/>
    <mergeCell ref="A32:D32"/>
    <mergeCell ref="B34:G34"/>
    <mergeCell ref="H34:M34"/>
    <mergeCell ref="N34:S34"/>
    <mergeCell ref="T34:Y34"/>
    <mergeCell ref="Z34:AE34"/>
    <mergeCell ref="AF34:AK34"/>
    <mergeCell ref="AL34:AQ34"/>
    <mergeCell ref="AR34:AW34"/>
    <mergeCell ref="AX34:BC34"/>
    <mergeCell ref="DA4:DF4"/>
    <mergeCell ref="DA34:DF34"/>
    <mergeCell ref="CO34:CT34"/>
    <mergeCell ref="BP34:BU34"/>
    <mergeCell ref="BW34:CB34"/>
    <mergeCell ref="CC34:CH34"/>
    <mergeCell ref="CI34:CN34"/>
    <mergeCell ref="CU4:CZ4"/>
    <mergeCell ref="CO4:CT4"/>
    <mergeCell ref="CU34:CZ34"/>
    <mergeCell ref="BP4:BU4"/>
    <mergeCell ref="BW4:CB4"/>
    <mergeCell ref="CC4:CH4"/>
    <mergeCell ref="CI4:CN4"/>
    <mergeCell ref="DG4:DL4"/>
    <mergeCell ref="DG34:DL34"/>
    <mergeCell ref="A72:D72"/>
    <mergeCell ref="B74:G74"/>
    <mergeCell ref="H74:M74"/>
    <mergeCell ref="N74:S74"/>
    <mergeCell ref="T74:Y74"/>
    <mergeCell ref="Z74:AE74"/>
    <mergeCell ref="AF74:AK74"/>
    <mergeCell ref="AL74:AQ74"/>
    <mergeCell ref="AR74:AW74"/>
    <mergeCell ref="AX74:BC74"/>
    <mergeCell ref="BD74:BI74"/>
    <mergeCell ref="BJ74:BO74"/>
    <mergeCell ref="BP74:BU74"/>
    <mergeCell ref="BW74:CB74"/>
    <mergeCell ref="DG74:DL74"/>
    <mergeCell ref="CC74:CH74"/>
    <mergeCell ref="CI74:CN74"/>
    <mergeCell ref="CO74:CT74"/>
    <mergeCell ref="CU74:CZ74"/>
    <mergeCell ref="DA74:DF7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workbookViewId="0">
      <selection activeCell="A2" sqref="A2"/>
    </sheetView>
  </sheetViews>
  <sheetFormatPr defaultRowHeight="15"/>
  <cols>
    <col min="2" max="2" width="24.7109375" bestFit="1" customWidth="1"/>
    <col min="10" max="10" width="10.42578125" bestFit="1" customWidth="1"/>
    <col min="15" max="15" width="10" style="222" bestFit="1" customWidth="1"/>
  </cols>
  <sheetData>
    <row r="1" spans="2:15" ht="15.75" thickBot="1"/>
    <row r="2" spans="2:15" ht="15.75" thickBot="1">
      <c r="B2" s="97" t="s">
        <v>162</v>
      </c>
      <c r="C2" s="98"/>
      <c r="D2" s="98" t="s">
        <v>3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276"/>
    </row>
    <row r="3" spans="2:15" ht="15.75" thickBot="1">
      <c r="B3" s="100" t="s">
        <v>79</v>
      </c>
      <c r="C3" s="101" t="s">
        <v>80</v>
      </c>
      <c r="D3" s="101" t="s">
        <v>81</v>
      </c>
      <c r="E3" s="101" t="s">
        <v>82</v>
      </c>
      <c r="F3" s="101" t="s">
        <v>83</v>
      </c>
      <c r="G3" s="101" t="s">
        <v>84</v>
      </c>
      <c r="H3" s="101" t="s">
        <v>85</v>
      </c>
      <c r="I3" s="101" t="s">
        <v>86</v>
      </c>
      <c r="J3" s="101" t="s">
        <v>87</v>
      </c>
      <c r="K3" s="101" t="s">
        <v>88</v>
      </c>
      <c r="L3" s="101" t="s">
        <v>89</v>
      </c>
      <c r="M3" s="101" t="s">
        <v>90</v>
      </c>
      <c r="N3" s="101" t="s">
        <v>91</v>
      </c>
      <c r="O3" s="277" t="s">
        <v>92</v>
      </c>
    </row>
    <row r="4" spans="2:15">
      <c r="B4" s="103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8"/>
    </row>
    <row r="5" spans="2:15">
      <c r="B5" s="103" t="s">
        <v>109</v>
      </c>
      <c r="C5" s="279">
        <v>1524.9999999999998</v>
      </c>
      <c r="D5" s="279">
        <v>1625</v>
      </c>
      <c r="E5" s="279">
        <v>1514.9999999999998</v>
      </c>
      <c r="F5" s="279">
        <v>1500</v>
      </c>
      <c r="G5" s="279">
        <v>1500</v>
      </c>
      <c r="H5" s="279">
        <v>1465</v>
      </c>
      <c r="I5" s="279">
        <v>1541.6666666666665</v>
      </c>
      <c r="J5" s="279">
        <v>1391.666666666667</v>
      </c>
      <c r="K5" s="279">
        <v>1216.6666666666667</v>
      </c>
      <c r="L5" s="279">
        <v>1366.6666666666665</v>
      </c>
      <c r="M5" s="279">
        <v>1466.6666666666667</v>
      </c>
      <c r="N5" s="279">
        <v>1626.6666666666667</v>
      </c>
      <c r="O5" s="278">
        <f>SUM(C5:N5)</f>
        <v>17739.999999999996</v>
      </c>
    </row>
    <row r="6" spans="2:15">
      <c r="B6" s="103" t="s">
        <v>234</v>
      </c>
      <c r="C6" s="279">
        <v>104.80695777553311</v>
      </c>
      <c r="D6" s="279">
        <v>74.839702258032531</v>
      </c>
      <c r="E6" s="279">
        <v>90.60422032155256</v>
      </c>
      <c r="F6" s="279">
        <v>88.279720344481646</v>
      </c>
      <c r="G6" s="279">
        <v>90.008659446910997</v>
      </c>
      <c r="H6" s="279">
        <v>103.75179594086629</v>
      </c>
      <c r="I6" s="279">
        <v>159.41842148458827</v>
      </c>
      <c r="J6" s="279">
        <v>228.23206155722045</v>
      </c>
      <c r="K6" s="279">
        <v>211.02190625655413</v>
      </c>
      <c r="L6" s="279">
        <v>178.54289527925403</v>
      </c>
      <c r="M6" s="279">
        <v>77.380295813156565</v>
      </c>
      <c r="N6" s="279">
        <v>80.241363521849166</v>
      </c>
      <c r="O6" s="278">
        <f t="shared" ref="O6:O21" si="0">SUM(C6:N6)</f>
        <v>1487.1279999999997</v>
      </c>
    </row>
    <row r="7" spans="2:15">
      <c r="B7" s="103" t="s">
        <v>233</v>
      </c>
      <c r="C7" s="279">
        <v>13</v>
      </c>
      <c r="D7" s="279">
        <v>12</v>
      </c>
      <c r="E7" s="279">
        <v>16</v>
      </c>
      <c r="F7" s="279">
        <v>17.023339199999999</v>
      </c>
      <c r="G7" s="279">
        <v>17.023339199999999</v>
      </c>
      <c r="H7" s="279">
        <v>16</v>
      </c>
      <c r="I7" s="279">
        <v>29.2303392</v>
      </c>
      <c r="J7" s="279">
        <v>40</v>
      </c>
      <c r="K7" s="279">
        <v>23.2303392</v>
      </c>
      <c r="L7" s="279">
        <v>32.023339200000002</v>
      </c>
      <c r="M7" s="279">
        <v>13</v>
      </c>
      <c r="N7" s="279">
        <v>16.072696000000004</v>
      </c>
      <c r="O7" s="278">
        <f t="shared" si="0"/>
        <v>244.60339200000001</v>
      </c>
    </row>
    <row r="8" spans="2:15">
      <c r="B8" s="103" t="s">
        <v>116</v>
      </c>
      <c r="C8" s="279">
        <v>2.0833333333333339</v>
      </c>
      <c r="D8" s="279">
        <v>2.0833333333333339</v>
      </c>
      <c r="E8" s="279">
        <v>2.0833333333333339</v>
      </c>
      <c r="F8" s="279">
        <v>2.0833333333333339</v>
      </c>
      <c r="G8" s="279">
        <v>2.0833333333333339</v>
      </c>
      <c r="H8" s="279">
        <v>2.0833333333333339</v>
      </c>
      <c r="I8" s="279">
        <v>2.0833333333333339</v>
      </c>
      <c r="J8" s="279">
        <v>2.0833333333333339</v>
      </c>
      <c r="K8" s="279">
        <v>2.0833333333333339</v>
      </c>
      <c r="L8" s="279">
        <v>2.0833333333333339</v>
      </c>
      <c r="M8" s="279">
        <v>2.0833333333333339</v>
      </c>
      <c r="N8" s="279">
        <v>2.0833333333333339</v>
      </c>
      <c r="O8" s="278">
        <f t="shared" si="0"/>
        <v>25.000000000000014</v>
      </c>
    </row>
    <row r="9" spans="2:15">
      <c r="B9" s="103" t="s">
        <v>111</v>
      </c>
      <c r="C9" s="279">
        <v>55</v>
      </c>
      <c r="D9" s="279">
        <v>55</v>
      </c>
      <c r="E9" s="279">
        <v>65</v>
      </c>
      <c r="F9" s="279">
        <v>70</v>
      </c>
      <c r="G9" s="279">
        <v>65</v>
      </c>
      <c r="H9" s="279">
        <v>60.000000000000007</v>
      </c>
      <c r="I9" s="279">
        <v>49.999999999999986</v>
      </c>
      <c r="J9" s="279">
        <v>45</v>
      </c>
      <c r="K9" s="279">
        <v>49</v>
      </c>
      <c r="L9" s="279">
        <v>55</v>
      </c>
      <c r="M9" s="279">
        <v>55</v>
      </c>
      <c r="N9" s="279">
        <v>60.000000000000007</v>
      </c>
      <c r="O9" s="278">
        <f t="shared" si="0"/>
        <v>684</v>
      </c>
    </row>
    <row r="10" spans="2:15">
      <c r="B10" s="103" t="s">
        <v>113</v>
      </c>
      <c r="C10" s="279">
        <v>5</v>
      </c>
      <c r="D10" s="279">
        <v>5</v>
      </c>
      <c r="E10" s="279">
        <v>8</v>
      </c>
      <c r="F10" s="279">
        <v>8</v>
      </c>
      <c r="G10" s="279">
        <v>8</v>
      </c>
      <c r="H10" s="279">
        <v>12</v>
      </c>
      <c r="I10" s="279">
        <v>30</v>
      </c>
      <c r="J10" s="279">
        <v>30</v>
      </c>
      <c r="K10" s="279">
        <v>30</v>
      </c>
      <c r="L10" s="279">
        <v>25</v>
      </c>
      <c r="M10" s="279">
        <v>12</v>
      </c>
      <c r="N10" s="279">
        <v>7</v>
      </c>
      <c r="O10" s="278">
        <f t="shared" ref="O10" si="1">SUM(C10:N10)</f>
        <v>180</v>
      </c>
    </row>
    <row r="11" spans="2:15">
      <c r="B11" s="103" t="s">
        <v>19</v>
      </c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8">
        <f t="shared" si="0"/>
        <v>0</v>
      </c>
    </row>
    <row r="12" spans="2:15">
      <c r="B12" s="103" t="s">
        <v>154</v>
      </c>
      <c r="C12" s="279">
        <v>0</v>
      </c>
      <c r="D12" s="279">
        <v>0.6</v>
      </c>
      <c r="E12" s="279">
        <v>0.6</v>
      </c>
      <c r="F12" s="279">
        <v>0.6</v>
      </c>
      <c r="G12" s="279">
        <v>0.6</v>
      </c>
      <c r="H12" s="279">
        <v>0.6</v>
      </c>
      <c r="I12" s="279">
        <v>0.6</v>
      </c>
      <c r="J12" s="279">
        <v>0.6</v>
      </c>
      <c r="K12" s="279">
        <v>0.6</v>
      </c>
      <c r="L12" s="279">
        <v>0.6</v>
      </c>
      <c r="M12" s="279">
        <v>0.6</v>
      </c>
      <c r="N12" s="279">
        <v>0</v>
      </c>
      <c r="O12" s="278">
        <f t="shared" si="0"/>
        <v>5.9999999999999991</v>
      </c>
    </row>
    <row r="13" spans="2:15">
      <c r="B13" s="103" t="s">
        <v>112</v>
      </c>
      <c r="C13" s="279">
        <v>1.6833333333333333</v>
      </c>
      <c r="D13" s="279">
        <v>1.6833333333333333</v>
      </c>
      <c r="E13" s="279">
        <v>1.6833333333333333</v>
      </c>
      <c r="F13" s="279">
        <v>1.6833333333333333</v>
      </c>
      <c r="G13" s="279">
        <v>1.6833333333333333</v>
      </c>
      <c r="H13" s="279">
        <v>1.6833333333333333</v>
      </c>
      <c r="I13" s="279">
        <v>1.6833333333333333</v>
      </c>
      <c r="J13" s="279">
        <v>1.6833333333333333</v>
      </c>
      <c r="K13" s="279">
        <v>1.6833333333333333</v>
      </c>
      <c r="L13" s="279">
        <v>1.6833333333333333</v>
      </c>
      <c r="M13" s="279">
        <v>1.6833333333333333</v>
      </c>
      <c r="N13" s="279">
        <v>1.6833333333333333</v>
      </c>
      <c r="O13" s="278">
        <f t="shared" si="0"/>
        <v>20.2</v>
      </c>
    </row>
    <row r="14" spans="2:15">
      <c r="B14" s="103" t="s">
        <v>18</v>
      </c>
      <c r="C14" s="279">
        <v>38.000000000000007</v>
      </c>
      <c r="D14" s="279">
        <v>38.000000000000007</v>
      </c>
      <c r="E14" s="279">
        <v>36</v>
      </c>
      <c r="F14" s="279">
        <v>45.000000000000007</v>
      </c>
      <c r="G14" s="279">
        <v>45.000000000000007</v>
      </c>
      <c r="H14" s="279">
        <v>30</v>
      </c>
      <c r="I14" s="279">
        <v>30</v>
      </c>
      <c r="J14" s="279">
        <v>25</v>
      </c>
      <c r="K14" s="279">
        <v>35.000000000000007</v>
      </c>
      <c r="L14" s="279">
        <v>45.000000000000007</v>
      </c>
      <c r="M14" s="279">
        <v>30</v>
      </c>
      <c r="N14" s="279">
        <v>35.000000000000007</v>
      </c>
      <c r="O14" s="278">
        <f t="shared" si="0"/>
        <v>432</v>
      </c>
    </row>
    <row r="15" spans="2:15">
      <c r="B15" s="103" t="s">
        <v>163</v>
      </c>
      <c r="C15" s="279">
        <v>0</v>
      </c>
      <c r="D15" s="279">
        <v>0</v>
      </c>
      <c r="E15" s="279">
        <v>0</v>
      </c>
      <c r="F15" s="279">
        <v>0</v>
      </c>
      <c r="G15" s="279">
        <v>0</v>
      </c>
      <c r="H15" s="279">
        <v>0</v>
      </c>
      <c r="I15" s="279">
        <v>5.8333333333333339</v>
      </c>
      <c r="J15" s="279">
        <v>5.8333333333333339</v>
      </c>
      <c r="K15" s="279">
        <v>5.8333333333333339</v>
      </c>
      <c r="L15" s="279">
        <v>5.8333333333333339</v>
      </c>
      <c r="M15" s="279">
        <v>5.8333333333333339</v>
      </c>
      <c r="N15" s="279">
        <v>5.8333333333333339</v>
      </c>
      <c r="O15" s="278">
        <f t="shared" si="0"/>
        <v>35.000000000000007</v>
      </c>
    </row>
    <row r="16" spans="2:15">
      <c r="B16" s="103" t="s">
        <v>164</v>
      </c>
      <c r="C16" s="279">
        <v>0</v>
      </c>
      <c r="D16" s="279">
        <v>0</v>
      </c>
      <c r="E16" s="279">
        <v>0</v>
      </c>
      <c r="F16" s="279">
        <v>0</v>
      </c>
      <c r="G16" s="279">
        <v>0</v>
      </c>
      <c r="H16" s="279">
        <v>0</v>
      </c>
      <c r="I16" s="279">
        <v>1.1666666666666667</v>
      </c>
      <c r="J16" s="279">
        <v>1.1666666666666667</v>
      </c>
      <c r="K16" s="279">
        <v>1.1666666666666667</v>
      </c>
      <c r="L16" s="279">
        <v>1.1666666666666667</v>
      </c>
      <c r="M16" s="279">
        <v>1.1666666666666667</v>
      </c>
      <c r="N16" s="279">
        <v>1.1666666666666667</v>
      </c>
      <c r="O16" s="278">
        <f t="shared" si="0"/>
        <v>7.0000000000000009</v>
      </c>
    </row>
    <row r="17" spans="2:15">
      <c r="B17" s="103" t="s">
        <v>165</v>
      </c>
      <c r="C17" s="279">
        <v>0</v>
      </c>
      <c r="D17" s="279">
        <v>0</v>
      </c>
      <c r="E17" s="279">
        <v>0</v>
      </c>
      <c r="F17" s="279">
        <v>0.55555555555555558</v>
      </c>
      <c r="G17" s="279">
        <v>0.55555555555555558</v>
      </c>
      <c r="H17" s="279">
        <v>0.55555555555555558</v>
      </c>
      <c r="I17" s="279">
        <v>0.55555555555555558</v>
      </c>
      <c r="J17" s="279">
        <v>0.55555555555555558</v>
      </c>
      <c r="K17" s="279">
        <v>0.55555555555555558</v>
      </c>
      <c r="L17" s="279">
        <v>0.55555555555555558</v>
      </c>
      <c r="M17" s="279">
        <v>0.55555555555555558</v>
      </c>
      <c r="N17" s="279">
        <v>0.55555555555555558</v>
      </c>
      <c r="O17" s="278">
        <f t="shared" si="0"/>
        <v>4.9999999999999991</v>
      </c>
    </row>
    <row r="18" spans="2:15">
      <c r="B18" s="103" t="s">
        <v>166</v>
      </c>
      <c r="C18" s="279">
        <v>0</v>
      </c>
      <c r="D18" s="279">
        <v>0</v>
      </c>
      <c r="E18" s="279">
        <v>0</v>
      </c>
      <c r="F18" s="279">
        <v>0.22222222222222221</v>
      </c>
      <c r="G18" s="279">
        <v>0.22222222222222221</v>
      </c>
      <c r="H18" s="279">
        <v>0.22222222222222221</v>
      </c>
      <c r="I18" s="279">
        <v>0.22222222222222221</v>
      </c>
      <c r="J18" s="279">
        <v>0.22222222222222221</v>
      </c>
      <c r="K18" s="279">
        <v>0.22222222222222221</v>
      </c>
      <c r="L18" s="279">
        <v>0.22222222222222221</v>
      </c>
      <c r="M18" s="279">
        <v>0.22222222222222221</v>
      </c>
      <c r="N18" s="279">
        <v>0.22222222222222221</v>
      </c>
      <c r="O18" s="278">
        <f t="shared" si="0"/>
        <v>2.0000000000000004</v>
      </c>
    </row>
    <row r="19" spans="2:15">
      <c r="B19" s="103" t="s">
        <v>167</v>
      </c>
      <c r="C19" s="279">
        <v>0.25</v>
      </c>
      <c r="D19" s="279">
        <v>0.25</v>
      </c>
      <c r="E19" s="279">
        <v>0.25</v>
      </c>
      <c r="F19" s="279">
        <v>0.25</v>
      </c>
      <c r="G19" s="279">
        <v>0.25</v>
      </c>
      <c r="H19" s="279">
        <v>0.25</v>
      </c>
      <c r="I19" s="279">
        <v>0.25</v>
      </c>
      <c r="J19" s="279">
        <v>0.25</v>
      </c>
      <c r="K19" s="279">
        <v>0.25</v>
      </c>
      <c r="L19" s="279">
        <v>0.25</v>
      </c>
      <c r="M19" s="279">
        <v>0.25</v>
      </c>
      <c r="N19" s="279">
        <v>0.25</v>
      </c>
      <c r="O19" s="278">
        <f t="shared" si="0"/>
        <v>3</v>
      </c>
    </row>
    <row r="20" spans="2:15">
      <c r="B20" s="103" t="s">
        <v>159</v>
      </c>
      <c r="C20" s="279">
        <v>0.53333333333333333</v>
      </c>
      <c r="D20" s="279">
        <v>0.53333333333333333</v>
      </c>
      <c r="E20" s="279">
        <v>0.53333333333333333</v>
      </c>
      <c r="F20" s="279">
        <v>0.53333333333333333</v>
      </c>
      <c r="G20" s="279">
        <v>0.53333333333333333</v>
      </c>
      <c r="H20" s="279">
        <v>0.53333333333333333</v>
      </c>
      <c r="I20" s="279">
        <v>0.53333333333333333</v>
      </c>
      <c r="J20" s="279">
        <v>0.53333333333333333</v>
      </c>
      <c r="K20" s="279">
        <v>0.53333333333333333</v>
      </c>
      <c r="L20" s="279">
        <v>0.53333333333333333</v>
      </c>
      <c r="M20" s="279">
        <v>0.53333333333333333</v>
      </c>
      <c r="N20" s="279">
        <v>0.53333333333333333</v>
      </c>
      <c r="O20" s="278">
        <f t="shared" si="0"/>
        <v>6.3999999999999995</v>
      </c>
    </row>
    <row r="21" spans="2:15" ht="15.75" thickBot="1">
      <c r="B21" s="103"/>
      <c r="C21" s="279"/>
      <c r="D21" s="279"/>
      <c r="E21" s="279"/>
      <c r="F21" s="279"/>
      <c r="G21" s="279"/>
      <c r="H21" s="279"/>
      <c r="I21" s="279"/>
      <c r="J21" s="279"/>
      <c r="K21" s="279"/>
      <c r="L21" s="279"/>
      <c r="M21" s="279"/>
      <c r="N21" s="279"/>
      <c r="O21" s="278">
        <f t="shared" si="0"/>
        <v>0</v>
      </c>
    </row>
    <row r="22" spans="2:15" ht="15.75" thickBot="1">
      <c r="B22" s="109" t="s">
        <v>92</v>
      </c>
      <c r="C22" s="280">
        <f t="shared" ref="C22:O22" si="2">SUM(C4:C21)</f>
        <v>1745.3569577755329</v>
      </c>
      <c r="D22" s="280">
        <f t="shared" si="2"/>
        <v>1814.9897022580324</v>
      </c>
      <c r="E22" s="280">
        <f t="shared" si="2"/>
        <v>1735.7542203215521</v>
      </c>
      <c r="F22" s="280">
        <f t="shared" si="2"/>
        <v>1734.2308373222593</v>
      </c>
      <c r="G22" s="280">
        <f t="shared" si="2"/>
        <v>1730.9597764246887</v>
      </c>
      <c r="H22" s="280">
        <f t="shared" si="2"/>
        <v>1692.679573718644</v>
      </c>
      <c r="I22" s="280">
        <f t="shared" si="2"/>
        <v>1853.2432051290323</v>
      </c>
      <c r="J22" s="280">
        <f t="shared" si="2"/>
        <v>1772.8265060016652</v>
      </c>
      <c r="K22" s="280">
        <f t="shared" si="2"/>
        <v>1577.8466899009984</v>
      </c>
      <c r="L22" s="280">
        <f t="shared" si="2"/>
        <v>1715.1606789236982</v>
      </c>
      <c r="M22" s="280">
        <f t="shared" si="2"/>
        <v>1666.9747402576011</v>
      </c>
      <c r="N22" s="280">
        <f t="shared" si="2"/>
        <v>1837.3085039662938</v>
      </c>
      <c r="O22" s="277">
        <f t="shared" si="2"/>
        <v>20877.331392</v>
      </c>
    </row>
    <row r="23" spans="2:15" ht="15.75" thickBot="1"/>
    <row r="24" spans="2:15" ht="15.75" thickBot="1">
      <c r="B24" s="97" t="s">
        <v>162</v>
      </c>
      <c r="C24" s="98"/>
      <c r="D24" s="98" t="s">
        <v>3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276"/>
    </row>
    <row r="25" spans="2:15" ht="15.75" thickBot="1">
      <c r="B25" s="100" t="s">
        <v>155</v>
      </c>
      <c r="C25" s="101" t="s">
        <v>80</v>
      </c>
      <c r="D25" s="101" t="s">
        <v>81</v>
      </c>
      <c r="E25" s="101" t="s">
        <v>82</v>
      </c>
      <c r="F25" s="101" t="s">
        <v>83</v>
      </c>
      <c r="G25" s="101" t="s">
        <v>84</v>
      </c>
      <c r="H25" s="101" t="s">
        <v>85</v>
      </c>
      <c r="I25" s="101" t="s">
        <v>86</v>
      </c>
      <c r="J25" s="101" t="s">
        <v>87</v>
      </c>
      <c r="K25" s="101" t="s">
        <v>88</v>
      </c>
      <c r="L25" s="101" t="s">
        <v>89</v>
      </c>
      <c r="M25" s="101" t="s">
        <v>90</v>
      </c>
      <c r="N25" s="101" t="s">
        <v>91</v>
      </c>
      <c r="O25" s="277" t="s">
        <v>92</v>
      </c>
    </row>
    <row r="26" spans="2:15">
      <c r="B26" s="103"/>
      <c r="C26" s="104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278"/>
    </row>
    <row r="27" spans="2:15">
      <c r="B27" s="103" t="s">
        <v>109</v>
      </c>
      <c r="C27" s="156">
        <v>13.770700813357088</v>
      </c>
      <c r="D27" s="156">
        <v>14.673697588003458</v>
      </c>
      <c r="E27" s="156">
        <v>13.680401135892451</v>
      </c>
      <c r="F27" s="156">
        <v>14.537886773587335</v>
      </c>
      <c r="G27" s="156">
        <v>14.537886773587335</v>
      </c>
      <c r="H27" s="156">
        <v>14.19866941553696</v>
      </c>
      <c r="I27" s="156">
        <v>15.032379330924901</v>
      </c>
      <c r="J27" s="156">
        <v>13.578590653566167</v>
      </c>
      <c r="K27" s="156">
        <v>11.882503863314311</v>
      </c>
      <c r="L27" s="156">
        <v>13.336292540673043</v>
      </c>
      <c r="M27" s="156">
        <v>14.009581914880826</v>
      </c>
      <c r="N27" s="156">
        <v>15.527638463342774</v>
      </c>
      <c r="O27" s="278">
        <f>SUM(C27:N27)</f>
        <v>168.76622926666664</v>
      </c>
    </row>
    <row r="28" spans="2:15">
      <c r="B28" s="103" t="s">
        <v>234</v>
      </c>
      <c r="C28" s="156">
        <v>1.5053383971533301</v>
      </c>
      <c r="D28" s="156">
        <v>1.0749198319621398</v>
      </c>
      <c r="E28" s="156">
        <v>1.3013450126687389</v>
      </c>
      <c r="F28" s="156">
        <v>1.3473533360392878</v>
      </c>
      <c r="G28" s="156">
        <v>1.3737409577759325</v>
      </c>
      <c r="H28" s="156">
        <v>1.5834931039145719</v>
      </c>
      <c r="I28" s="156">
        <v>2.4330949528976831</v>
      </c>
      <c r="J28" s="156">
        <v>3.4833507438661409</v>
      </c>
      <c r="K28" s="156">
        <v>3.2206838474643051</v>
      </c>
      <c r="L28" s="156">
        <v>2.7249787906204386</v>
      </c>
      <c r="M28" s="156">
        <v>1.1669807958371199</v>
      </c>
      <c r="N28" s="156">
        <v>1.210128874253567</v>
      </c>
      <c r="O28" s="278">
        <f t="shared" ref="O28:O43" si="3">SUM(C28:N28)</f>
        <v>22.425408644453253</v>
      </c>
    </row>
    <row r="29" spans="2:15">
      <c r="B29" s="103" t="s">
        <v>233</v>
      </c>
      <c r="C29" s="156">
        <v>0.12128238095238095</v>
      </c>
      <c r="D29" s="156">
        <v>0.11084619047619047</v>
      </c>
      <c r="E29" s="156">
        <v>0.14642523809523808</v>
      </c>
      <c r="F29" s="156">
        <v>0.17785998088489149</v>
      </c>
      <c r="G29" s="156">
        <v>0.17349313334385436</v>
      </c>
      <c r="H29" s="156">
        <v>0.16432755961696816</v>
      </c>
      <c r="I29" s="156">
        <v>0.2913911377754585</v>
      </c>
      <c r="J29" s="156">
        <v>0.4108181400306809</v>
      </c>
      <c r="K29" s="156">
        <v>0.23795671131734469</v>
      </c>
      <c r="L29" s="156">
        <v>0.3179963183417317</v>
      </c>
      <c r="M29" s="156">
        <v>0.13813500000000001</v>
      </c>
      <c r="N29" s="156">
        <v>0.17115587476800007</v>
      </c>
      <c r="O29" s="278">
        <f t="shared" si="3"/>
        <v>2.4616876656027395</v>
      </c>
    </row>
    <row r="30" spans="2:15">
      <c r="B30" s="103" t="s">
        <v>116</v>
      </c>
      <c r="C30" s="156">
        <v>6.1553020282186968E-2</v>
      </c>
      <c r="D30" s="156">
        <v>6.1553020282186968E-2</v>
      </c>
      <c r="E30" s="156">
        <v>6.1553020282186968E-2</v>
      </c>
      <c r="F30" s="156">
        <v>6.1553020282186968E-2</v>
      </c>
      <c r="G30" s="156">
        <v>6.1553020282186968E-2</v>
      </c>
      <c r="H30" s="156">
        <v>6.1553020282186968E-2</v>
      </c>
      <c r="I30" s="156">
        <v>6.1553020282186968E-2</v>
      </c>
      <c r="J30" s="156">
        <v>6.1553020282186968E-2</v>
      </c>
      <c r="K30" s="156">
        <v>6.1553020282186968E-2</v>
      </c>
      <c r="L30" s="156">
        <v>6.5930224867724888E-2</v>
      </c>
      <c r="M30" s="156">
        <v>6.1990740740740784E-2</v>
      </c>
      <c r="N30" s="156">
        <v>6.1990740740740784E-2</v>
      </c>
      <c r="O30" s="278">
        <f t="shared" si="3"/>
        <v>0.74388888888888904</v>
      </c>
    </row>
    <row r="31" spans="2:15">
      <c r="B31" s="103" t="s">
        <v>111</v>
      </c>
      <c r="C31" s="156">
        <v>0.58646698658410723</v>
      </c>
      <c r="D31" s="156">
        <v>0.58646698658410723</v>
      </c>
      <c r="E31" s="156">
        <v>0.69309734778121768</v>
      </c>
      <c r="F31" s="156">
        <v>0.74641252837977279</v>
      </c>
      <c r="G31" s="156">
        <v>0.69309734778121768</v>
      </c>
      <c r="H31" s="156">
        <v>0.63978216718266245</v>
      </c>
      <c r="I31" s="156">
        <v>0.53315180598555212</v>
      </c>
      <c r="J31" s="156">
        <v>0.47983662538699695</v>
      </c>
      <c r="K31" s="156">
        <v>0.52248876986584114</v>
      </c>
      <c r="L31" s="156">
        <v>0.58646698658410723</v>
      </c>
      <c r="M31" s="156">
        <v>0.58646698658410723</v>
      </c>
      <c r="N31" s="156">
        <v>0.63978216718266245</v>
      </c>
      <c r="O31" s="278">
        <f t="shared" si="3"/>
        <v>7.2935167058823538</v>
      </c>
    </row>
    <row r="32" spans="2:15">
      <c r="B32" s="103" t="s">
        <v>113</v>
      </c>
      <c r="C32" s="156">
        <v>0.11022506666666666</v>
      </c>
      <c r="D32" s="156">
        <v>0.11022506666666666</v>
      </c>
      <c r="E32" s="156">
        <v>0.17636010666666668</v>
      </c>
      <c r="F32" s="156">
        <v>0.17636010666666668</v>
      </c>
      <c r="G32" s="156">
        <v>0.17636010666666668</v>
      </c>
      <c r="H32" s="156">
        <v>0.26454016000000002</v>
      </c>
      <c r="I32" s="156">
        <v>0.6613504</v>
      </c>
      <c r="J32" s="156">
        <v>0.6613504</v>
      </c>
      <c r="K32" s="156">
        <v>0.6613504</v>
      </c>
      <c r="L32" s="156">
        <v>0.55112533333333336</v>
      </c>
      <c r="M32" s="156">
        <v>0.26454016000000002</v>
      </c>
      <c r="N32" s="156">
        <v>0.15431509333333335</v>
      </c>
      <c r="O32" s="278">
        <f t="shared" si="3"/>
        <v>3.9681023999999998</v>
      </c>
    </row>
    <row r="33" spans="2:15">
      <c r="B33" s="103" t="s">
        <v>19</v>
      </c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278">
        <f t="shared" si="3"/>
        <v>0</v>
      </c>
    </row>
    <row r="34" spans="2:15">
      <c r="B34" s="103" t="s">
        <v>154</v>
      </c>
      <c r="C34" s="156">
        <v>0</v>
      </c>
      <c r="D34" s="156">
        <v>1.1710000000000002E-2</v>
      </c>
      <c r="E34" s="156">
        <v>1.1710000000000002E-2</v>
      </c>
      <c r="F34" s="156">
        <v>1.1710000000000002E-2</v>
      </c>
      <c r="G34" s="156">
        <v>1.1710000000000002E-2</v>
      </c>
      <c r="H34" s="156">
        <v>1.1710000000000002E-2</v>
      </c>
      <c r="I34" s="156">
        <v>1.1710000000000002E-2</v>
      </c>
      <c r="J34" s="156">
        <v>1.1710000000000002E-2</v>
      </c>
      <c r="K34" s="156">
        <v>1.1710000000000002E-2</v>
      </c>
      <c r="L34" s="156">
        <v>1.1710000000000002E-2</v>
      </c>
      <c r="M34" s="156">
        <v>1.1710000000000002E-2</v>
      </c>
      <c r="N34" s="156">
        <v>0</v>
      </c>
      <c r="O34" s="278">
        <f t="shared" si="3"/>
        <v>0.1171</v>
      </c>
    </row>
    <row r="35" spans="2:15">
      <c r="B35" s="103" t="s">
        <v>112</v>
      </c>
      <c r="C35" s="156">
        <v>7.4862346278317157E-2</v>
      </c>
      <c r="D35" s="156">
        <v>7.4862346278317157E-2</v>
      </c>
      <c r="E35" s="156">
        <v>7.4862346278317157E-2</v>
      </c>
      <c r="F35" s="156">
        <v>7.4862346278317157E-2</v>
      </c>
      <c r="G35" s="156">
        <v>7.4862346278317157E-2</v>
      </c>
      <c r="H35" s="156">
        <v>7.4862346278317157E-2</v>
      </c>
      <c r="I35" s="156">
        <v>7.4862346278317157E-2</v>
      </c>
      <c r="J35" s="156">
        <v>7.4862346278317157E-2</v>
      </c>
      <c r="K35" s="156">
        <v>7.4862346278317157E-2</v>
      </c>
      <c r="L35" s="156">
        <v>7.4862346278317157E-2</v>
      </c>
      <c r="M35" s="156">
        <v>7.4862346278317157E-2</v>
      </c>
      <c r="N35" s="156">
        <v>7.4862346278317157E-2</v>
      </c>
      <c r="O35" s="278">
        <f t="shared" si="3"/>
        <v>0.89834815533980572</v>
      </c>
    </row>
    <row r="36" spans="2:15">
      <c r="B36" s="103" t="s">
        <v>18</v>
      </c>
      <c r="C36" s="156">
        <v>0.39167198132312708</v>
      </c>
      <c r="D36" s="156">
        <v>0.39167198132312708</v>
      </c>
      <c r="E36" s="156">
        <v>0.37105766651664673</v>
      </c>
      <c r="F36" s="156">
        <v>0.46382208314580842</v>
      </c>
      <c r="G36" s="156">
        <v>0.46382208314580842</v>
      </c>
      <c r="H36" s="156">
        <v>0.30921472209720557</v>
      </c>
      <c r="I36" s="156">
        <v>0.30921472209720557</v>
      </c>
      <c r="J36" s="156">
        <v>0.25767893508100465</v>
      </c>
      <c r="K36" s="156">
        <v>0.3607505091134065</v>
      </c>
      <c r="L36" s="156">
        <v>0.46382208314580842</v>
      </c>
      <c r="M36" s="156">
        <v>0.30921472209720557</v>
      </c>
      <c r="N36" s="156">
        <v>0.3607505091134065</v>
      </c>
      <c r="O36" s="278">
        <f t="shared" si="3"/>
        <v>4.4526919981997608</v>
      </c>
    </row>
    <row r="37" spans="2:15">
      <c r="B37" s="103" t="s">
        <v>163</v>
      </c>
      <c r="C37" s="156">
        <v>0</v>
      </c>
      <c r="D37" s="156">
        <v>0</v>
      </c>
      <c r="E37" s="156">
        <v>0</v>
      </c>
      <c r="F37" s="156">
        <v>0</v>
      </c>
      <c r="G37" s="156">
        <v>0</v>
      </c>
      <c r="H37" s="156">
        <v>0</v>
      </c>
      <c r="I37" s="156">
        <v>0.25716666666666665</v>
      </c>
      <c r="J37" s="156">
        <v>0.25716666666666665</v>
      </c>
      <c r="K37" s="156">
        <v>0.25716666666666665</v>
      </c>
      <c r="L37" s="156">
        <v>0.25716666666666665</v>
      </c>
      <c r="M37" s="156">
        <v>0.25716666666666665</v>
      </c>
      <c r="N37" s="156">
        <v>0.25716666666666665</v>
      </c>
      <c r="O37" s="278">
        <f t="shared" si="3"/>
        <v>1.5429999999999997</v>
      </c>
    </row>
    <row r="38" spans="2:15">
      <c r="B38" s="103" t="s">
        <v>164</v>
      </c>
      <c r="C38" s="156">
        <v>0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4.6844641666666666E-2</v>
      </c>
      <c r="J38" s="156">
        <v>4.6844641666666666E-2</v>
      </c>
      <c r="K38" s="156">
        <v>4.6844641666666666E-2</v>
      </c>
      <c r="L38" s="156">
        <v>4.6844641666666666E-2</v>
      </c>
      <c r="M38" s="156">
        <v>4.6844641666666666E-2</v>
      </c>
      <c r="N38" s="156">
        <v>4.6844641666666666E-2</v>
      </c>
      <c r="O38" s="278">
        <f t="shared" si="3"/>
        <v>0.28106785000000001</v>
      </c>
    </row>
    <row r="39" spans="2:15">
      <c r="B39" s="103" t="s">
        <v>165</v>
      </c>
      <c r="C39" s="156">
        <v>0</v>
      </c>
      <c r="D39" s="156">
        <v>0</v>
      </c>
      <c r="E39" s="156">
        <v>0</v>
      </c>
      <c r="F39" s="156">
        <v>1.7737002777777774E-2</v>
      </c>
      <c r="G39" s="156">
        <v>1.7737002777777774E-2</v>
      </c>
      <c r="H39" s="156">
        <v>1.7737002777777774E-2</v>
      </c>
      <c r="I39" s="156">
        <v>1.7737002777777774E-2</v>
      </c>
      <c r="J39" s="156">
        <v>1.7737002777777774E-2</v>
      </c>
      <c r="K39" s="156">
        <v>1.7737002777777774E-2</v>
      </c>
      <c r="L39" s="156">
        <v>1.7737002777777774E-2</v>
      </c>
      <c r="M39" s="156">
        <v>1.7737002777777774E-2</v>
      </c>
      <c r="N39" s="156">
        <v>1.7737002777777774E-2</v>
      </c>
      <c r="O39" s="278">
        <f t="shared" si="3"/>
        <v>0.15963302499999998</v>
      </c>
    </row>
    <row r="40" spans="2:15">
      <c r="B40" s="103" t="s">
        <v>166</v>
      </c>
      <c r="C40" s="156">
        <v>0</v>
      </c>
      <c r="D40" s="156">
        <v>0</v>
      </c>
      <c r="E40" s="156">
        <v>0</v>
      </c>
      <c r="F40" s="156">
        <v>8.922788888888887E-3</v>
      </c>
      <c r="G40" s="156">
        <v>8.922788888888887E-3</v>
      </c>
      <c r="H40" s="156">
        <v>8.922788888888887E-3</v>
      </c>
      <c r="I40" s="156">
        <v>8.922788888888887E-3</v>
      </c>
      <c r="J40" s="156">
        <v>8.922788888888887E-3</v>
      </c>
      <c r="K40" s="156">
        <v>8.922788888888887E-3</v>
      </c>
      <c r="L40" s="156">
        <v>8.922788888888887E-3</v>
      </c>
      <c r="M40" s="156">
        <v>8.922788888888887E-3</v>
      </c>
      <c r="N40" s="156">
        <v>8.922788888888887E-3</v>
      </c>
      <c r="O40" s="278">
        <f t="shared" si="3"/>
        <v>8.030509999999999E-2</v>
      </c>
    </row>
    <row r="41" spans="2:15">
      <c r="B41" s="103" t="s">
        <v>167</v>
      </c>
      <c r="C41" s="156">
        <v>1.8964365256124723E-2</v>
      </c>
      <c r="D41" s="156">
        <v>1.8964365256124723E-2</v>
      </c>
      <c r="E41" s="156">
        <v>1.8964365256124723E-2</v>
      </c>
      <c r="F41" s="156">
        <v>1.8964365256124723E-2</v>
      </c>
      <c r="G41" s="156">
        <v>1.8964365256124723E-2</v>
      </c>
      <c r="H41" s="156">
        <v>1.8964365256124723E-2</v>
      </c>
      <c r="I41" s="156">
        <v>1.8964365256124723E-2</v>
      </c>
      <c r="J41" s="156">
        <v>1.8964365256124723E-2</v>
      </c>
      <c r="K41" s="156">
        <v>1.8964365256124723E-2</v>
      </c>
      <c r="L41" s="156">
        <v>1.8964365256124723E-2</v>
      </c>
      <c r="M41" s="156">
        <v>1.8964365256124723E-2</v>
      </c>
      <c r="N41" s="156">
        <v>1.8964365256124723E-2</v>
      </c>
      <c r="O41" s="278">
        <f t="shared" si="3"/>
        <v>0.22757238307349661</v>
      </c>
    </row>
    <row r="42" spans="2:15">
      <c r="B42" s="103" t="s">
        <v>159</v>
      </c>
      <c r="C42" s="156">
        <v>2.2548333333333337E-2</v>
      </c>
      <c r="D42" s="156">
        <v>2.2548333333333337E-2</v>
      </c>
      <c r="E42" s="156">
        <v>2.2548333333333337E-2</v>
      </c>
      <c r="F42" s="156">
        <v>2.2548333333333337E-2</v>
      </c>
      <c r="G42" s="156">
        <v>2.2548333333333337E-2</v>
      </c>
      <c r="H42" s="156">
        <v>2.2548333333333337E-2</v>
      </c>
      <c r="I42" s="156">
        <v>2.2548333333333337E-2</v>
      </c>
      <c r="J42" s="156">
        <v>2.2548333333333337E-2</v>
      </c>
      <c r="K42" s="156">
        <v>2.2548333333333337E-2</v>
      </c>
      <c r="L42" s="156">
        <v>2.2548333333333337E-2</v>
      </c>
      <c r="M42" s="156">
        <v>2.2548333333333337E-2</v>
      </c>
      <c r="N42" s="156">
        <v>2.2548333333333337E-2</v>
      </c>
      <c r="O42" s="278">
        <f t="shared" si="3"/>
        <v>0.27058000000000004</v>
      </c>
    </row>
    <row r="43" spans="2:15" ht="15.75" thickBot="1">
      <c r="B43" s="103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278">
        <f t="shared" si="3"/>
        <v>0</v>
      </c>
    </row>
    <row r="44" spans="2:15" ht="15.75" thickBot="1">
      <c r="B44" s="109" t="s">
        <v>92</v>
      </c>
      <c r="C44" s="158">
        <f t="shared" ref="C44:O44" si="4">SUM(C26:C43)</f>
        <v>16.663613691186665</v>
      </c>
      <c r="D44" s="158">
        <f t="shared" si="4"/>
        <v>17.137465710165653</v>
      </c>
      <c r="E44" s="158">
        <f t="shared" si="4"/>
        <v>16.558324572770921</v>
      </c>
      <c r="F44" s="158">
        <f t="shared" si="4"/>
        <v>17.665992665520388</v>
      </c>
      <c r="G44" s="158">
        <f t="shared" si="4"/>
        <v>17.634698259117442</v>
      </c>
      <c r="H44" s="158">
        <f t="shared" si="4"/>
        <v>17.376324985164995</v>
      </c>
      <c r="I44" s="158">
        <f t="shared" si="4"/>
        <v>19.78089151483076</v>
      </c>
      <c r="J44" s="158">
        <f t="shared" si="4"/>
        <v>19.391934663080949</v>
      </c>
      <c r="K44" s="158">
        <f t="shared" si="4"/>
        <v>17.406043266225169</v>
      </c>
      <c r="L44" s="158">
        <f t="shared" si="4"/>
        <v>18.505368422433961</v>
      </c>
      <c r="M44" s="158">
        <f t="shared" si="4"/>
        <v>16.995666465007773</v>
      </c>
      <c r="N44" s="158">
        <f t="shared" si="4"/>
        <v>18.572807867602258</v>
      </c>
      <c r="O44" s="277">
        <f t="shared" si="4"/>
        <v>213.68913208310693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4D7AB9A4533B4BA69EA15B9A4EEFE9" ma:contentTypeVersion="2" ma:contentTypeDescription="Create a new document." ma:contentTypeScope="" ma:versionID="cd78725e8ae5335c3c9f118c02376e01">
  <xsd:schema xmlns:xsd="http://www.w3.org/2001/XMLSchema" xmlns:xs="http://www.w3.org/2001/XMLSchema" xmlns:p="http://schemas.microsoft.com/office/2006/metadata/properties" xmlns:ns2="863e7a7e-902c-429b-9ced-ec8faf9df407" targetNamespace="http://schemas.microsoft.com/office/2006/metadata/properties" ma:root="true" ma:fieldsID="223f3a2c9b595b80d2544a8fb4d9d905" ns2:_="">
    <xsd:import namespace="863e7a7e-902c-429b-9ced-ec8faf9df40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3e7a7e-902c-429b-9ced-ec8faf9df4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A1CCFA-40E7-4A00-9C1D-9F8C20118F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530F38-A7B4-4768-8967-75F2802D11EE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863e7a7e-902c-429b-9ced-ec8faf9df407"/>
  </ds:schemaRefs>
</ds:datastoreItem>
</file>

<file path=customXml/itemProps3.xml><?xml version="1.0" encoding="utf-8"?>
<ds:datastoreItem xmlns:ds="http://schemas.openxmlformats.org/officeDocument/2006/customXml" ds:itemID="{61BD1A21-9F90-4B26-9AB2-E6BF9D3A2E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3e7a7e-902c-429b-9ced-ec8faf9df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Sales </vt:lpstr>
      <vt:lpstr>Trends</vt:lpstr>
      <vt:lpstr>Financial </vt:lpstr>
      <vt:lpstr>EBIDTA Var Analysis</vt:lpstr>
      <vt:lpstr>SYN </vt:lpstr>
      <vt:lpstr>NR </vt:lpstr>
      <vt:lpstr>Net NR</vt:lpstr>
      <vt:lpstr>GC</vt:lpstr>
      <vt:lpstr>ABP</vt:lpstr>
      <vt:lpstr>NR CoST Trends </vt:lpstr>
      <vt:lpstr>Price impact update</vt:lpstr>
      <vt:lpstr>recasting </vt:lpstr>
      <vt:lpstr>'Sales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2017-04-22T09:49:56Z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0x010100D14D7AB9A4533B4BA69EA15B9A4EEFE9</vt:lpwstr>
  </property>
</Properties>
</file>