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545" windowWidth="14805" windowHeight="6570" tabRatio="763" firstSheet="1" activeTab="1"/>
  </bookViews>
  <sheets>
    <sheet name="Index" sheetId="1" state="hidden" r:id="rId1"/>
    <sheet name="Summary " sheetId="38" r:id="rId2"/>
    <sheet name="DD1" sheetId="2" r:id="rId3"/>
    <sheet name="DD2" sheetId="3" state="hidden" r:id="rId4"/>
    <sheet name="DD3.1" sheetId="4" state="hidden" r:id="rId5"/>
    <sheet name="DD3.2" sheetId="5" state="hidden" r:id="rId6"/>
    <sheet name="DD3.3" sheetId="8" state="hidden" r:id="rId7"/>
    <sheet name="DD4" sheetId="6" state="hidden" r:id="rId8"/>
    <sheet name="DD5" sheetId="42" state="hidden" r:id="rId9"/>
    <sheet name="DD6" sheetId="40" state="hidden" r:id="rId10"/>
    <sheet name="DD7" sheetId="41" state="hidden" r:id="rId11"/>
    <sheet name="SH1" sheetId="7" r:id="rId12"/>
    <sheet name="CM1" sheetId="9" state="hidden" r:id="rId13"/>
    <sheet name="CM2" sheetId="10" state="hidden" r:id="rId14"/>
    <sheet name="CM3" sheetId="11" state="hidden" r:id="rId15"/>
    <sheet name="CM4" sheetId="12" state="hidden" r:id="rId16"/>
    <sheet name="CM5" sheetId="13" state="hidden" r:id="rId17"/>
    <sheet name="NA1" sheetId="14" state="hidden" r:id="rId18"/>
    <sheet name="NA2" sheetId="15" state="hidden" r:id="rId19"/>
    <sheet name="RJ1" sheetId="16" state="hidden" r:id="rId20"/>
    <sheet name="RJ2" sheetId="17" state="hidden" r:id="rId21"/>
    <sheet name="RJ3" sheetId="18" state="hidden" r:id="rId22"/>
    <sheet name="RJ4" sheetId="20" state="hidden" r:id="rId23"/>
    <sheet name="RJ5" sheetId="21" state="hidden" r:id="rId24"/>
    <sheet name="RJ6" sheetId="22" state="hidden" r:id="rId25"/>
    <sheet name="AB1" sheetId="45" state="hidden" r:id="rId26"/>
    <sheet name="AB2" sheetId="46" state="hidden" r:id="rId27"/>
    <sheet name="SJ1" sheetId="25" state="hidden" r:id="rId28"/>
    <sheet name="DS1" sheetId="26" state="hidden" r:id="rId29"/>
    <sheet name="PK1" sheetId="27" r:id="rId30"/>
    <sheet name="PK2" sheetId="28" state="hidden" r:id="rId31"/>
    <sheet name="PKD2" sheetId="31" state="hidden" r:id="rId32"/>
    <sheet name="PKD3" sheetId="32" state="hidden" r:id="rId33"/>
    <sheet name="PKD4" sheetId="33" r:id="rId34"/>
    <sheet name="PKD5" sheetId="34" state="hidden" r:id="rId35"/>
    <sheet name="PKD6" sheetId="35" state="hidden" r:id="rId36"/>
    <sheet name="PKD7" sheetId="44" state="hidden" r:id="rId37"/>
  </sheets>
  <externalReferences>
    <externalReference r:id="rId38"/>
  </externalReferences>
  <definedNames>
    <definedName name="_xlnm.Print_Area" localSheetId="25">'AB1'!$B$2:$N$40</definedName>
    <definedName name="_xlnm.Print_Area" localSheetId="26">'AB2'!$B$2:$N$23</definedName>
    <definedName name="_xlnm.Print_Area" localSheetId="12">'CM1'!$B$2:$N$20</definedName>
    <definedName name="_xlnm.Print_Area" localSheetId="13">'CM2'!$B$2:$N$20</definedName>
    <definedName name="_xlnm.Print_Area" localSheetId="14">'CM3'!$B$2:$N$23</definedName>
    <definedName name="_xlnm.Print_Area" localSheetId="15">'CM4'!$B$2:$N$20</definedName>
    <definedName name="_xlnm.Print_Area" localSheetId="16">'CM5'!$B$2:$N$20</definedName>
    <definedName name="_xlnm.Print_Area" localSheetId="2">'DD1'!$B$2:$N$37</definedName>
    <definedName name="_xlnm.Print_Area" localSheetId="4">DD3.1!$B$2:$N$22</definedName>
    <definedName name="_xlnm.Print_Area" localSheetId="5">DD3.2!$B$2:$N$22</definedName>
    <definedName name="_xlnm.Print_Area" localSheetId="6">DD3.3!$B$2:$N$22</definedName>
    <definedName name="_xlnm.Print_Area" localSheetId="7">'DD4'!$B$2:$N$22</definedName>
    <definedName name="_xlnm.Print_Area" localSheetId="8">'DD5'!$B$1:$N$13</definedName>
    <definedName name="_xlnm.Print_Area" localSheetId="10">'DD7'!$B$2:$N$23</definedName>
    <definedName name="_xlnm.Print_Area" localSheetId="17">'NA1'!$B$2:$N$19</definedName>
    <definedName name="_xlnm.Print_Area" localSheetId="18">'NA2'!$B$2:$N$16</definedName>
    <definedName name="_xlnm.Print_Area" localSheetId="29">'PK1'!$B$2:$N$23</definedName>
    <definedName name="_xlnm.Print_Area" localSheetId="31">'PKD2'!$B$2:$N$23</definedName>
    <definedName name="_xlnm.Print_Area" localSheetId="32">'PKD3'!$B$2:$N$30</definedName>
    <definedName name="_xlnm.Print_Area" localSheetId="33">'PKD4'!$B$2:$N$20</definedName>
    <definedName name="_xlnm.Print_Area" localSheetId="35">'PKD6'!$B$2:$N$22</definedName>
    <definedName name="_xlnm.Print_Area" localSheetId="36">'PKD7'!$B$2:$N$18</definedName>
    <definedName name="_xlnm.Print_Area" localSheetId="22">'RJ4'!$B$2:$N$19</definedName>
    <definedName name="_xlnm.Print_Area" localSheetId="23">'RJ5'!$B$2:$N$19</definedName>
    <definedName name="_xlnm.Print_Area" localSheetId="24">'RJ6'!$B$2:$N$20</definedName>
    <definedName name="_xlnm.Print_Area" localSheetId="11">'SH1'!$B$2:$N$34</definedName>
    <definedName name="_xlnm.Print_Area" localSheetId="27">'SJ1'!$B$2:$O$27</definedName>
  </definedNames>
  <calcPr calcId="145621"/>
</workbook>
</file>

<file path=xl/calcChain.xml><?xml version="1.0" encoding="utf-8"?>
<calcChain xmlns="http://schemas.openxmlformats.org/spreadsheetml/2006/main">
  <c r="N19" i="46" l="1"/>
  <c r="N16" i="46"/>
  <c r="N20" i="27"/>
  <c r="X33" i="38" l="1"/>
  <c r="M26" i="7" l="1"/>
  <c r="M30" i="7"/>
  <c r="M19" i="46" l="1"/>
  <c r="M16" i="46"/>
  <c r="M20" i="27"/>
  <c r="L19" i="46" l="1"/>
  <c r="L16" i="46"/>
  <c r="L20" i="27" l="1"/>
  <c r="L26" i="7" l="1"/>
  <c r="L30" i="7" l="1"/>
  <c r="N42" i="38" l="1"/>
  <c r="O42" i="38"/>
  <c r="P42" i="38"/>
  <c r="Q42" i="38"/>
  <c r="R42" i="38"/>
  <c r="S42" i="38"/>
  <c r="T42" i="38"/>
  <c r="U42" i="38"/>
  <c r="M42" i="38"/>
  <c r="Y41" i="38" l="1"/>
  <c r="Y40" i="38"/>
  <c r="K20" i="27" l="1"/>
  <c r="K19" i="46" l="1"/>
  <c r="K16" i="46"/>
  <c r="T27" i="38" l="1"/>
  <c r="T39" i="38"/>
  <c r="T12" i="38"/>
  <c r="Y12" i="38" l="1"/>
  <c r="J20" i="27" l="1"/>
  <c r="J19" i="46"/>
  <c r="I19" i="46" l="1"/>
  <c r="I20" i="27"/>
  <c r="I16" i="33" l="1"/>
  <c r="Y27" i="38" l="1"/>
  <c r="I27" i="38"/>
  <c r="L27" i="38" s="1"/>
  <c r="Z27" i="38" l="1"/>
  <c r="Y10" i="38"/>
  <c r="Y9" i="38"/>
  <c r="I10" i="38"/>
  <c r="L10" i="38" s="1"/>
  <c r="Z10" i="38" l="1"/>
  <c r="H19" i="46"/>
  <c r="H20" i="27" l="1"/>
  <c r="G20" i="27" l="1"/>
  <c r="G19" i="46" l="1"/>
  <c r="K9" i="46"/>
  <c r="K12" i="46" s="1"/>
  <c r="C5" i="46" s="1"/>
  <c r="G5" i="46" s="1"/>
  <c r="E29" i="45" l="1"/>
  <c r="E28" i="45"/>
  <c r="C28" i="45"/>
  <c r="D28" i="45" s="1"/>
  <c r="G28" i="45" s="1"/>
  <c r="E27" i="45"/>
  <c r="D22" i="45"/>
  <c r="G22" i="45" s="1"/>
  <c r="H28" i="45" s="1"/>
  <c r="G33" i="45" s="1"/>
  <c r="C22" i="45"/>
  <c r="C21" i="45"/>
  <c r="C27" i="45" s="1"/>
  <c r="D27" i="45" s="1"/>
  <c r="G27" i="45" s="1"/>
  <c r="C17" i="45"/>
  <c r="G16" i="45"/>
  <c r="E16" i="45"/>
  <c r="G15" i="45"/>
  <c r="E15" i="45"/>
  <c r="E17" i="45" s="1"/>
  <c r="E11" i="45"/>
  <c r="C11" i="45"/>
  <c r="D11" i="45" s="1"/>
  <c r="F11" i="45" s="1"/>
  <c r="G10" i="45"/>
  <c r="F10" i="45"/>
  <c r="H10" i="45" s="1"/>
  <c r="G32" i="45" s="1"/>
  <c r="G9" i="45"/>
  <c r="F9" i="45"/>
  <c r="H9" i="45" s="1"/>
  <c r="F32" i="45" s="1"/>
  <c r="I11" i="44"/>
  <c r="C5" i="44" s="1"/>
  <c r="G5" i="44" s="1"/>
  <c r="I10" i="44"/>
  <c r="D17" i="45" l="1"/>
  <c r="G17" i="45" s="1"/>
  <c r="G34" i="45"/>
  <c r="G11" i="45"/>
  <c r="H11" i="45" s="1"/>
  <c r="H32" i="45" s="1"/>
  <c r="C23" i="45"/>
  <c r="D21" i="45"/>
  <c r="G21" i="45" s="1"/>
  <c r="H27" i="45" s="1"/>
  <c r="F33" i="45" s="1"/>
  <c r="F34" i="45" s="1"/>
  <c r="C29" i="45" l="1"/>
  <c r="D29" i="45" s="1"/>
  <c r="G29" i="45" s="1"/>
  <c r="D23" i="45"/>
  <c r="G23" i="45" s="1"/>
  <c r="H29" i="45" s="1"/>
  <c r="H33" i="45" s="1"/>
  <c r="H34" i="45" s="1"/>
  <c r="C5" i="45" s="1"/>
  <c r="G5" i="45" s="1"/>
  <c r="I9" i="38"/>
  <c r="L9" i="38" s="1"/>
  <c r="Z9" i="38" s="1"/>
  <c r="H12" i="35" l="1"/>
  <c r="F18" i="35" l="1"/>
  <c r="Y8" i="38"/>
  <c r="Z8" i="38" s="1"/>
  <c r="G5" i="8" l="1"/>
  <c r="C5" i="8"/>
  <c r="H14" i="6" l="1"/>
  <c r="I14" i="6" s="1"/>
  <c r="K14" i="6" s="1"/>
  <c r="H12" i="6"/>
  <c r="I12" i="6" s="1"/>
  <c r="L12" i="6" s="1"/>
  <c r="H11" i="6"/>
  <c r="I11" i="6" s="1"/>
  <c r="K11" i="6" s="1"/>
  <c r="H10" i="6"/>
  <c r="I10" i="6" s="1"/>
  <c r="L10" i="6" s="1"/>
  <c r="F17" i="2"/>
  <c r="F18" i="2" s="1"/>
  <c r="G13" i="2"/>
  <c r="D13" i="2"/>
  <c r="G12" i="2"/>
  <c r="E12" i="2"/>
  <c r="F12" i="2" s="1"/>
  <c r="G11" i="2"/>
  <c r="F11" i="2"/>
  <c r="E11" i="2"/>
  <c r="G10" i="2"/>
  <c r="E10" i="2"/>
  <c r="F10" i="2" s="1"/>
  <c r="G9" i="2"/>
  <c r="E9" i="2"/>
  <c r="E13" i="2" l="1"/>
  <c r="F13" i="2" s="1"/>
  <c r="F14" i="2" s="1"/>
  <c r="L11" i="6"/>
  <c r="L15" i="6" s="1"/>
  <c r="C5" i="6" s="1"/>
  <c r="G5" i="6" s="1"/>
  <c r="K10" i="6"/>
  <c r="K12" i="6"/>
  <c r="F9" i="2"/>
  <c r="G5" i="15"/>
  <c r="F9" i="14"/>
  <c r="F10" i="14" s="1"/>
  <c r="F11" i="14" s="1"/>
  <c r="F12" i="14" s="1"/>
  <c r="G5" i="14"/>
  <c r="F25" i="2" l="1"/>
  <c r="F29" i="2" s="1"/>
  <c r="C5" i="2" s="1"/>
  <c r="E27" i="2"/>
  <c r="F20" i="2"/>
  <c r="F22" i="2" s="1"/>
  <c r="F23" i="2" s="1"/>
  <c r="X37" i="38"/>
  <c r="X42" i="38" s="1"/>
  <c r="W37" i="38"/>
  <c r="W42" i="38" s="1"/>
  <c r="V37" i="38"/>
  <c r="V42" i="38" s="1"/>
  <c r="U37" i="38"/>
  <c r="T37" i="38"/>
  <c r="S37" i="38"/>
  <c r="R37" i="38"/>
  <c r="Q37" i="38"/>
  <c r="P37" i="38"/>
  <c r="O37" i="38"/>
  <c r="N37" i="38"/>
  <c r="M37" i="38"/>
  <c r="J37" i="38"/>
  <c r="H37" i="38"/>
  <c r="Y36" i="38"/>
  <c r="I36" i="38"/>
  <c r="L36" i="38" s="1"/>
  <c r="Y35" i="38"/>
  <c r="I35" i="38"/>
  <c r="L35" i="38" s="1"/>
  <c r="Y34" i="38"/>
  <c r="I34" i="38"/>
  <c r="L34" i="38" s="1"/>
  <c r="Y33" i="38"/>
  <c r="I33" i="38"/>
  <c r="L33" i="38" s="1"/>
  <c r="Y32" i="38"/>
  <c r="I32" i="38"/>
  <c r="L32" i="38" s="1"/>
  <c r="Y31" i="38"/>
  <c r="I31" i="38"/>
  <c r="L31" i="38" s="1"/>
  <c r="Y30" i="38"/>
  <c r="I30" i="38"/>
  <c r="L30" i="38" s="1"/>
  <c r="Y29" i="38"/>
  <c r="I29" i="38"/>
  <c r="L29" i="38" s="1"/>
  <c r="Y28" i="38"/>
  <c r="I28" i="38"/>
  <c r="L28" i="38" s="1"/>
  <c r="Y26" i="38"/>
  <c r="I26" i="38"/>
  <c r="L26" i="38" s="1"/>
  <c r="Y25" i="38"/>
  <c r="I25" i="38"/>
  <c r="L25" i="38" s="1"/>
  <c r="Y24" i="38"/>
  <c r="I24" i="38"/>
  <c r="L24" i="38" s="1"/>
  <c r="Y23" i="38"/>
  <c r="I23" i="38"/>
  <c r="L23" i="38" s="1"/>
  <c r="Y22" i="38"/>
  <c r="I22" i="38"/>
  <c r="L22" i="38" s="1"/>
  <c r="Y21" i="38"/>
  <c r="I21" i="38"/>
  <c r="L21" i="38" s="1"/>
  <c r="Y20" i="38"/>
  <c r="I20" i="38"/>
  <c r="L20" i="38" s="1"/>
  <c r="Y19" i="38"/>
  <c r="I19" i="38"/>
  <c r="L19" i="38" s="1"/>
  <c r="Y18" i="38"/>
  <c r="I18" i="38"/>
  <c r="L18" i="38" s="1"/>
  <c r="Y17" i="38"/>
  <c r="I17" i="38"/>
  <c r="L17" i="38" s="1"/>
  <c r="Y16" i="38"/>
  <c r="I16" i="38"/>
  <c r="L16" i="38" s="1"/>
  <c r="Y15" i="38"/>
  <c r="L15" i="38"/>
  <c r="G15" i="38"/>
  <c r="G37" i="38" s="1"/>
  <c r="Y14" i="38"/>
  <c r="I14" i="38"/>
  <c r="L14" i="38" s="1"/>
  <c r="Y13" i="38"/>
  <c r="I13" i="38"/>
  <c r="L13" i="38" s="1"/>
  <c r="Y11" i="38"/>
  <c r="I11" i="38"/>
  <c r="L11" i="38" s="1"/>
  <c r="Y7" i="38"/>
  <c r="I7" i="38"/>
  <c r="L7" i="38" s="1"/>
  <c r="Y6" i="38"/>
  <c r="I6" i="38"/>
  <c r="L6" i="38" s="1"/>
  <c r="Y5" i="38"/>
  <c r="I5" i="38"/>
  <c r="L5" i="38" s="1"/>
  <c r="Y4" i="38"/>
  <c r="I4" i="38"/>
  <c r="L4" i="38" s="1"/>
  <c r="G5" i="13"/>
  <c r="C5" i="13"/>
  <c r="G5" i="12"/>
  <c r="C5" i="12"/>
  <c r="G5" i="11"/>
  <c r="C5" i="11"/>
  <c r="G5" i="10"/>
  <c r="E5" i="10"/>
  <c r="C5" i="10"/>
  <c r="F11" i="13"/>
  <c r="F11" i="12"/>
  <c r="F13" i="11"/>
  <c r="F12" i="11"/>
  <c r="F11" i="10"/>
  <c r="F13" i="10"/>
  <c r="F11" i="9"/>
  <c r="G5" i="9"/>
  <c r="C5" i="9"/>
  <c r="F13" i="9"/>
  <c r="Z7" i="38" l="1"/>
  <c r="Z15" i="38"/>
  <c r="Z16" i="38"/>
  <c r="Z17" i="38"/>
  <c r="Z18" i="38"/>
  <c r="Z19" i="38"/>
  <c r="Z20" i="38"/>
  <c r="Z21" i="38"/>
  <c r="Z22" i="38"/>
  <c r="Z26" i="38"/>
  <c r="Z29" i="38"/>
  <c r="Z30" i="38"/>
  <c r="Z32" i="38"/>
  <c r="Z33" i="38"/>
  <c r="Z34" i="38"/>
  <c r="Z36" i="38"/>
  <c r="Z11" i="38"/>
  <c r="Z35" i="38"/>
  <c r="Z6" i="38"/>
  <c r="Z24" i="38"/>
  <c r="Z13" i="38"/>
  <c r="Z14" i="38"/>
  <c r="Z5" i="38"/>
  <c r="Z25" i="38"/>
  <c r="Z23" i="38"/>
  <c r="Z28" i="38"/>
  <c r="I15" i="38"/>
  <c r="I37" i="38" s="1"/>
  <c r="Z31" i="38"/>
  <c r="Y37" i="38"/>
  <c r="L37" i="38"/>
  <c r="Z4" i="38"/>
  <c r="Z37" i="38" l="1"/>
  <c r="Y42" i="38"/>
  <c r="Z42" i="38" s="1"/>
  <c r="F19" i="7"/>
  <c r="F22" i="7" s="1"/>
  <c r="F24" i="7" s="1"/>
  <c r="C5" i="7" s="1"/>
  <c r="G5" i="7" s="1"/>
  <c r="F14" i="7"/>
  <c r="C5" i="26" l="1"/>
  <c r="G5" i="26" s="1"/>
  <c r="C5" i="28"/>
  <c r="G5" i="28" s="1"/>
  <c r="F10" i="33" l="1"/>
  <c r="F9" i="33"/>
  <c r="N26" i="32"/>
  <c r="M26" i="32"/>
  <c r="L26" i="32"/>
  <c r="K26" i="32"/>
  <c r="J26" i="32"/>
  <c r="I26" i="32"/>
  <c r="H26" i="32"/>
  <c r="G26" i="32"/>
  <c r="F26" i="32"/>
  <c r="D23" i="32"/>
  <c r="G5" i="32"/>
  <c r="C5" i="32"/>
  <c r="H10" i="31"/>
  <c r="F12" i="33" l="1"/>
  <c r="H11" i="31"/>
  <c r="H12" i="31" s="1"/>
  <c r="H13" i="31" s="1"/>
  <c r="C5" i="31" s="1"/>
  <c r="G19" i="31"/>
  <c r="F19" i="31"/>
  <c r="F13" i="33" l="1"/>
  <c r="C5" i="33" s="1"/>
  <c r="G5" i="33" s="1"/>
  <c r="F20" i="27"/>
  <c r="E20" i="27"/>
  <c r="D20" i="27"/>
  <c r="C20" i="27"/>
  <c r="H13" i="27"/>
  <c r="H14" i="27" s="1"/>
  <c r="C5" i="27" s="1"/>
  <c r="G5" i="27" s="1"/>
  <c r="H12" i="27"/>
  <c r="I21" i="25"/>
  <c r="H14" i="25"/>
  <c r="I14" i="25" s="1"/>
  <c r="H13" i="25"/>
  <c r="I13" i="25" s="1"/>
  <c r="H12" i="25"/>
  <c r="I12" i="25" s="1"/>
  <c r="H11" i="25"/>
  <c r="D5" i="25"/>
  <c r="H5" i="25" s="1"/>
  <c r="I11" i="25" l="1"/>
  <c r="F10" i="22" l="1"/>
  <c r="C5" i="22" s="1"/>
  <c r="G5" i="22" s="1"/>
  <c r="F11" i="21"/>
  <c r="C5" i="21"/>
  <c r="G5" i="21" s="1"/>
  <c r="F11" i="20"/>
  <c r="C5" i="20" s="1"/>
  <c r="G5" i="20" s="1"/>
  <c r="F11" i="18"/>
  <c r="C5" i="18" s="1"/>
  <c r="G5" i="18" s="1"/>
  <c r="F11" i="17"/>
  <c r="C5" i="17" s="1"/>
  <c r="G5" i="17" s="1"/>
  <c r="F11" i="16"/>
  <c r="C5" i="16"/>
  <c r="G5" i="16" s="1"/>
  <c r="G5" i="5" l="1"/>
  <c r="G5" i="4"/>
  <c r="G28" i="3"/>
  <c r="L24" i="3"/>
  <c r="G24" i="3"/>
  <c r="L23" i="3"/>
  <c r="L22" i="3"/>
  <c r="L25" i="3" s="1"/>
  <c r="G22" i="3"/>
  <c r="C22" i="3"/>
  <c r="N11" i="3"/>
  <c r="M11" i="3"/>
  <c r="L11" i="3"/>
  <c r="H11" i="3"/>
  <c r="G11" i="3"/>
  <c r="E11" i="3"/>
  <c r="D11" i="3"/>
  <c r="C11" i="3"/>
  <c r="G26" i="3" l="1"/>
  <c r="G29" i="3" s="1"/>
  <c r="G30" i="3" s="1"/>
  <c r="C5" i="3" s="1"/>
  <c r="G5" i="3" s="1"/>
  <c r="G5" i="2" l="1"/>
</calcChain>
</file>

<file path=xl/comments1.xml><?xml version="1.0" encoding="utf-8"?>
<comments xmlns="http://schemas.openxmlformats.org/spreadsheetml/2006/main">
  <authors>
    <author>Author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<sst xmlns="http://schemas.openxmlformats.org/spreadsheetml/2006/main" count="1624" uniqueCount="495">
  <si>
    <t>Projected Saving (in Rs Lacs) in FY 16-17</t>
  </si>
  <si>
    <t>Project / Idea</t>
  </si>
  <si>
    <t>Resp</t>
  </si>
  <si>
    <t>HOD</t>
  </si>
  <si>
    <t>Projection Yearly</t>
  </si>
  <si>
    <t>Investment</t>
  </si>
  <si>
    <t xml:space="preserve">Net yearly Projection </t>
  </si>
  <si>
    <t>Effective from</t>
  </si>
  <si>
    <t>Bal Month</t>
  </si>
  <si>
    <t>Net Target for FY16-17</t>
  </si>
  <si>
    <t>Apr'16</t>
  </si>
  <si>
    <t>May'16</t>
  </si>
  <si>
    <t>June'16</t>
  </si>
  <si>
    <t>July'16</t>
  </si>
  <si>
    <t>Aug'16</t>
  </si>
  <si>
    <t>Sep'16</t>
  </si>
  <si>
    <t>Oct'16</t>
  </si>
  <si>
    <t>Nov'16</t>
  </si>
  <si>
    <t>Dec'16</t>
  </si>
  <si>
    <t>Jan'17</t>
  </si>
  <si>
    <t>Feb'17</t>
  </si>
  <si>
    <t>Mar'17</t>
  </si>
  <si>
    <t>Total</t>
  </si>
  <si>
    <t>Bal Target</t>
  </si>
  <si>
    <t>Remark</t>
  </si>
  <si>
    <t>FLAKER 24% increase production/day over present</t>
  </si>
  <si>
    <t>Dinesh</t>
  </si>
  <si>
    <t>July</t>
  </si>
  <si>
    <t>ERUCIC production increase by 5 Mt/day over present</t>
  </si>
  <si>
    <t>May</t>
  </si>
  <si>
    <t>Case A.  Reduction of specific Consumption Over BOM for Standard runs (C-1214/1618 / C-98/Super flex/C-2022/P-12)</t>
  </si>
  <si>
    <t>June</t>
  </si>
  <si>
    <t>Case B.   C-302/303/401/402 SERIES for C-1698/1618TA)</t>
  </si>
  <si>
    <t>April</t>
  </si>
  <si>
    <t xml:space="preserve"> Case C.   C-302/303/501/502 for C-1214/Oleic-k &amp; C/1214/Stearic-92 </t>
  </si>
  <si>
    <t>Reduction in Energy consumption of Thermic Pre-heater by using vent steam instead Coal</t>
  </si>
  <si>
    <t>Sept</t>
  </si>
  <si>
    <t>Use of Chilled water from VAM instead of separate Chiller for Cooling in GDP</t>
  </si>
  <si>
    <t>Shirish</t>
  </si>
  <si>
    <t>Thickness reduction in five layer polybag</t>
  </si>
  <si>
    <t>C Marathe</t>
  </si>
  <si>
    <t>Three layered polybag in place of five layer</t>
  </si>
  <si>
    <t>Change in denier for HDPE bags</t>
  </si>
  <si>
    <t>Reduction in length of bag HDPE</t>
  </si>
  <si>
    <t>Change in packing material type for steric acid</t>
  </si>
  <si>
    <t>Reduction in unproductive NG by filling Hydrogen during grade changeover</t>
  </si>
  <si>
    <t>Nilesh</t>
  </si>
  <si>
    <t>Hydrogen gas recovery from vent gas</t>
  </si>
  <si>
    <t>Reduce Steam Consumption</t>
  </si>
  <si>
    <t>Rajan Jain</t>
  </si>
  <si>
    <t>Optimise Process Parameters in Sec01(01D3 &amp; 01D4 )</t>
  </si>
  <si>
    <t>Reduce Water to ETP</t>
  </si>
  <si>
    <t>Intermediate Reduction ,thereby increase Product by 0.02 %</t>
  </si>
  <si>
    <t>Value addition in alcohol Residue</t>
  </si>
  <si>
    <t>Steam condensate Recovery</t>
  </si>
  <si>
    <t>Operation of CPP in Island mode</t>
  </si>
  <si>
    <t>P Kale</t>
  </si>
  <si>
    <t>Aug</t>
  </si>
  <si>
    <t>Optimisation of Air-conditioning plant operation &amp; plant Lighting</t>
  </si>
  <si>
    <t>A Bansod</t>
  </si>
  <si>
    <t xml:space="preserve">Installation of RO plant for recycling the ETP water </t>
  </si>
  <si>
    <t xml:space="preserve">Reduction in Raw Water pumping cost </t>
  </si>
  <si>
    <t>Lakhan</t>
  </si>
  <si>
    <t>PK Das</t>
  </si>
  <si>
    <t>Thermic Fluid Insulation survey</t>
  </si>
  <si>
    <t>Amey</t>
  </si>
  <si>
    <t>Motor operation at optimumm efficiency</t>
  </si>
  <si>
    <t>Avadhut</t>
  </si>
  <si>
    <t>Condensate recovery in tank farm</t>
  </si>
  <si>
    <t>Pump / blower / compressor eff improvement</t>
  </si>
  <si>
    <t>Utilities Leakages identification &amp; prevention</t>
  </si>
  <si>
    <t>Improving HE performance</t>
  </si>
  <si>
    <t>Sr. No.</t>
  </si>
  <si>
    <t>Project:</t>
  </si>
  <si>
    <t>Project Owner:</t>
  </si>
  <si>
    <t>Dinesh Danav</t>
  </si>
  <si>
    <t>Potential Saving in Rs Lac:</t>
  </si>
  <si>
    <r>
      <rPr>
        <b/>
        <sz val="11"/>
        <color theme="1"/>
        <rFont val="Calibri"/>
        <family val="2"/>
        <scheme val="minor"/>
      </rPr>
      <t>Estimated Expense in Rs Lac:</t>
    </r>
    <r>
      <rPr>
        <sz val="11"/>
        <color theme="1"/>
        <rFont val="Calibri"/>
        <family val="2"/>
        <scheme val="minor"/>
      </rPr>
      <t xml:space="preserve"> </t>
    </r>
  </si>
  <si>
    <t>Net Saving in FY16-17 in Rs Lac :</t>
  </si>
  <si>
    <t>Input Mat</t>
  </si>
  <si>
    <t>Input Qty</t>
  </si>
  <si>
    <t>Process</t>
  </si>
  <si>
    <t>Output Product</t>
  </si>
  <si>
    <t>Maintaince  Allowance</t>
  </si>
  <si>
    <t>Change over days</t>
  </si>
  <si>
    <t>Prod Days</t>
  </si>
  <si>
    <t>C16-C18</t>
  </si>
  <si>
    <t>Behenic Acid (Bulk)</t>
  </si>
  <si>
    <t>Hyd LGMFA</t>
  </si>
  <si>
    <t>Primestric - 12 Bulk</t>
  </si>
  <si>
    <t>Stearic 90 Bulk</t>
  </si>
  <si>
    <t>SPFAD</t>
  </si>
  <si>
    <t>1st Mustard Residue</t>
  </si>
  <si>
    <t>SMUSTARD - LCT</t>
  </si>
  <si>
    <t>MIX RESIDUE</t>
  </si>
  <si>
    <t>SMUSTARD OIL</t>
  </si>
  <si>
    <t>Distillation</t>
  </si>
  <si>
    <t>C16 RICH from PFAD</t>
  </si>
  <si>
    <t>Erucic Acid</t>
  </si>
  <si>
    <t>Vegacid 1880</t>
  </si>
  <si>
    <t>Prodtn after increase 24%</t>
  </si>
  <si>
    <t>50 MT/day</t>
  </si>
  <si>
    <t>Days decreased</t>
  </si>
  <si>
    <t>Power per MT</t>
  </si>
  <si>
    <t>KWH</t>
  </si>
  <si>
    <t>Power per day</t>
  </si>
  <si>
    <t>RS.</t>
  </si>
  <si>
    <t>OR</t>
  </si>
  <si>
    <t>Power reduced</t>
  </si>
  <si>
    <t>Total cost</t>
  </si>
  <si>
    <t>Manpower reduction</t>
  </si>
  <si>
    <t>Rs</t>
  </si>
  <si>
    <t xml:space="preserve">No of Man </t>
  </si>
  <si>
    <t>No of Days</t>
  </si>
  <si>
    <t>TOTAL SAVINGS</t>
  </si>
  <si>
    <t>RS</t>
  </si>
  <si>
    <t>FLAKER (Manpower &amp;Power)</t>
  </si>
  <si>
    <t>DD1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</si>
  <si>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</si>
  <si>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</si>
  <si>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</si>
  <si>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</si>
  <si>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</si>
  <si>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</si>
  <si>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</si>
  <si>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</si>
  <si>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Saving achieved in Lac</t>
  </si>
  <si>
    <t>Certified by process owner</t>
  </si>
  <si>
    <t>Verified by Anirudh Bansod</t>
  </si>
  <si>
    <t>Verified by Dinesh Danav</t>
  </si>
  <si>
    <t>Verified by Prabhat Das</t>
  </si>
  <si>
    <t>Sheet</t>
  </si>
  <si>
    <t>DD2</t>
  </si>
  <si>
    <t>DD4</t>
  </si>
  <si>
    <t>DD3.1</t>
  </si>
  <si>
    <t>DD3.2</t>
  </si>
  <si>
    <t>DD3.3</t>
  </si>
  <si>
    <t>SH1</t>
  </si>
  <si>
    <t xml:space="preserve">April </t>
  </si>
  <si>
    <t>Sep</t>
  </si>
  <si>
    <t>Oct</t>
  </si>
  <si>
    <t>Nov</t>
  </si>
  <si>
    <t>Dec</t>
  </si>
  <si>
    <t>Feb</t>
  </si>
  <si>
    <t>Erucic</t>
  </si>
  <si>
    <t>Target 42%</t>
  </si>
  <si>
    <t>Max Erucic MT per day</t>
  </si>
  <si>
    <t>Thermic fluid temperture issue</t>
  </si>
  <si>
    <t>Feed rate low due to low feed stock</t>
  </si>
  <si>
    <t>2015-2016</t>
  </si>
  <si>
    <t>Q-I</t>
  </si>
  <si>
    <t>Q-II</t>
  </si>
  <si>
    <t>Q-III</t>
  </si>
  <si>
    <t>Q-IV</t>
  </si>
  <si>
    <t>Erucic production per MT</t>
  </si>
  <si>
    <t>Average overall FY-2015-16</t>
  </si>
  <si>
    <t>67 Mt per day</t>
  </si>
  <si>
    <t>Prodctn days</t>
  </si>
  <si>
    <t>Utilies saved</t>
  </si>
  <si>
    <t>MT days</t>
  </si>
  <si>
    <t>Steam</t>
  </si>
  <si>
    <t>Coal</t>
  </si>
  <si>
    <t>Power</t>
  </si>
  <si>
    <t>Days saved</t>
  </si>
  <si>
    <t>mt/hr</t>
  </si>
  <si>
    <t>Feed per day</t>
  </si>
  <si>
    <t>Feed proceesd in saved days</t>
  </si>
  <si>
    <t>ERUCIC production 5 MT/day incresed by Present savings</t>
  </si>
  <si>
    <t>Cost saved</t>
  </si>
  <si>
    <t>Base Data</t>
  </si>
  <si>
    <t>C-16 rich generated</t>
  </si>
  <si>
    <t>%</t>
  </si>
  <si>
    <t>Rs. Saved for feed procees</t>
  </si>
  <si>
    <t>FOR OLIEC-K</t>
  </si>
  <si>
    <t>FOR Stearic-92</t>
  </si>
  <si>
    <t>FEEd processed</t>
  </si>
  <si>
    <t>DAYS of Production</t>
  </si>
  <si>
    <t>TOTAL coal saved</t>
  </si>
  <si>
    <t>RS saved</t>
  </si>
  <si>
    <t>TOTAL Savings</t>
  </si>
  <si>
    <t>Rs.</t>
  </si>
  <si>
    <t>CM1</t>
  </si>
  <si>
    <t>CM2</t>
  </si>
  <si>
    <t>CM3</t>
  </si>
  <si>
    <t>CM4</t>
  </si>
  <si>
    <t>CM5</t>
  </si>
  <si>
    <t xml:space="preserve">Base Data: </t>
  </si>
  <si>
    <t>NA1</t>
  </si>
  <si>
    <t>NA2</t>
  </si>
  <si>
    <t>RJ1</t>
  </si>
  <si>
    <t>RJ2</t>
  </si>
  <si>
    <t>RJ3</t>
  </si>
  <si>
    <t>RJ4</t>
  </si>
  <si>
    <t>RJ5</t>
  </si>
  <si>
    <t>RJ6</t>
  </si>
  <si>
    <t>Reduction in steam consumption</t>
  </si>
  <si>
    <t>Estimated reduction in steam consumption</t>
  </si>
  <si>
    <t>MT/day</t>
  </si>
  <si>
    <t>Steam cost</t>
  </si>
  <si>
    <t>Rs/Kg</t>
  </si>
  <si>
    <t>Annual Saving</t>
  </si>
  <si>
    <t>Rs/ Year</t>
  </si>
  <si>
    <t>No of working days</t>
  </si>
  <si>
    <t>Reduction in coal consumption</t>
  </si>
  <si>
    <t>Kg/hr</t>
  </si>
  <si>
    <t>Coal cost</t>
  </si>
  <si>
    <t>Reduction in water to ETP</t>
  </si>
  <si>
    <t>Estimated reduction in water to ETP</t>
  </si>
  <si>
    <t>m3/day</t>
  </si>
  <si>
    <t>ETP processing cost</t>
  </si>
  <si>
    <t>Rs/m3</t>
  </si>
  <si>
    <t>MT/year</t>
  </si>
  <si>
    <t>DM water cost</t>
  </si>
  <si>
    <t>DMW cost</t>
  </si>
  <si>
    <t>PK1</t>
  </si>
  <si>
    <t>AB1</t>
  </si>
  <si>
    <t>PK2</t>
  </si>
  <si>
    <t>PKD2</t>
  </si>
  <si>
    <t>PKD3</t>
  </si>
  <si>
    <t>PKD4</t>
  </si>
  <si>
    <t>PKD5</t>
  </si>
  <si>
    <t>PKD6</t>
  </si>
  <si>
    <t>PKD7</t>
  </si>
  <si>
    <t>Operation of GT in Island mode</t>
  </si>
  <si>
    <t>Anirudda Bansod</t>
  </si>
  <si>
    <t>Year</t>
  </si>
  <si>
    <t>MSEB Import</t>
  </si>
  <si>
    <t>MSEB Bill</t>
  </si>
  <si>
    <t>MD Charges</t>
  </si>
  <si>
    <t>Energy Charges</t>
  </si>
  <si>
    <t>Gas Cost if on GT</t>
  </si>
  <si>
    <t>Saving</t>
  </si>
  <si>
    <t>KWh</t>
  </si>
  <si>
    <t>2014-15</t>
  </si>
  <si>
    <t>2015-16</t>
  </si>
  <si>
    <t>2016-17</t>
  </si>
  <si>
    <t>Units Generated</t>
  </si>
  <si>
    <t>Gas Consumed</t>
  </si>
  <si>
    <t>Ratio</t>
  </si>
  <si>
    <t>NG Rate</t>
  </si>
  <si>
    <t>Gas Cost</t>
  </si>
  <si>
    <t>SCM</t>
  </si>
  <si>
    <t>SCM/KWh</t>
  </si>
  <si>
    <t>Rs/SCM</t>
  </si>
  <si>
    <t>After shifting MSEB load on GT with present specific fuel consumption</t>
  </si>
  <si>
    <t>Unit Generation</t>
  </si>
  <si>
    <t>Gas Consumption</t>
  </si>
  <si>
    <t>After shifting MSEB load on GT with new specific fuel consumption</t>
  </si>
  <si>
    <t>Total saving:</t>
  </si>
  <si>
    <t>On account of reduction in MSEB billing</t>
  </si>
  <si>
    <t>On account of reduction in specific fuel consumption</t>
  </si>
  <si>
    <t>AC controller</t>
  </si>
  <si>
    <t>SR. NO.</t>
  </si>
  <si>
    <t>LOCATION</t>
  </si>
  <si>
    <t>TR</t>
  </si>
  <si>
    <t>OP. HRS/ DAY</t>
  </si>
  <si>
    <t>total kwh (1.2kwh/ton)</t>
  </si>
  <si>
    <t>KWH / day</t>
  </si>
  <si>
    <t>cost rs 5/kwh</t>
  </si>
  <si>
    <t>20% saving assumed /day Rs.</t>
  </si>
  <si>
    <t>kwh saving /day</t>
  </si>
  <si>
    <t>Energy saver unit price Rs.</t>
  </si>
  <si>
    <t>Admin</t>
  </si>
  <si>
    <t>10 or 24</t>
  </si>
  <si>
    <t>FAP &amp; pest area</t>
  </si>
  <si>
    <t>DFA &amp; GDP area</t>
  </si>
  <si>
    <t>CPP area</t>
  </si>
  <si>
    <t>LED lamps</t>
  </si>
  <si>
    <t>No of fittings</t>
  </si>
  <si>
    <t>Existing fitting  Wattage</t>
  </si>
  <si>
    <t>proposed LED wattage</t>
  </si>
  <si>
    <t>Difference wattage</t>
  </si>
  <si>
    <t>operating Hrs</t>
  </si>
  <si>
    <t>unit rate/kwh</t>
  </si>
  <si>
    <t xml:space="preserve">Total Rs saving </t>
  </si>
  <si>
    <t>Total Annual saving</t>
  </si>
  <si>
    <t>Reduction in power consumption for raw water supply.</t>
  </si>
  <si>
    <t>Initial power consumption for Raw water supply</t>
  </si>
  <si>
    <t>Power consumption for Raw water supply after modification</t>
  </si>
  <si>
    <t>Power saving</t>
  </si>
  <si>
    <t>Power Cost</t>
  </si>
  <si>
    <t>Rs/kwh</t>
  </si>
  <si>
    <t>Saving potential</t>
  </si>
  <si>
    <t>Rs/day</t>
  </si>
  <si>
    <t>Lacs/month</t>
  </si>
  <si>
    <t>Lacs/annum</t>
  </si>
  <si>
    <t>power Cost</t>
  </si>
  <si>
    <t>NO of day</t>
  </si>
  <si>
    <t>Rs/year</t>
  </si>
  <si>
    <t>VAM chilled water to GDP</t>
  </si>
  <si>
    <t>Prabhat Das</t>
  </si>
  <si>
    <t>Power consumption before modification</t>
  </si>
  <si>
    <t>Chiller A Power consumption</t>
  </si>
  <si>
    <t>KW</t>
  </si>
  <si>
    <t>Measured</t>
  </si>
  <si>
    <t>Chiller B Power consumption</t>
  </si>
  <si>
    <t>Chiller Pump- P-7126A Power consumption</t>
  </si>
  <si>
    <t>Chiller Pump- P-7126B Power consumption</t>
  </si>
  <si>
    <t>Chiller Pump- P-7126D Power consumption</t>
  </si>
  <si>
    <t>Total present power consumption</t>
  </si>
  <si>
    <t>Calculated</t>
  </si>
  <si>
    <t>Power consumption after modification</t>
  </si>
  <si>
    <t>Power consumption by booster pump</t>
  </si>
  <si>
    <t>Estimated</t>
  </si>
  <si>
    <t>Net Power saving</t>
  </si>
  <si>
    <t>Rs/KW</t>
  </si>
  <si>
    <t>Total Running days per year</t>
  </si>
  <si>
    <t>Days</t>
  </si>
  <si>
    <t>Net Saving</t>
  </si>
  <si>
    <t>Rs/annum</t>
  </si>
  <si>
    <t>Total saving</t>
  </si>
  <si>
    <t xml:space="preserve">Thermic fluid header insulation </t>
  </si>
  <si>
    <t>Total uninsulated area (Excluding Flanges)</t>
  </si>
  <si>
    <t>m2</t>
  </si>
  <si>
    <t>Total heat loss</t>
  </si>
  <si>
    <t>kcal/hr</t>
  </si>
  <si>
    <t>Coal consumption</t>
  </si>
  <si>
    <t>kg/hr</t>
  </si>
  <si>
    <t>Lacs/day</t>
  </si>
  <si>
    <t>Condensate recovery in Tankfarm</t>
  </si>
  <si>
    <t>Tag No.</t>
  </si>
  <si>
    <t>P-903A</t>
  </si>
  <si>
    <t>P-903C</t>
  </si>
  <si>
    <t>P-362B</t>
  </si>
  <si>
    <t>Plant</t>
  </si>
  <si>
    <t>Fatty Acid</t>
  </si>
  <si>
    <t>Rated power</t>
  </si>
  <si>
    <t>Percentage load</t>
  </si>
  <si>
    <t>Replaceable motor</t>
  </si>
  <si>
    <t>Improvable power factor</t>
  </si>
  <si>
    <t>cos phi</t>
  </si>
  <si>
    <t xml:space="preserve">No load power saving </t>
  </si>
  <si>
    <t xml:space="preserve">Efficiency wise saving </t>
  </si>
  <si>
    <t xml:space="preserve">Total Saving </t>
  </si>
  <si>
    <t>Power Cost Saving</t>
  </si>
  <si>
    <t>Lacs/Year</t>
  </si>
  <si>
    <t>Replaceable motor price</t>
  </si>
  <si>
    <t>INR</t>
  </si>
  <si>
    <t>Total cost saving</t>
  </si>
  <si>
    <t>lacs/year</t>
  </si>
  <si>
    <t>Improvement in condensate recovery after modification</t>
  </si>
  <si>
    <t>DM water cost saving</t>
  </si>
  <si>
    <t>INR/day</t>
  </si>
  <si>
    <t>ETP cost reduction</t>
  </si>
  <si>
    <t>Total saving per day</t>
  </si>
  <si>
    <t>Annual saving (@330 days per year)</t>
  </si>
  <si>
    <t>INR/Year</t>
  </si>
  <si>
    <t>Improving Heat Exchangers performance</t>
  </si>
  <si>
    <t xml:space="preserve">Base Data </t>
  </si>
  <si>
    <t>Expected rise in feed temperature of Section 3 feed after HE cleaning</t>
  </si>
  <si>
    <t>°C</t>
  </si>
  <si>
    <t>Section 3 average feed rate (assumed)</t>
  </si>
  <si>
    <t>Total Energy saving</t>
  </si>
  <si>
    <t>Kcal/hr</t>
  </si>
  <si>
    <t>Cost Saving (@4.88 Rs/Kg coal cost,300 working days)</t>
  </si>
  <si>
    <t>Relocation of DFA air compressor</t>
  </si>
  <si>
    <t>Prasad kale</t>
  </si>
  <si>
    <t>Satish J</t>
  </si>
  <si>
    <t>SJ1</t>
  </si>
  <si>
    <t>D Shinde</t>
  </si>
  <si>
    <t>DS1</t>
  </si>
  <si>
    <t>Satish Jadhav</t>
  </si>
  <si>
    <t xml:space="preserve">Shrish </t>
  </si>
  <si>
    <t>DD5</t>
  </si>
  <si>
    <t>C-302,C-402 instead C-302, C-303 for superflex</t>
  </si>
  <si>
    <t>Cost implications (INR)</t>
  </si>
  <si>
    <t>Yearly cost saving (INR)</t>
  </si>
  <si>
    <t>Cost saving for remaining period of 2016-17 (6 months)</t>
  </si>
  <si>
    <t>Expt. dispatches can be started from Sept</t>
  </si>
  <si>
    <t xml:space="preserve">200 ± 10 </t>
  </si>
  <si>
    <t>cheaper than existing bag price</t>
  </si>
  <si>
    <t>(cheaper than existing bag price)</t>
  </si>
  <si>
    <t>(Expt. dispatches can be started from Sept)</t>
  </si>
  <si>
    <t>Existing thickness (microns)</t>
  </si>
  <si>
    <t>Intended change in thickness (microns</t>
  </si>
  <si>
    <t>No. of bags used per year (Nos)</t>
  </si>
  <si>
    <t>Existing layers</t>
  </si>
  <si>
    <t>Intended change in layers</t>
  </si>
  <si>
    <t>Existing denier</t>
  </si>
  <si>
    <t>Intended change in denier</t>
  </si>
  <si>
    <t>Cost implications (INR) for bags with liner</t>
  </si>
  <si>
    <t>Cost implications (INR) for bags without liner</t>
  </si>
  <si>
    <t>No. of bags used per year (With liner)</t>
  </si>
  <si>
    <t>No. of bags used per year (Without liner)</t>
  </si>
  <si>
    <t>(For bags with liner)</t>
  </si>
  <si>
    <t>(For bags Without liner)</t>
  </si>
  <si>
    <t>Existing length of bag</t>
  </si>
  <si>
    <t>965 mm</t>
  </si>
  <si>
    <t>Intended change in length</t>
  </si>
  <si>
    <t>5 inch (127 mm)</t>
  </si>
  <si>
    <t>Cost saving for remaining period of 2016-17 (9 months)</t>
  </si>
  <si>
    <t>Existing packing</t>
  </si>
  <si>
    <t>Paper bags</t>
  </si>
  <si>
    <t xml:space="preserve">Intended change in packing </t>
  </si>
  <si>
    <t>HDPE bags</t>
  </si>
  <si>
    <t>(cheaper than paper bag)</t>
  </si>
  <si>
    <t>H2 Recovery</t>
  </si>
  <si>
    <t>Nilesh Agrawal</t>
  </si>
  <si>
    <t>Net Saving in FY15-16 in Rs Lac :</t>
  </si>
  <si>
    <t>Expected additional H2 recovery per Hr</t>
  </si>
  <si>
    <t>NM3</t>
  </si>
  <si>
    <t>Equivalent NG saving per Hr @ sp. Consumption of 0.48</t>
  </si>
  <si>
    <t>Assuming NG cost per NM3 Rs 37, saving</t>
  </si>
  <si>
    <t>Rs / Hr</t>
  </si>
  <si>
    <t>Saving per day</t>
  </si>
  <si>
    <t>Rs / Day</t>
  </si>
  <si>
    <t>Taking 330 working days saving</t>
  </si>
  <si>
    <t>Rs / Yr</t>
  </si>
  <si>
    <t>Reduction in unproductive NG by reducing H2 venting.</t>
  </si>
  <si>
    <t xml:space="preserve">Project Owner: </t>
  </si>
  <si>
    <t>H2 sold at discounted rate on low load days of FAP</t>
  </si>
  <si>
    <t>TOTAL power</t>
  </si>
  <si>
    <t>Production reduced after 24% increas</t>
  </si>
  <si>
    <t>Section</t>
  </si>
  <si>
    <t>Standard Run</t>
  </si>
  <si>
    <t>Feed rate</t>
  </si>
  <si>
    <t>Specific heat</t>
  </si>
  <si>
    <t>In Temp</t>
  </si>
  <si>
    <t>Out Temp</t>
  </si>
  <si>
    <t>Difference</t>
  </si>
  <si>
    <t>Heat Load</t>
  </si>
  <si>
    <t>Enthalpy of steam</t>
  </si>
  <si>
    <t>Steam flow rate</t>
  </si>
  <si>
    <t>Cost saving</t>
  </si>
  <si>
    <t>KG/HR</t>
  </si>
  <si>
    <t>KCAL/KG</t>
  </si>
  <si>
    <t>0C</t>
  </si>
  <si>
    <t>KCAL</t>
  </si>
  <si>
    <t>C 301</t>
  </si>
  <si>
    <t>ALCOHOL</t>
  </si>
  <si>
    <t>C302-303</t>
  </si>
  <si>
    <t>SPKO</t>
  </si>
  <si>
    <t>SEC 4</t>
  </si>
  <si>
    <t>SEC 5</t>
  </si>
  <si>
    <t>SRMO</t>
  </si>
  <si>
    <t xml:space="preserve">LURGI </t>
  </si>
  <si>
    <t>Base data</t>
  </si>
  <si>
    <t>Production days</t>
  </si>
  <si>
    <t>Input Material</t>
  </si>
  <si>
    <t>HP steam loss@60 bar(G),1.5 mm bore dia</t>
  </si>
  <si>
    <t>no.of leakages in HP line</t>
  </si>
  <si>
    <t>MP steam loss@12 bar(G),1 mm bore dia</t>
  </si>
  <si>
    <t>Total steam loss</t>
  </si>
  <si>
    <t>Steam cost cost</t>
  </si>
  <si>
    <t>Increase in production</t>
  </si>
  <si>
    <t>Rs/MT</t>
  </si>
  <si>
    <t>Value addition in alcohol residue</t>
  </si>
  <si>
    <t>Product cost</t>
  </si>
  <si>
    <t>Improvement in recovery</t>
  </si>
  <si>
    <t>Reduction in Energy consumption of Thermic Pre-heater by using vent steam instead Coal (Subjected to venting from CPP)</t>
  </si>
  <si>
    <t>Alfa laval cooling tower inter connection</t>
  </si>
  <si>
    <t>SH2</t>
  </si>
  <si>
    <t>SH3</t>
  </si>
  <si>
    <t>AB2</t>
  </si>
  <si>
    <t>Installation of VFD for Thermic fluid pumps in Coal heater DFA pumps</t>
  </si>
  <si>
    <t>New Projects</t>
  </si>
  <si>
    <t>Replacement of Metallic fan by FRP fan of GDP paharpur cooling tower</t>
  </si>
  <si>
    <t>Energy saving from DFA air system</t>
  </si>
  <si>
    <t>DD6</t>
  </si>
  <si>
    <t xml:space="preserve">Reduction in nickel catalyst in hydogenation section </t>
  </si>
  <si>
    <t>Dinesh Danao</t>
  </si>
  <si>
    <t>Ni Catalyst cost reduction</t>
  </si>
  <si>
    <r>
      <rPr>
        <b/>
        <sz val="11"/>
        <color theme="1"/>
        <rFont val="Calibri"/>
        <family val="2"/>
        <scheme val="minor"/>
      </rPr>
      <t>Estimated Expense in 
Rs Lac:</t>
    </r>
    <r>
      <rPr>
        <sz val="11"/>
        <color theme="1"/>
        <rFont val="Calibri"/>
        <family val="2"/>
        <scheme val="minor"/>
      </rPr>
      <t xml:space="preserve"> </t>
    </r>
  </si>
  <si>
    <t>DD7</t>
  </si>
  <si>
    <t>(remaining steam loss is to be estimated)</t>
  </si>
  <si>
    <t>Without VFD</t>
  </si>
  <si>
    <t>With VFD</t>
  </si>
  <si>
    <t>Frequency</t>
  </si>
  <si>
    <t>Oil flow cum/hr</t>
  </si>
  <si>
    <t>Pressure kg/cm2</t>
  </si>
  <si>
    <t>Power KW</t>
  </si>
  <si>
    <t>Net Power Saving</t>
  </si>
  <si>
    <t>Power cost</t>
  </si>
  <si>
    <t>Rs/KWh</t>
  </si>
  <si>
    <t>Plant running days</t>
  </si>
  <si>
    <t>KWh/hr</t>
  </si>
  <si>
    <t>Lacs Rs/year</t>
  </si>
  <si>
    <t>Installation of VFD for DFA coal heater Thermic fluid pumps</t>
  </si>
  <si>
    <t>Mid Aug</t>
  </si>
  <si>
    <t>*Recovery started from 1 Oct2016</t>
  </si>
  <si>
    <t>Expected from Nov'16</t>
  </si>
  <si>
    <t>Pending due to plant availability</t>
  </si>
  <si>
    <t>By purchase team</t>
  </si>
  <si>
    <t>After detail study of proposal. Calculated saving app is 3.25 L/Yr in sec 4&amp;5 as against projected saving of 3.9L/M. hence idea dropped</t>
  </si>
  <si>
    <t>Due to frequent change over and small run size, it is not possible to squeez out the Residue.</t>
  </si>
  <si>
    <t>Due to frequent change over and small run size, hydrocarbon stock is not getting built-up.</t>
  </si>
  <si>
    <t>To hold at present scenario</t>
  </si>
  <si>
    <t>Savings due yeild improvement  of Superflex</t>
  </si>
  <si>
    <t>DD</t>
  </si>
  <si>
    <t>DFA C1698% from Undistilled C1214 B/P</t>
  </si>
  <si>
    <t>Total Final</t>
  </si>
  <si>
    <t>Run hr</t>
  </si>
  <si>
    <t>Saving per hr (base on actual KW data )</t>
  </si>
  <si>
    <t>From FY 17-18</t>
  </si>
  <si>
    <t>Idea droped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</si>
</sst>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mbria"/>
      <family val="1"/>
      <scheme val="major"/>
    </font>
    <font>
      <sz val="12"/>
      <name val="Arial"/>
      <family val="2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0" fontId="0" fillId="0" borderId="0" xfId="0" applyAlignment="1"/>
    <xf numFmtId="0" fontId="0" fillId="0" borderId="0" xfId="0" applyAlignment="1">
      <alignment horizontal="right"/>
    </xf>
    <xf numFmtId="0" fontId="2" fillId="0" borderId="1" xfId="0" applyFont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2" fontId="2" fillId="0" borderId="1" xfId="0" applyNumberFormat="1" applyFont="1" applyBorder="1" applyAlignment="1">
      <alignment vertical="center" wrapText="1"/>
    </xf>
    <xf numFmtId="2" fontId="0" fillId="0" borderId="1" xfId="0" applyNumberFormat="1" applyFont="1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/>
    <xf numFmtId="0" fontId="0" fillId="0" borderId="7" xfId="0" applyBorder="1" applyAlignment="1"/>
    <xf numFmtId="0" fontId="2" fillId="0" borderId="0" xfId="0" applyFont="1" applyBorder="1"/>
    <xf numFmtId="0" fontId="0" fillId="0" borderId="1" xfId="0" applyBorder="1" applyAlignment="1"/>
    <xf numFmtId="165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9" borderId="1" xfId="0" applyFont="1" applyFill="1" applyBorder="1"/>
    <xf numFmtId="166" fontId="0" fillId="9" borderId="1" xfId="0" applyNumberFormat="1" applyFont="1" applyFill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2" fontId="0" fillId="0" borderId="1" xfId="0" applyNumberFormat="1" applyFont="1" applyBorder="1"/>
    <xf numFmtId="164" fontId="0" fillId="0" borderId="1" xfId="0" applyNumberFormat="1" applyFont="1" applyBorder="1"/>
    <xf numFmtId="0" fontId="0" fillId="0" borderId="13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8" xfId="0" applyFont="1" applyBorder="1"/>
    <xf numFmtId="0" fontId="0" fillId="0" borderId="22" xfId="0" applyFont="1" applyBorder="1"/>
    <xf numFmtId="0" fontId="0" fillId="0" borderId="24" xfId="0" applyFont="1" applyBorder="1"/>
    <xf numFmtId="0" fontId="1" fillId="0" borderId="24" xfId="0" applyFont="1" applyBorder="1"/>
    <xf numFmtId="0" fontId="0" fillId="0" borderId="13" xfId="0" applyFont="1" applyBorder="1"/>
    <xf numFmtId="0" fontId="0" fillId="0" borderId="0" xfId="0" applyFont="1" applyBorder="1"/>
    <xf numFmtId="0" fontId="2" fillId="0" borderId="14" xfId="0" applyFont="1" applyBorder="1"/>
    <xf numFmtId="0" fontId="0" fillId="0" borderId="15" xfId="0" applyFont="1" applyBorder="1"/>
    <xf numFmtId="1" fontId="2" fillId="0" borderId="15" xfId="0" applyNumberFormat="1" applyFont="1" applyBorder="1"/>
    <xf numFmtId="0" fontId="0" fillId="0" borderId="0" xfId="0" applyAlignment="1">
      <alignment horizontal="center"/>
    </xf>
    <xf numFmtId="0" fontId="0" fillId="0" borderId="25" xfId="0" applyBorder="1"/>
    <xf numFmtId="0" fontId="0" fillId="0" borderId="1" xfId="0" applyBorder="1" applyAlignment="1">
      <alignment horizontal="center"/>
    </xf>
    <xf numFmtId="0" fontId="7" fillId="0" borderId="1" xfId="0" applyFont="1" applyBorder="1"/>
    <xf numFmtId="1" fontId="0" fillId="0" borderId="1" xfId="0" applyNumberFormat="1" applyBorder="1"/>
    <xf numFmtId="2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2" fontId="0" fillId="1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/>
    <xf numFmtId="1" fontId="7" fillId="0" borderId="1" xfId="0" applyNumberFormat="1" applyFont="1" applyBorder="1"/>
    <xf numFmtId="2" fontId="0" fillId="0" borderId="1" xfId="0" applyNumberFormat="1" applyFont="1" applyBorder="1" applyAlignment="1">
      <alignment horizontal="center" vertical="center" wrapText="1"/>
    </xf>
    <xf numFmtId="0" fontId="0" fillId="0" borderId="24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2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0" fillId="0" borderId="26" xfId="0" applyFont="1" applyBorder="1" applyAlignment="1">
      <alignment horizontal="right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0" fillId="10" borderId="1" xfId="0" applyFill="1" applyBorder="1"/>
    <xf numFmtId="2" fontId="0" fillId="0" borderId="1" xfId="0" applyNumberFormat="1" applyBorder="1" applyAlignment="1">
      <alignment horizontal="center" wrapText="1"/>
    </xf>
    <xf numFmtId="0" fontId="0" fillId="0" borderId="28" xfId="0" applyBorder="1"/>
    <xf numFmtId="0" fontId="0" fillId="0" borderId="29" xfId="0" applyBorder="1"/>
    <xf numFmtId="0" fontId="0" fillId="0" borderId="18" xfId="0" applyBorder="1" applyAlignment="1">
      <alignment horizontal="right"/>
    </xf>
    <xf numFmtId="0" fontId="0" fillId="0" borderId="23" xfId="0" applyBorder="1"/>
    <xf numFmtId="0" fontId="0" fillId="0" borderId="12" xfId="0" applyFill="1" applyBorder="1"/>
    <xf numFmtId="0" fontId="0" fillId="0" borderId="16" xfId="0" applyBorder="1"/>
    <xf numFmtId="0" fontId="0" fillId="0" borderId="17" xfId="0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left"/>
    </xf>
    <xf numFmtId="2" fontId="2" fillId="0" borderId="1" xfId="0" applyNumberFormat="1" applyFont="1" applyFill="1" applyBorder="1" applyAlignment="1">
      <alignment horizontal="center"/>
    </xf>
    <xf numFmtId="0" fontId="0" fillId="0" borderId="31" xfId="0" applyBorder="1"/>
    <xf numFmtId="0" fontId="0" fillId="0" borderId="32" xfId="0" applyBorder="1"/>
    <xf numFmtId="2" fontId="0" fillId="0" borderId="33" xfId="0" applyNumberFormat="1" applyBorder="1"/>
    <xf numFmtId="0" fontId="0" fillId="0" borderId="36" xfId="0" applyBorder="1"/>
    <xf numFmtId="2" fontId="0" fillId="0" borderId="24" xfId="0" applyNumberFormat="1" applyBorder="1"/>
    <xf numFmtId="2" fontId="0" fillId="0" borderId="26" xfId="0" applyNumberFormat="1" applyBorder="1"/>
    <xf numFmtId="0" fontId="0" fillId="0" borderId="17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10" borderId="1" xfId="0" applyFill="1" applyBorder="1" applyAlignment="1">
      <alignment horizontal="center"/>
    </xf>
    <xf numFmtId="0" fontId="8" fillId="12" borderId="22" xfId="0" applyFont="1" applyFill="1" applyBorder="1" applyAlignment="1">
      <alignment horizontal="left" vertical="center"/>
    </xf>
    <xf numFmtId="0" fontId="8" fillId="12" borderId="18" xfId="0" applyFont="1" applyFill="1" applyBorder="1" applyAlignment="1">
      <alignment horizontal="left" vertical="center"/>
    </xf>
    <xf numFmtId="0" fontId="8" fillId="12" borderId="18" xfId="0" applyFont="1" applyFill="1" applyBorder="1" applyAlignment="1">
      <alignment horizontal="center" vertical="center"/>
    </xf>
    <xf numFmtId="0" fontId="8" fillId="12" borderId="24" xfId="0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1" fontId="8" fillId="10" borderId="1" xfId="0" applyNumberFormat="1" applyFont="1" applyFill="1" applyBorder="1" applyAlignment="1">
      <alignment horizontal="center" vertical="center"/>
    </xf>
    <xf numFmtId="0" fontId="0" fillId="0" borderId="24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2" fontId="9" fillId="0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3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4" xfId="0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10" borderId="26" xfId="0" applyFill="1" applyBorder="1"/>
    <xf numFmtId="0" fontId="0" fillId="10" borderId="16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0" xfId="0" applyNumberFormat="1" applyFont="1" applyBorder="1"/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left" vertical="center" readingOrder="1"/>
    </xf>
    <xf numFmtId="1" fontId="10" fillId="0" borderId="1" xfId="0" applyNumberFormat="1" applyFont="1" applyBorder="1" applyAlignment="1">
      <alignment horizontal="left" vertical="center" readingOrder="1"/>
    </xf>
    <xf numFmtId="0" fontId="10" fillId="0" borderId="2" xfId="0" applyFont="1" applyBorder="1" applyAlignment="1">
      <alignment horizontal="left" vertical="center" readingOrder="1"/>
    </xf>
    <xf numFmtId="0" fontId="10" fillId="0" borderId="3" xfId="0" applyFont="1" applyBorder="1" applyAlignment="1">
      <alignment horizontal="left" vertical="center" readingOrder="1"/>
    </xf>
    <xf numFmtId="0" fontId="10" fillId="0" borderId="4" xfId="0" applyFont="1" applyBorder="1" applyAlignment="1">
      <alignment horizontal="left" vertical="center" readingOrder="1"/>
    </xf>
    <xf numFmtId="1" fontId="10" fillId="0" borderId="1" xfId="0" applyNumberFormat="1" applyFont="1" applyBorder="1" applyAlignment="1">
      <alignment horizontal="center" vertical="center" readingOrder="1"/>
    </xf>
    <xf numFmtId="1" fontId="0" fillId="0" borderId="1" xfId="0" applyNumberFormat="1" applyBorder="1" applyAlignme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2" fontId="2" fillId="0" borderId="1" xfId="0" applyNumberFormat="1" applyFont="1" applyBorder="1" applyAlignment="1">
      <alignment wrapText="1"/>
    </xf>
    <xf numFmtId="2" fontId="0" fillId="0" borderId="1" xfId="0" applyNumberFormat="1" applyFont="1" applyBorder="1" applyAlignment="1">
      <alignment horizontal="left" wrapText="1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2" fontId="3" fillId="0" borderId="1" xfId="1" applyNumberFormat="1" applyFill="1" applyBorder="1"/>
    <xf numFmtId="0" fontId="3" fillId="0" borderId="1" xfId="1" applyFont="1" applyBorder="1" applyAlignment="1"/>
    <xf numFmtId="0" fontId="3" fillId="0" borderId="0" xfId="1" applyFont="1" applyBorder="1" applyAlignment="1"/>
    <xf numFmtId="0" fontId="2" fillId="0" borderId="2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42" xfId="0" applyBorder="1" applyAlignment="1">
      <alignment wrapText="1"/>
    </xf>
    <xf numFmtId="0" fontId="0" fillId="0" borderId="7" xfId="0" applyBorder="1" applyAlignment="1">
      <alignment horizontal="left" wrapText="1"/>
    </xf>
    <xf numFmtId="2" fontId="0" fillId="0" borderId="1" xfId="0" applyNumberFormat="1" applyBorder="1" applyAlignment="1">
      <alignment horizontal="left" wrapText="1"/>
    </xf>
    <xf numFmtId="2" fontId="2" fillId="0" borderId="0" xfId="0" applyNumberFormat="1" applyFont="1" applyBorder="1" applyAlignment="1">
      <alignment horizontal="left"/>
    </xf>
    <xf numFmtId="0" fontId="2" fillId="0" borderId="8" xfId="0" applyFont="1" applyBorder="1"/>
    <xf numFmtId="0" fontId="0" fillId="0" borderId="9" xfId="0" applyBorder="1"/>
    <xf numFmtId="0" fontId="11" fillId="8" borderId="1" xfId="0" applyFont="1" applyFill="1" applyBorder="1"/>
    <xf numFmtId="0" fontId="11" fillId="8" borderId="1" xfId="0" applyFont="1" applyFill="1" applyBorder="1" applyAlignment="1"/>
    <xf numFmtId="0" fontId="11" fillId="8" borderId="1" xfId="0" applyFont="1" applyFill="1" applyBorder="1" applyAlignment="1">
      <alignment horizontal="right"/>
    </xf>
    <xf numFmtId="0" fontId="12" fillId="0" borderId="0" xfId="0" applyFont="1"/>
    <xf numFmtId="0" fontId="4" fillId="10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44" xfId="0" applyNumberFormat="1" applyBorder="1"/>
    <xf numFmtId="0" fontId="0" fillId="0" borderId="46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42" xfId="0" applyFont="1" applyBorder="1" applyAlignment="1">
      <alignment wrapText="1"/>
    </xf>
    <xf numFmtId="2" fontId="0" fillId="0" borderId="18" xfId="0" applyNumberFormat="1" applyBorder="1" applyAlignment="1">
      <alignment horizontal="left" wrapText="1"/>
    </xf>
    <xf numFmtId="0" fontId="0" fillId="0" borderId="0" xfId="0" applyBorder="1" applyAlignment="1">
      <alignment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17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" fillId="0" borderId="3" xfId="1" applyFont="1" applyBorder="1" applyAlignment="1">
      <alignment horizontal="left"/>
    </xf>
    <xf numFmtId="0" fontId="3" fillId="0" borderId="4" xfId="1" applyFont="1" applyBorder="1" applyAlignment="1">
      <alignment horizontal="left"/>
    </xf>
    <xf numFmtId="2" fontId="0" fillId="0" borderId="27" xfId="0" applyNumberFormat="1" applyBorder="1"/>
    <xf numFmtId="1" fontId="0" fillId="0" borderId="12" xfId="0" applyNumberFormat="1" applyBorder="1"/>
    <xf numFmtId="0" fontId="0" fillId="0" borderId="18" xfId="0" applyBorder="1"/>
    <xf numFmtId="0" fontId="0" fillId="0" borderId="1" xfId="0" applyFont="1" applyBorder="1" applyAlignment="1">
      <alignment horizontal="left"/>
    </xf>
    <xf numFmtId="2" fontId="9" fillId="0" borderId="1" xfId="0" applyNumberFormat="1" applyFont="1" applyBorder="1"/>
    <xf numFmtId="0" fontId="9" fillId="0" borderId="1" xfId="0" applyFont="1" applyBorder="1" applyAlignment="1"/>
    <xf numFmtId="1" fontId="9" fillId="0" borderId="1" xfId="0" applyNumberFormat="1" applyFont="1" applyBorder="1" applyAlignment="1">
      <alignment horizontal="right"/>
    </xf>
    <xf numFmtId="0" fontId="9" fillId="0" borderId="1" xfId="0" applyFont="1" applyBorder="1"/>
    <xf numFmtId="1" fontId="0" fillId="0" borderId="1" xfId="0" applyNumberFormat="1" applyFont="1" applyBorder="1"/>
    <xf numFmtId="1" fontId="0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1" xfId="0" applyFont="1" applyFill="1" applyBorder="1" applyAlignment="1"/>
    <xf numFmtId="164" fontId="9" fillId="0" borderId="1" xfId="0" applyNumberFormat="1" applyFont="1" applyBorder="1"/>
    <xf numFmtId="2" fontId="9" fillId="0" borderId="1" xfId="0" applyNumberFormat="1" applyFont="1" applyBorder="1" applyAlignment="1">
      <alignment horizontal="right"/>
    </xf>
    <xf numFmtId="0" fontId="0" fillId="0" borderId="6" xfId="0" applyBorder="1"/>
    <xf numFmtId="0" fontId="0" fillId="0" borderId="48" xfId="0" applyBorder="1"/>
    <xf numFmtId="0" fontId="0" fillId="0" borderId="42" xfId="0" applyBorder="1"/>
    <xf numFmtId="0" fontId="0" fillId="0" borderId="7" xfId="0" applyBorder="1"/>
    <xf numFmtId="0" fontId="0" fillId="0" borderId="43" xfId="0" applyBorder="1"/>
    <xf numFmtId="0" fontId="0" fillId="0" borderId="2" xfId="1" applyFont="1" applyBorder="1" applyAlignment="1">
      <alignment horizontal="left"/>
    </xf>
    <xf numFmtId="0" fontId="0" fillId="0" borderId="0" xfId="0" applyAlignment="1">
      <alignment horizontal="left"/>
    </xf>
    <xf numFmtId="0" fontId="0" fillId="8" borderId="33" xfId="0" applyFont="1" applyFill="1" applyBorder="1" applyAlignment="1">
      <alignment horizontal="center"/>
    </xf>
    <xf numFmtId="0" fontId="0" fillId="8" borderId="34" xfId="0" applyFont="1" applyFill="1" applyBorder="1" applyAlignment="1">
      <alignment horizontal="center"/>
    </xf>
    <xf numFmtId="0" fontId="0" fillId="8" borderId="36" xfId="0" applyFont="1" applyFill="1" applyBorder="1" applyAlignment="1">
      <alignment horizontal="center"/>
    </xf>
    <xf numFmtId="0" fontId="0" fillId="0" borderId="24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2" fontId="13" fillId="0" borderId="16" xfId="0" applyNumberFormat="1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0" fillId="8" borderId="34" xfId="0" applyFont="1" applyFill="1" applyBorder="1" applyAlignment="1">
      <alignment horizontal="center" wrapText="1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1" fontId="9" fillId="10" borderId="16" xfId="0" applyNumberFormat="1" applyFont="1" applyFill="1" applyBorder="1" applyAlignment="1">
      <alignment horizontal="center"/>
    </xf>
    <xf numFmtId="1" fontId="13" fillId="10" borderId="1" xfId="0" applyNumberFormat="1" applyFont="1" applyFill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1" applyFont="1" applyBorder="1" applyAlignment="1"/>
    <xf numFmtId="0" fontId="0" fillId="0" borderId="0" xfId="1" applyFont="1" applyBorder="1" applyAlignment="1"/>
    <xf numFmtId="2" fontId="0" fillId="1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0" fillId="0" borderId="24" xfId="0" applyBorder="1"/>
    <xf numFmtId="0" fontId="2" fillId="0" borderId="12" xfId="0" applyFont="1" applyBorder="1" applyAlignment="1">
      <alignment horizontal="center" wrapText="1"/>
    </xf>
    <xf numFmtId="0" fontId="3" fillId="0" borderId="2" xfId="1" applyFont="1" applyBorder="1" applyAlignment="1"/>
    <xf numFmtId="0" fontId="3" fillId="0" borderId="3" xfId="1" applyFont="1" applyBorder="1" applyAlignment="1"/>
    <xf numFmtId="0" fontId="3" fillId="0" borderId="4" xfId="1" applyFont="1" applyBorder="1" applyAlignment="1"/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0" xfId="0" applyNumberFormat="1"/>
    <xf numFmtId="0" fontId="9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2" fontId="0" fillId="0" borderId="0" xfId="0" applyNumberFormat="1" applyBorder="1"/>
    <xf numFmtId="2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9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wrapText="1"/>
    </xf>
    <xf numFmtId="0" fontId="14" fillId="0" borderId="1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50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center"/>
    </xf>
    <xf numFmtId="0" fontId="3" fillId="0" borderId="2" xfId="1" applyFont="1" applyBorder="1" applyAlignment="1">
      <alignment horizontal="left"/>
    </xf>
    <xf numFmtId="0" fontId="3" fillId="0" borderId="3" xfId="1" applyFont="1" applyBorder="1" applyAlignment="1">
      <alignment horizontal="left"/>
    </xf>
    <xf numFmtId="0" fontId="3" fillId="0" borderId="4" xfId="1" applyFont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10" fillId="0" borderId="2" xfId="0" applyFont="1" applyBorder="1" applyAlignment="1">
      <alignment horizontal="left" vertical="center" readingOrder="1"/>
    </xf>
    <xf numFmtId="0" fontId="10" fillId="0" borderId="3" xfId="0" applyFont="1" applyBorder="1" applyAlignment="1">
      <alignment horizontal="left" vertical="center" readingOrder="1"/>
    </xf>
    <xf numFmtId="0" fontId="10" fillId="0" borderId="4" xfId="0" applyFont="1" applyBorder="1" applyAlignment="1">
      <alignment horizontal="left" vertical="center" readingOrder="1"/>
    </xf>
    <xf numFmtId="0" fontId="0" fillId="0" borderId="4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4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24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10" borderId="1" xfId="0" applyFill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2" fontId="0" fillId="10" borderId="37" xfId="0" applyNumberFormat="1" applyFill="1" applyBorder="1" applyAlignment="1">
      <alignment horizontal="left" vertical="center"/>
    </xf>
    <xf numFmtId="2" fontId="0" fillId="10" borderId="38" xfId="0" applyNumberFormat="1" applyFill="1" applyBorder="1" applyAlignment="1">
      <alignment horizontal="left" vertical="center"/>
    </xf>
    <xf numFmtId="2" fontId="0" fillId="10" borderId="39" xfId="0" applyNumberFormat="1" applyFill="1" applyBorder="1" applyAlignment="1">
      <alignment horizontal="left" vertic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" xfId="0" applyFill="1" applyBorder="1" applyAlignment="1">
      <alignment vertical="center" wrapText="1"/>
    </xf>
    <xf numFmtId="0" fontId="0" fillId="0" borderId="0" xfId="0" applyFill="1"/>
    <xf numFmtId="2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9" fillId="0" borderId="1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adhut/Monthly%20Cost%20saving_2015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ist"/>
      <sheetName val="1 AB-Water Pumps"/>
      <sheetName val="2 AB_power other"/>
      <sheetName val="3 AB-Lighting"/>
      <sheetName val="4 CRM-Packaging"/>
      <sheetName val="5 DP-VAM"/>
      <sheetName val="6 DD-Vac Sys"/>
      <sheetName val="7 DD-302-3-402"/>
      <sheetName val="8 KS-Manpower"/>
      <sheetName val="9 NA-H2 Rec"/>
      <sheetName val="10 NA-H2 Vent"/>
      <sheetName val="11 NA-02G1"/>
      <sheetName val="12 PK-DFA air"/>
      <sheetName val="13 PK-NG Spot"/>
      <sheetName val="14 RJ-Proc Water"/>
      <sheetName val="15 RJ-Sec3-4"/>
      <sheetName val="16 RD_CW FAP"/>
      <sheetName val="17 SKS-MPS Optm"/>
      <sheetName val="18 VP-Liq N2"/>
      <sheetName val="19-20 YS-Insul"/>
      <sheetName val="21 YS-Condensate Rec"/>
      <sheetName val="Sheet1"/>
    </sheetNames>
    <sheetDataSet>
      <sheetData sheetId="0">
        <row r="6">
          <cell r="G6">
            <v>40</v>
          </cell>
        </row>
        <row r="14">
          <cell r="L14">
            <v>16.158333333333335</v>
          </cell>
        </row>
        <row r="16">
          <cell r="L16">
            <v>5.333333333333333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3"/>
  <sheetViews>
    <sheetView topLeftCell="A25" zoomScaleNormal="100" workbookViewId="0">
      <selection activeCell="I9" sqref="I9"/>
    </sheetView>
  </sheetViews>
  <sheetFormatPr defaultRowHeight="15" x14ac:dyDescent="0.25"/>
  <cols>
    <col min="1" max="1" width="7.42578125" customWidth="1"/>
    <col min="2" max="2" width="6.85546875" bestFit="1" customWidth="1"/>
    <col min="3" max="3" width="6.85546875" customWidth="1"/>
    <col min="4" max="4" width="57.7109375" customWidth="1"/>
    <col min="5" max="5" width="10" bestFit="1" customWidth="1"/>
  </cols>
  <sheetData>
    <row r="2" spans="2:5" s="3" customFormat="1" x14ac:dyDescent="0.25">
      <c r="B2" s="7" t="s">
        <v>72</v>
      </c>
      <c r="C2" s="7" t="s">
        <v>131</v>
      </c>
      <c r="D2" s="7" t="s">
        <v>1</v>
      </c>
      <c r="E2" s="7" t="s">
        <v>3</v>
      </c>
    </row>
    <row r="3" spans="2:5" x14ac:dyDescent="0.25">
      <c r="B3" s="28">
        <v>1</v>
      </c>
      <c r="C3" s="28" t="s">
        <v>117</v>
      </c>
      <c r="D3" s="17" t="s">
        <v>25</v>
      </c>
      <c r="E3" s="136" t="s">
        <v>26</v>
      </c>
    </row>
    <row r="4" spans="2:5" x14ac:dyDescent="0.25">
      <c r="B4" s="28">
        <v>2</v>
      </c>
      <c r="C4" s="28" t="s">
        <v>132</v>
      </c>
      <c r="D4" s="9" t="s">
        <v>28</v>
      </c>
      <c r="E4" s="136" t="s">
        <v>26</v>
      </c>
    </row>
    <row r="5" spans="2:5" ht="30" x14ac:dyDescent="0.25">
      <c r="B5" s="28">
        <v>3</v>
      </c>
      <c r="C5" s="28" t="s">
        <v>134</v>
      </c>
      <c r="D5" s="9" t="s">
        <v>30</v>
      </c>
      <c r="E5" s="136" t="s">
        <v>26</v>
      </c>
    </row>
    <row r="6" spans="2:5" ht="30" x14ac:dyDescent="0.25">
      <c r="B6" s="28">
        <v>5</v>
      </c>
      <c r="C6" s="28" t="s">
        <v>136</v>
      </c>
      <c r="D6" s="9" t="s">
        <v>34</v>
      </c>
      <c r="E6" s="136" t="s">
        <v>26</v>
      </c>
    </row>
    <row r="7" spans="2:5" ht="30" x14ac:dyDescent="0.25">
      <c r="B7" s="28">
        <v>6</v>
      </c>
      <c r="C7" s="28" t="s">
        <v>133</v>
      </c>
      <c r="D7" s="9" t="s">
        <v>449</v>
      </c>
      <c r="E7" s="136" t="s">
        <v>26</v>
      </c>
    </row>
    <row r="8" spans="2:5" x14ac:dyDescent="0.25">
      <c r="B8" s="28">
        <v>7</v>
      </c>
      <c r="C8" s="28" t="s">
        <v>363</v>
      </c>
      <c r="D8" s="17" t="s">
        <v>364</v>
      </c>
      <c r="E8" s="136" t="s">
        <v>26</v>
      </c>
    </row>
    <row r="9" spans="2:5" x14ac:dyDescent="0.25">
      <c r="B9" s="28">
        <v>8</v>
      </c>
      <c r="C9" s="28" t="s">
        <v>458</v>
      </c>
      <c r="D9" s="17" t="s">
        <v>459</v>
      </c>
      <c r="E9" s="136" t="s">
        <v>26</v>
      </c>
    </row>
    <row r="10" spans="2:5" x14ac:dyDescent="0.25">
      <c r="B10" s="28">
        <v>9</v>
      </c>
      <c r="C10" s="28" t="s">
        <v>463</v>
      </c>
      <c r="D10" s="9" t="s">
        <v>461</v>
      </c>
      <c r="E10" s="136" t="s">
        <v>26</v>
      </c>
    </row>
    <row r="11" spans="2:5" ht="30" x14ac:dyDescent="0.25">
      <c r="B11" s="28">
        <v>10</v>
      </c>
      <c r="C11" s="28" t="s">
        <v>137</v>
      </c>
      <c r="D11" s="9" t="s">
        <v>37</v>
      </c>
      <c r="E11" s="136" t="s">
        <v>38</v>
      </c>
    </row>
    <row r="12" spans="2:5" x14ac:dyDescent="0.25">
      <c r="B12" s="28">
        <v>11</v>
      </c>
      <c r="C12" s="28" t="s">
        <v>181</v>
      </c>
      <c r="D12" s="9" t="s">
        <v>39</v>
      </c>
      <c r="E12" s="137" t="s">
        <v>40</v>
      </c>
    </row>
    <row r="13" spans="2:5" x14ac:dyDescent="0.25">
      <c r="B13" s="28">
        <v>12</v>
      </c>
      <c r="C13" s="28" t="s">
        <v>182</v>
      </c>
      <c r="D13" s="9" t="s">
        <v>41</v>
      </c>
      <c r="E13" s="137" t="s">
        <v>40</v>
      </c>
    </row>
    <row r="14" spans="2:5" x14ac:dyDescent="0.25">
      <c r="B14" s="28">
        <v>13</v>
      </c>
      <c r="C14" s="28" t="s">
        <v>183</v>
      </c>
      <c r="D14" s="9" t="s">
        <v>42</v>
      </c>
      <c r="E14" s="137" t="s">
        <v>40</v>
      </c>
    </row>
    <row r="15" spans="2:5" x14ac:dyDescent="0.25">
      <c r="B15" s="28">
        <v>14</v>
      </c>
      <c r="C15" s="28" t="s">
        <v>184</v>
      </c>
      <c r="D15" s="9" t="s">
        <v>43</v>
      </c>
      <c r="E15" s="137" t="s">
        <v>40</v>
      </c>
    </row>
    <row r="16" spans="2:5" x14ac:dyDescent="0.25">
      <c r="B16" s="28">
        <v>15</v>
      </c>
      <c r="C16" s="28" t="s">
        <v>185</v>
      </c>
      <c r="D16" s="9" t="s">
        <v>44</v>
      </c>
      <c r="E16" s="137" t="s">
        <v>40</v>
      </c>
    </row>
    <row r="17" spans="2:5" ht="30" x14ac:dyDescent="0.25">
      <c r="B17" s="28">
        <v>16</v>
      </c>
      <c r="C17" s="28" t="s">
        <v>187</v>
      </c>
      <c r="D17" s="9" t="s">
        <v>45</v>
      </c>
      <c r="E17" s="138" t="s">
        <v>46</v>
      </c>
    </row>
    <row r="18" spans="2:5" x14ac:dyDescent="0.25">
      <c r="B18" s="28">
        <v>17</v>
      </c>
      <c r="C18" s="28" t="s">
        <v>188</v>
      </c>
      <c r="D18" s="9" t="s">
        <v>47</v>
      </c>
      <c r="E18" s="138" t="s">
        <v>46</v>
      </c>
    </row>
    <row r="19" spans="2:5" x14ac:dyDescent="0.25">
      <c r="B19" s="28">
        <v>18</v>
      </c>
      <c r="C19" s="28" t="s">
        <v>189</v>
      </c>
      <c r="D19" s="9" t="s">
        <v>48</v>
      </c>
      <c r="E19" s="139" t="s">
        <v>49</v>
      </c>
    </row>
    <row r="20" spans="2:5" x14ac:dyDescent="0.25">
      <c r="B20" s="28">
        <v>19</v>
      </c>
      <c r="C20" s="28" t="s">
        <v>190</v>
      </c>
      <c r="D20" s="9" t="s">
        <v>50</v>
      </c>
      <c r="E20" s="139" t="s">
        <v>49</v>
      </c>
    </row>
    <row r="21" spans="2:5" x14ac:dyDescent="0.25">
      <c r="B21" s="28">
        <v>20</v>
      </c>
      <c r="C21" s="28" t="s">
        <v>191</v>
      </c>
      <c r="D21" s="9" t="s">
        <v>51</v>
      </c>
      <c r="E21" s="139" t="s">
        <v>49</v>
      </c>
    </row>
    <row r="22" spans="2:5" x14ac:dyDescent="0.25">
      <c r="B22" s="28">
        <v>21</v>
      </c>
      <c r="C22" s="28" t="s">
        <v>192</v>
      </c>
      <c r="D22" s="9" t="s">
        <v>52</v>
      </c>
      <c r="E22" s="139" t="s">
        <v>49</v>
      </c>
    </row>
    <row r="23" spans="2:5" x14ac:dyDescent="0.25">
      <c r="B23" s="28">
        <v>22</v>
      </c>
      <c r="C23" s="28" t="s">
        <v>193</v>
      </c>
      <c r="D23" s="9" t="s">
        <v>53</v>
      </c>
      <c r="E23" s="139" t="s">
        <v>49</v>
      </c>
    </row>
    <row r="24" spans="2:5" x14ac:dyDescent="0.25">
      <c r="B24" s="28">
        <v>23</v>
      </c>
      <c r="C24" s="28" t="s">
        <v>194</v>
      </c>
      <c r="D24" s="9" t="s">
        <v>54</v>
      </c>
      <c r="E24" s="139" t="s">
        <v>49</v>
      </c>
    </row>
    <row r="25" spans="2:5" x14ac:dyDescent="0.25">
      <c r="B25" s="28">
        <v>25</v>
      </c>
      <c r="C25" s="28" t="s">
        <v>215</v>
      </c>
      <c r="D25" s="9" t="s">
        <v>55</v>
      </c>
      <c r="E25" s="140" t="s">
        <v>59</v>
      </c>
    </row>
    <row r="26" spans="2:5" ht="30" x14ac:dyDescent="0.25">
      <c r="B26" s="28">
        <v>26</v>
      </c>
      <c r="C26" s="28" t="s">
        <v>358</v>
      </c>
      <c r="D26" s="9" t="s">
        <v>58</v>
      </c>
      <c r="E26" s="140" t="s">
        <v>357</v>
      </c>
    </row>
    <row r="27" spans="2:5" x14ac:dyDescent="0.25">
      <c r="B27" s="28">
        <v>27</v>
      </c>
      <c r="C27" s="28" t="s">
        <v>360</v>
      </c>
      <c r="D27" s="9" t="s">
        <v>60</v>
      </c>
      <c r="E27" s="140" t="s">
        <v>359</v>
      </c>
    </row>
    <row r="28" spans="2:5" x14ac:dyDescent="0.25">
      <c r="B28" s="28">
        <v>28</v>
      </c>
      <c r="C28" s="28" t="s">
        <v>214</v>
      </c>
      <c r="D28" s="9" t="s">
        <v>61</v>
      </c>
      <c r="E28" s="140" t="s">
        <v>56</v>
      </c>
    </row>
    <row r="29" spans="2:5" x14ac:dyDescent="0.25">
      <c r="B29" s="28">
        <v>29</v>
      </c>
      <c r="C29" s="28" t="s">
        <v>216</v>
      </c>
      <c r="D29" s="9" t="s">
        <v>457</v>
      </c>
      <c r="E29" s="140" t="s">
        <v>56</v>
      </c>
    </row>
    <row r="30" spans="2:5" x14ac:dyDescent="0.25">
      <c r="B30" s="28">
        <v>30</v>
      </c>
      <c r="C30" s="28" t="s">
        <v>217</v>
      </c>
      <c r="D30" s="9" t="s">
        <v>64</v>
      </c>
      <c r="E30" s="141" t="s">
        <v>63</v>
      </c>
    </row>
    <row r="31" spans="2:5" x14ac:dyDescent="0.25">
      <c r="B31" s="28">
        <v>31</v>
      </c>
      <c r="C31" s="28" t="s">
        <v>218</v>
      </c>
      <c r="D31" s="4" t="s">
        <v>66</v>
      </c>
      <c r="E31" s="141" t="s">
        <v>63</v>
      </c>
    </row>
    <row r="32" spans="2:5" x14ac:dyDescent="0.25">
      <c r="B32" s="28">
        <v>32</v>
      </c>
      <c r="C32" s="28" t="s">
        <v>219</v>
      </c>
      <c r="D32" s="9" t="s">
        <v>68</v>
      </c>
      <c r="E32" s="141" t="s">
        <v>63</v>
      </c>
    </row>
    <row r="33" spans="2:5" x14ac:dyDescent="0.25">
      <c r="B33" s="28">
        <v>33</v>
      </c>
      <c r="C33" s="28" t="s">
        <v>220</v>
      </c>
      <c r="D33" s="10" t="s">
        <v>69</v>
      </c>
      <c r="E33" s="141" t="s">
        <v>63</v>
      </c>
    </row>
    <row r="34" spans="2:5" x14ac:dyDescent="0.25">
      <c r="B34" s="28">
        <v>34</v>
      </c>
      <c r="C34" s="28" t="s">
        <v>221</v>
      </c>
      <c r="D34" s="10" t="s">
        <v>70</v>
      </c>
      <c r="E34" s="141" t="s">
        <v>63</v>
      </c>
    </row>
    <row r="35" spans="2:5" x14ac:dyDescent="0.25">
      <c r="B35" s="28">
        <v>35</v>
      </c>
      <c r="C35" s="28" t="s">
        <v>222</v>
      </c>
      <c r="D35" s="10" t="s">
        <v>71</v>
      </c>
      <c r="E35" s="141" t="s">
        <v>63</v>
      </c>
    </row>
    <row r="37" spans="2:5" x14ac:dyDescent="0.25">
      <c r="B37" s="1"/>
      <c r="C37" s="1"/>
      <c r="D37" s="5" t="s">
        <v>22</v>
      </c>
      <c r="E37" s="1"/>
    </row>
    <row r="40" spans="2:5" x14ac:dyDescent="0.25">
      <c r="B40" s="269" t="s">
        <v>455</v>
      </c>
      <c r="C40" s="269"/>
      <c r="D40" s="269"/>
      <c r="E40" s="269"/>
    </row>
    <row r="41" spans="2:5" x14ac:dyDescent="0.25">
      <c r="B41" s="28">
        <v>1</v>
      </c>
      <c r="C41" s="28" t="s">
        <v>451</v>
      </c>
      <c r="D41" s="9" t="s">
        <v>450</v>
      </c>
      <c r="E41" s="136" t="s">
        <v>38</v>
      </c>
    </row>
    <row r="42" spans="2:5" ht="30" x14ac:dyDescent="0.25">
      <c r="B42" s="28">
        <v>2</v>
      </c>
      <c r="C42" s="28" t="s">
        <v>452</v>
      </c>
      <c r="D42" s="9" t="s">
        <v>456</v>
      </c>
      <c r="E42" s="136" t="s">
        <v>38</v>
      </c>
    </row>
    <row r="43" spans="2:5" ht="30" x14ac:dyDescent="0.25">
      <c r="B43" s="28">
        <v>5</v>
      </c>
      <c r="C43" s="28" t="s">
        <v>453</v>
      </c>
      <c r="D43" s="9" t="s">
        <v>454</v>
      </c>
      <c r="E43" s="140" t="s">
        <v>59</v>
      </c>
    </row>
  </sheetData>
  <mergeCells count="1">
    <mergeCell ref="B40:E40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>
      <selection activeCell="Q30" sqref="Q30"/>
    </sheetView>
  </sheetViews>
  <sheetFormatPr defaultRowHeight="15" x14ac:dyDescent="0.25"/>
  <cols>
    <col min="1" max="1" width="2.5703125" customWidth="1"/>
    <col min="2" max="2" width="16.140625" customWidth="1"/>
    <col min="3" max="3" width="10.5703125" customWidth="1"/>
    <col min="4" max="4" width="12.140625" customWidth="1"/>
    <col min="5" max="5" width="11.28515625" customWidth="1"/>
    <col min="6" max="6" width="12.5703125" bestFit="1" customWidth="1"/>
    <col min="7" max="7" width="10.42578125" bestFit="1" customWidth="1"/>
    <col min="8" max="8" width="10.140625" bestFit="1" customWidth="1"/>
    <col min="9" max="9" width="7.7109375" bestFit="1" customWidth="1"/>
    <col min="10" max="10" width="8.85546875" bestFit="1" customWidth="1"/>
    <col min="11" max="11" width="6.42578125" bestFit="1" customWidth="1"/>
    <col min="12" max="12" width="11" bestFit="1" customWidth="1"/>
    <col min="13" max="13" width="7.28515625" bestFit="1" customWidth="1"/>
    <col min="14" max="14" width="12" bestFit="1" customWidth="1"/>
  </cols>
  <sheetData>
    <row r="2" spans="2:14" x14ac:dyDescent="0.25">
      <c r="B2" s="12" t="s">
        <v>72</v>
      </c>
      <c r="C2" s="274" t="s">
        <v>458</v>
      </c>
      <c r="D2" s="275"/>
      <c r="E2" s="275"/>
      <c r="F2" s="275"/>
      <c r="G2" s="275"/>
      <c r="H2" s="14"/>
    </row>
    <row r="3" spans="2:14" x14ac:dyDescent="0.25">
      <c r="B3" s="12" t="s">
        <v>73</v>
      </c>
      <c r="C3" s="292" t="s">
        <v>459</v>
      </c>
      <c r="D3" s="293"/>
      <c r="E3" s="293"/>
      <c r="F3" s="293"/>
      <c r="G3" s="294"/>
    </row>
    <row r="4" spans="2:14" x14ac:dyDescent="0.25">
      <c r="B4" s="12" t="s">
        <v>74</v>
      </c>
      <c r="C4" s="292" t="s">
        <v>460</v>
      </c>
      <c r="D4" s="293"/>
      <c r="E4" s="293"/>
      <c r="F4" s="293"/>
      <c r="G4" s="294"/>
      <c r="I4" s="21"/>
      <c r="J4" s="21"/>
      <c r="K4" s="21"/>
      <c r="L4" s="21"/>
      <c r="M4" s="21"/>
      <c r="N4" s="21"/>
    </row>
    <row r="5" spans="2:14" ht="45" x14ac:dyDescent="0.25">
      <c r="B5" s="183" t="s">
        <v>76</v>
      </c>
      <c r="C5" s="167">
        <v>30</v>
      </c>
      <c r="D5" s="166" t="s">
        <v>77</v>
      </c>
      <c r="E5" s="167"/>
      <c r="F5" s="183" t="s">
        <v>78</v>
      </c>
      <c r="G5" s="184">
        <v>30</v>
      </c>
      <c r="I5" s="21"/>
      <c r="J5" s="185"/>
      <c r="K5" s="185"/>
      <c r="L5" s="185"/>
      <c r="M5" s="185"/>
      <c r="N5" s="21"/>
    </row>
    <row r="6" spans="2:14" x14ac:dyDescent="0.25">
      <c r="B6" s="295"/>
      <c r="C6" s="295"/>
      <c r="D6" s="295"/>
      <c r="E6" s="295"/>
      <c r="I6" s="21"/>
      <c r="J6" s="186"/>
      <c r="K6" s="187"/>
      <c r="L6" s="187"/>
      <c r="M6" s="187"/>
      <c r="N6" s="187"/>
    </row>
    <row r="8" spans="2:14" x14ac:dyDescent="0.25">
      <c r="B8" s="25"/>
      <c r="C8" s="25" t="s">
        <v>27</v>
      </c>
      <c r="D8" s="25" t="s">
        <v>118</v>
      </c>
      <c r="E8" s="25" t="s">
        <v>119</v>
      </c>
      <c r="F8" s="25" t="s">
        <v>120</v>
      </c>
      <c r="G8" s="25" t="s">
        <v>121</v>
      </c>
      <c r="H8" s="25" t="s">
        <v>122</v>
      </c>
      <c r="I8" s="25" t="s">
        <v>123</v>
      </c>
      <c r="J8" s="25" t="s">
        <v>124</v>
      </c>
      <c r="K8" s="25" t="s">
        <v>125</v>
      </c>
    </row>
    <row r="9" spans="2:14" ht="30" x14ac:dyDescent="0.25">
      <c r="B9" s="9" t="s">
        <v>126</v>
      </c>
      <c r="C9" s="161"/>
      <c r="D9" s="161"/>
      <c r="E9" s="161"/>
      <c r="F9" s="161"/>
      <c r="G9" s="10"/>
      <c r="H9" s="10"/>
      <c r="I9" s="10"/>
      <c r="J9" s="10"/>
      <c r="K9" s="10"/>
    </row>
    <row r="10" spans="2:14" ht="30" x14ac:dyDescent="0.25">
      <c r="B10" s="9" t="s">
        <v>127</v>
      </c>
      <c r="C10" s="25"/>
      <c r="D10" s="25"/>
      <c r="E10" s="25"/>
      <c r="F10" s="10"/>
      <c r="G10" s="10"/>
      <c r="H10" s="10"/>
      <c r="I10" s="10"/>
      <c r="J10" s="10"/>
      <c r="K10" s="10"/>
    </row>
    <row r="11" spans="2:14" ht="30" x14ac:dyDescent="0.25">
      <c r="B11" s="9" t="s">
        <v>128</v>
      </c>
      <c r="C11" s="25"/>
      <c r="D11" s="25"/>
      <c r="E11" s="25"/>
      <c r="F11" s="10"/>
      <c r="G11" s="10"/>
      <c r="H11" s="10"/>
      <c r="I11" s="10"/>
      <c r="J11" s="10"/>
      <c r="K11" s="10"/>
    </row>
    <row r="12" spans="2:14" ht="30" x14ac:dyDescent="0.25">
      <c r="B12" s="9" t="s">
        <v>129</v>
      </c>
      <c r="C12" s="25"/>
      <c r="D12" s="25"/>
      <c r="E12" s="25"/>
      <c r="F12" s="10"/>
      <c r="G12" s="10"/>
      <c r="H12" s="10"/>
      <c r="I12" s="10"/>
      <c r="J12" s="10"/>
      <c r="K12" s="10"/>
    </row>
    <row r="13" spans="2:14" ht="30" x14ac:dyDescent="0.25">
      <c r="B13" s="9" t="s">
        <v>130</v>
      </c>
      <c r="C13" s="25"/>
      <c r="D13" s="25"/>
      <c r="E13" s="25"/>
      <c r="F13" s="10"/>
      <c r="G13" s="10"/>
      <c r="H13" s="10"/>
      <c r="I13" s="10"/>
      <c r="J13" s="10"/>
      <c r="K13" s="10"/>
    </row>
  </sheetData>
  <mergeCells count="4">
    <mergeCell ref="C2:G2"/>
    <mergeCell ref="C3:G3"/>
    <mergeCell ref="C4:G4"/>
    <mergeCell ref="B6:E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3"/>
  <sheetViews>
    <sheetView view="pageBreakPreview" zoomScale="85" zoomScaleNormal="100" zoomScaleSheetLayoutView="85" workbookViewId="0">
      <selection activeCell="Q30" sqref="Q30"/>
    </sheetView>
  </sheetViews>
  <sheetFormatPr defaultRowHeight="15" x14ac:dyDescent="0.25"/>
  <cols>
    <col min="1" max="1" width="9.5703125" customWidth="1"/>
    <col min="2" max="2" width="15.28515625" bestFit="1" customWidth="1"/>
    <col min="3" max="3" width="11.140625" customWidth="1"/>
    <col min="4" max="4" width="11.85546875" customWidth="1"/>
    <col min="5" max="5" width="11.28515625" customWidth="1"/>
    <col min="6" max="6" width="11.7109375" customWidth="1"/>
    <col min="7" max="7" width="12" customWidth="1"/>
    <col min="8" max="8" width="11.28515625" customWidth="1"/>
    <col min="9" max="9" width="12" customWidth="1"/>
  </cols>
  <sheetData>
    <row r="2" spans="2:14" x14ac:dyDescent="0.25">
      <c r="B2" s="12" t="s">
        <v>72</v>
      </c>
      <c r="C2" s="274" t="s">
        <v>463</v>
      </c>
      <c r="D2" s="275"/>
      <c r="E2" s="275"/>
      <c r="F2" s="275"/>
      <c r="G2" s="275"/>
      <c r="H2" s="14"/>
    </row>
    <row r="3" spans="2:14" x14ac:dyDescent="0.25">
      <c r="B3" s="12" t="s">
        <v>73</v>
      </c>
      <c r="C3" s="296" t="s">
        <v>461</v>
      </c>
      <c r="D3" s="297"/>
      <c r="E3" s="297"/>
      <c r="F3" s="297"/>
      <c r="G3" s="298"/>
    </row>
    <row r="4" spans="2:14" x14ac:dyDescent="0.25">
      <c r="B4" s="12" t="s">
        <v>74</v>
      </c>
      <c r="C4" s="296" t="s">
        <v>75</v>
      </c>
      <c r="D4" s="297"/>
      <c r="E4" s="297"/>
      <c r="F4" s="297"/>
      <c r="G4" s="298"/>
    </row>
    <row r="5" spans="2:14" x14ac:dyDescent="0.25">
      <c r="B5" s="290" t="s">
        <v>462</v>
      </c>
      <c r="C5" s="299"/>
      <c r="D5" s="188">
        <v>0</v>
      </c>
      <c r="E5" s="300" t="s">
        <v>78</v>
      </c>
      <c r="F5" s="301"/>
      <c r="G5" s="73">
        <v>30</v>
      </c>
    </row>
    <row r="6" spans="2:14" x14ac:dyDescent="0.25">
      <c r="B6" s="295"/>
      <c r="C6" s="295"/>
      <c r="D6" s="295"/>
      <c r="E6" s="295"/>
      <c r="F6" s="182"/>
    </row>
    <row r="7" spans="2:14" x14ac:dyDescent="0.25">
      <c r="B7" s="302" t="s">
        <v>169</v>
      </c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4"/>
    </row>
    <row r="8" spans="2:14" x14ac:dyDescent="0.25">
      <c r="B8" s="239"/>
      <c r="C8" s="109"/>
      <c r="D8" s="109"/>
      <c r="E8" s="109"/>
      <c r="F8" s="109"/>
      <c r="G8" s="21"/>
      <c r="H8" s="21"/>
      <c r="I8" s="21"/>
      <c r="J8" s="21"/>
      <c r="K8" s="21"/>
      <c r="L8" s="21"/>
      <c r="M8" s="21"/>
      <c r="N8" s="210"/>
    </row>
    <row r="9" spans="2:14" x14ac:dyDescent="0.25">
      <c r="B9" s="239"/>
      <c r="C9" s="109"/>
      <c r="D9" s="109"/>
      <c r="E9" s="109"/>
      <c r="F9" s="109"/>
      <c r="G9" s="21"/>
      <c r="H9" s="21"/>
      <c r="I9" s="21"/>
      <c r="J9" s="21"/>
      <c r="K9" s="21"/>
      <c r="L9" s="21"/>
      <c r="M9" s="21"/>
      <c r="N9" s="210"/>
    </row>
    <row r="10" spans="2:14" x14ac:dyDescent="0.25">
      <c r="B10" s="239"/>
      <c r="C10" s="109"/>
      <c r="D10" s="109"/>
      <c r="E10" s="109"/>
      <c r="F10" s="109"/>
      <c r="G10" s="21"/>
      <c r="H10" s="21"/>
      <c r="I10" s="21"/>
      <c r="J10" s="21"/>
      <c r="K10" s="21"/>
      <c r="L10" s="21"/>
      <c r="M10" s="21"/>
      <c r="N10" s="210"/>
    </row>
    <row r="11" spans="2:14" x14ac:dyDescent="0.25">
      <c r="B11" s="239"/>
      <c r="C11" s="109"/>
      <c r="D11" s="109"/>
      <c r="E11" s="109"/>
      <c r="F11" s="109"/>
      <c r="G11" s="21"/>
      <c r="H11" s="21"/>
      <c r="I11" s="21"/>
      <c r="J11" s="21"/>
      <c r="K11" s="21"/>
      <c r="L11" s="21"/>
      <c r="M11" s="21"/>
      <c r="N11" s="210"/>
    </row>
    <row r="12" spans="2:14" x14ac:dyDescent="0.25">
      <c r="B12" s="239"/>
      <c r="C12" s="109"/>
      <c r="D12" s="109"/>
      <c r="E12" s="109"/>
      <c r="F12" s="109"/>
      <c r="G12" s="21"/>
      <c r="H12" s="21"/>
      <c r="I12" s="21"/>
      <c r="J12" s="21"/>
      <c r="K12" s="21"/>
      <c r="L12" s="21"/>
      <c r="M12" s="21"/>
      <c r="N12" s="210"/>
    </row>
    <row r="13" spans="2:14" x14ac:dyDescent="0.25">
      <c r="B13" s="239"/>
      <c r="C13" s="109"/>
      <c r="D13" s="109"/>
      <c r="E13" s="109"/>
      <c r="F13" s="109"/>
      <c r="G13" s="21"/>
      <c r="H13" s="21"/>
      <c r="I13" s="21"/>
      <c r="J13" s="21"/>
      <c r="K13" s="21"/>
      <c r="L13" s="21"/>
      <c r="M13" s="21"/>
      <c r="N13" s="210"/>
    </row>
    <row r="14" spans="2:14" x14ac:dyDescent="0.25">
      <c r="B14" s="239"/>
      <c r="C14" s="109"/>
      <c r="D14" s="109"/>
      <c r="E14" s="109"/>
      <c r="F14" s="109"/>
      <c r="G14" s="21"/>
      <c r="H14" s="21"/>
      <c r="I14" s="21"/>
      <c r="J14" s="21"/>
      <c r="K14" s="21"/>
      <c r="L14" s="21"/>
      <c r="M14" s="21"/>
      <c r="N14" s="210"/>
    </row>
    <row r="15" spans="2:14" x14ac:dyDescent="0.25">
      <c r="B15" s="239"/>
      <c r="C15" s="109"/>
      <c r="D15" s="109"/>
      <c r="E15" s="109"/>
      <c r="F15" s="109"/>
      <c r="G15" s="21"/>
      <c r="H15" s="21"/>
      <c r="I15" s="21"/>
      <c r="J15" s="21"/>
      <c r="K15" s="21"/>
      <c r="L15" s="21"/>
      <c r="M15" s="21"/>
      <c r="N15" s="210"/>
    </row>
    <row r="16" spans="2:14" x14ac:dyDescent="0.25">
      <c r="B16" s="239"/>
      <c r="C16" s="109"/>
      <c r="D16" s="109"/>
      <c r="E16" s="109"/>
      <c r="F16" s="109"/>
      <c r="G16" s="21"/>
      <c r="H16" s="21"/>
      <c r="I16" s="21"/>
      <c r="J16" s="21"/>
      <c r="K16" s="21"/>
      <c r="L16" s="21"/>
      <c r="M16" s="21"/>
      <c r="N16" s="210"/>
    </row>
    <row r="17" spans="2:14" x14ac:dyDescent="0.25">
      <c r="B17" s="240"/>
      <c r="C17" s="241"/>
      <c r="D17" s="241"/>
      <c r="E17" s="241"/>
      <c r="F17" s="241"/>
      <c r="G17" s="212"/>
      <c r="H17" s="212"/>
      <c r="I17" s="212"/>
      <c r="J17" s="212"/>
      <c r="K17" s="212"/>
      <c r="L17" s="212"/>
      <c r="M17" s="212"/>
      <c r="N17" s="213"/>
    </row>
    <row r="18" spans="2:14" x14ac:dyDescent="0.25">
      <c r="B18" s="295"/>
      <c r="C18" s="295"/>
      <c r="D18" s="295"/>
      <c r="E18" s="295"/>
      <c r="F18" s="182"/>
    </row>
    <row r="19" spans="2:14" x14ac:dyDescent="0.25">
      <c r="B19" s="25"/>
      <c r="C19" s="189">
        <v>42095</v>
      </c>
      <c r="D19" s="189">
        <v>42125</v>
      </c>
      <c r="E19" s="189">
        <v>42156</v>
      </c>
      <c r="F19" s="189">
        <v>42186</v>
      </c>
      <c r="G19" s="189">
        <v>42217</v>
      </c>
      <c r="H19" s="189">
        <v>42248</v>
      </c>
      <c r="I19" s="189">
        <v>42278</v>
      </c>
      <c r="J19" s="189">
        <v>42309</v>
      </c>
      <c r="K19" s="189">
        <v>42339</v>
      </c>
      <c r="L19" s="189">
        <v>42370</v>
      </c>
      <c r="M19" s="189">
        <v>42401</v>
      </c>
      <c r="N19" s="189">
        <v>42430</v>
      </c>
    </row>
    <row r="20" spans="2:14" ht="30" x14ac:dyDescent="0.25">
      <c r="B20" s="9" t="s">
        <v>126</v>
      </c>
      <c r="C20" s="10"/>
      <c r="D20" s="10"/>
      <c r="E20" s="10"/>
      <c r="F20" s="10"/>
      <c r="G20" s="10"/>
      <c r="H20" s="10"/>
      <c r="I20" s="181"/>
      <c r="J20" s="28"/>
      <c r="K20" s="28"/>
      <c r="L20" s="127"/>
      <c r="M20" s="181"/>
      <c r="N20" s="181"/>
    </row>
    <row r="21" spans="2:14" ht="30" x14ac:dyDescent="0.25">
      <c r="B21" s="9" t="s">
        <v>127</v>
      </c>
      <c r="C21" s="10"/>
      <c r="D21" s="10"/>
      <c r="E21" s="10"/>
      <c r="F21" s="10"/>
      <c r="G21" s="10"/>
      <c r="H21" s="10"/>
      <c r="I21" s="25"/>
      <c r="J21" s="25"/>
      <c r="K21" s="25"/>
      <c r="L21" s="25"/>
      <c r="M21" s="25"/>
      <c r="N21" s="25"/>
    </row>
    <row r="22" spans="2:14" ht="30" x14ac:dyDescent="0.25">
      <c r="B22" s="9" t="s">
        <v>128</v>
      </c>
      <c r="C22" s="10"/>
      <c r="D22" s="10"/>
      <c r="E22" s="10"/>
      <c r="F22" s="10"/>
      <c r="G22" s="10"/>
      <c r="H22" s="10"/>
      <c r="I22" s="25"/>
      <c r="J22" s="25"/>
      <c r="K22" s="25"/>
      <c r="L22" s="25"/>
      <c r="M22" s="25"/>
      <c r="N22" s="25"/>
    </row>
    <row r="23" spans="2:14" ht="30" x14ac:dyDescent="0.25">
      <c r="B23" s="9" t="s">
        <v>130</v>
      </c>
      <c r="C23" s="10"/>
      <c r="D23" s="10"/>
      <c r="E23" s="10"/>
      <c r="F23" s="10"/>
      <c r="G23" s="10"/>
      <c r="H23" s="10"/>
      <c r="I23" s="25"/>
      <c r="J23" s="25"/>
      <c r="K23" s="25"/>
      <c r="L23" s="25"/>
      <c r="M23" s="25"/>
      <c r="N23" s="25"/>
    </row>
  </sheetData>
  <mergeCells count="8">
    <mergeCell ref="C2:G2"/>
    <mergeCell ref="B18:E18"/>
    <mergeCell ref="C3:G3"/>
    <mergeCell ref="C4:G4"/>
    <mergeCell ref="B6:E6"/>
    <mergeCell ref="B5:C5"/>
    <mergeCell ref="E5:F5"/>
    <mergeCell ref="B7:N7"/>
  </mergeCells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4"/>
  <sheetViews>
    <sheetView zoomScaleNormal="100" workbookViewId="0">
      <selection activeCell="L30" sqref="L30:M30"/>
    </sheetView>
  </sheetViews>
  <sheetFormatPr defaultRowHeight="15" x14ac:dyDescent="0.25"/>
  <cols>
    <col min="2" max="2" width="24" bestFit="1" customWidth="1"/>
    <col min="3" max="3" width="10" bestFit="1" customWidth="1"/>
    <col min="4" max="4" width="13.140625" bestFit="1" customWidth="1"/>
    <col min="5" max="5" width="10.28515625" bestFit="1" customWidth="1"/>
    <col min="6" max="6" width="12.5703125" bestFit="1" customWidth="1"/>
    <col min="7" max="7" width="10.28515625" bestFit="1" customWidth="1"/>
    <col min="8" max="8" width="10.85546875" bestFit="1" customWidth="1"/>
  </cols>
  <sheetData>
    <row r="2" spans="2:9" x14ac:dyDescent="0.25">
      <c r="B2" s="12" t="s">
        <v>72</v>
      </c>
      <c r="C2" s="274" t="s">
        <v>137</v>
      </c>
      <c r="D2" s="275"/>
      <c r="E2" s="275"/>
      <c r="F2" s="275"/>
      <c r="G2" s="275"/>
      <c r="H2" s="13"/>
      <c r="I2" s="14"/>
    </row>
    <row r="3" spans="2:9" x14ac:dyDescent="0.25">
      <c r="B3" s="12" t="s">
        <v>73</v>
      </c>
      <c r="C3" s="296" t="s">
        <v>289</v>
      </c>
      <c r="D3" s="297"/>
      <c r="E3" s="297"/>
      <c r="F3" s="297"/>
      <c r="G3" s="298"/>
    </row>
    <row r="4" spans="2:9" x14ac:dyDescent="0.25">
      <c r="B4" s="12" t="s">
        <v>74</v>
      </c>
      <c r="C4" s="296" t="s">
        <v>362</v>
      </c>
      <c r="D4" s="297"/>
      <c r="E4" s="297"/>
      <c r="F4" s="297"/>
      <c r="G4" s="298"/>
    </row>
    <row r="5" spans="2:9" ht="45" x14ac:dyDescent="0.25">
      <c r="B5" s="15" t="s">
        <v>76</v>
      </c>
      <c r="C5" s="16">
        <f>F24</f>
        <v>23.698799999999999</v>
      </c>
      <c r="D5" s="17" t="s">
        <v>77</v>
      </c>
      <c r="E5" s="18">
        <v>6</v>
      </c>
      <c r="F5" s="19" t="s">
        <v>78</v>
      </c>
      <c r="G5" s="20">
        <f>(C5-E5)*9/12</f>
        <v>13.274099999999999</v>
      </c>
    </row>
    <row r="7" spans="2:9" x14ac:dyDescent="0.25">
      <c r="B7" s="273" t="s">
        <v>186</v>
      </c>
      <c r="C7" s="273"/>
      <c r="D7" s="273"/>
      <c r="E7" s="273"/>
      <c r="F7" s="273"/>
      <c r="G7" s="273"/>
    </row>
    <row r="8" spans="2:9" x14ac:dyDescent="0.25">
      <c r="B8" s="306" t="s">
        <v>291</v>
      </c>
      <c r="C8" s="306"/>
      <c r="D8" s="306"/>
      <c r="E8" s="10"/>
      <c r="F8" s="10"/>
      <c r="G8" s="10"/>
    </row>
    <row r="9" spans="2:9" x14ac:dyDescent="0.25">
      <c r="B9" s="305" t="s">
        <v>292</v>
      </c>
      <c r="C9" s="305"/>
      <c r="D9" s="305"/>
      <c r="E9" s="133" t="s">
        <v>293</v>
      </c>
      <c r="F9" s="133">
        <v>44</v>
      </c>
      <c r="G9" s="133" t="s">
        <v>294</v>
      </c>
    </row>
    <row r="10" spans="2:9" x14ac:dyDescent="0.25">
      <c r="B10" s="305" t="s">
        <v>295</v>
      </c>
      <c r="C10" s="305"/>
      <c r="D10" s="305"/>
      <c r="E10" s="133" t="s">
        <v>293</v>
      </c>
      <c r="F10" s="133">
        <v>44</v>
      </c>
      <c r="G10" s="133" t="s">
        <v>294</v>
      </c>
    </row>
    <row r="11" spans="2:9" x14ac:dyDescent="0.25">
      <c r="B11" s="305" t="s">
        <v>296</v>
      </c>
      <c r="C11" s="305"/>
      <c r="D11" s="305"/>
      <c r="E11" s="133" t="s">
        <v>293</v>
      </c>
      <c r="F11" s="133">
        <v>8</v>
      </c>
      <c r="G11" s="133" t="s">
        <v>294</v>
      </c>
    </row>
    <row r="12" spans="2:9" x14ac:dyDescent="0.25">
      <c r="B12" s="305" t="s">
        <v>297</v>
      </c>
      <c r="C12" s="305"/>
      <c r="D12" s="305"/>
      <c r="E12" s="133" t="s">
        <v>293</v>
      </c>
      <c r="F12" s="133">
        <v>2</v>
      </c>
      <c r="G12" s="133" t="s">
        <v>294</v>
      </c>
    </row>
    <row r="13" spans="2:9" x14ac:dyDescent="0.25">
      <c r="B13" s="305" t="s">
        <v>298</v>
      </c>
      <c r="C13" s="305"/>
      <c r="D13" s="305"/>
      <c r="E13" s="133" t="s">
        <v>293</v>
      </c>
      <c r="F13" s="133">
        <v>9</v>
      </c>
      <c r="G13" s="133" t="s">
        <v>294</v>
      </c>
    </row>
    <row r="14" spans="2:9" x14ac:dyDescent="0.25">
      <c r="B14" s="305" t="s">
        <v>299</v>
      </c>
      <c r="C14" s="305"/>
      <c r="D14" s="305"/>
      <c r="E14" s="133" t="s">
        <v>293</v>
      </c>
      <c r="F14" s="59">
        <f>SUM(F9:F13)</f>
        <v>107</v>
      </c>
      <c r="G14" s="133" t="s">
        <v>300</v>
      </c>
    </row>
    <row r="15" spans="2:9" x14ac:dyDescent="0.25">
      <c r="B15" s="305"/>
      <c r="C15" s="305"/>
      <c r="D15" s="305"/>
      <c r="E15" s="133"/>
      <c r="F15" s="10"/>
      <c r="G15" s="10"/>
    </row>
    <row r="16" spans="2:9" x14ac:dyDescent="0.25">
      <c r="B16" s="306" t="s">
        <v>301</v>
      </c>
      <c r="C16" s="306"/>
      <c r="D16" s="306"/>
      <c r="E16" s="133"/>
      <c r="F16" s="10"/>
      <c r="G16" s="10"/>
    </row>
    <row r="17" spans="2:14" x14ac:dyDescent="0.25">
      <c r="B17" s="305" t="s">
        <v>302</v>
      </c>
      <c r="C17" s="305"/>
      <c r="D17" s="305"/>
      <c r="E17" s="133" t="s">
        <v>293</v>
      </c>
      <c r="F17" s="59">
        <v>20</v>
      </c>
      <c r="G17" s="133" t="s">
        <v>303</v>
      </c>
    </row>
    <row r="18" spans="2:14" x14ac:dyDescent="0.25">
      <c r="B18" s="305"/>
      <c r="C18" s="305"/>
      <c r="D18" s="305"/>
      <c r="E18" s="10"/>
      <c r="F18" s="10"/>
      <c r="G18" s="10"/>
    </row>
    <row r="19" spans="2:14" x14ac:dyDescent="0.25">
      <c r="B19" s="306" t="s">
        <v>304</v>
      </c>
      <c r="C19" s="306"/>
      <c r="D19" s="306"/>
      <c r="E19" s="133" t="s">
        <v>293</v>
      </c>
      <c r="F19" s="59">
        <f>F14-F17</f>
        <v>87</v>
      </c>
      <c r="G19" s="133" t="s">
        <v>300</v>
      </c>
    </row>
    <row r="20" spans="2:14" x14ac:dyDescent="0.25">
      <c r="B20" s="305" t="s">
        <v>280</v>
      </c>
      <c r="C20" s="305"/>
      <c r="D20" s="305"/>
      <c r="E20" s="133" t="s">
        <v>305</v>
      </c>
      <c r="F20" s="59">
        <v>5</v>
      </c>
      <c r="G20" s="133"/>
    </row>
    <row r="21" spans="2:14" x14ac:dyDescent="0.25">
      <c r="B21" s="305" t="s">
        <v>306</v>
      </c>
      <c r="C21" s="305"/>
      <c r="D21" s="305"/>
      <c r="E21" s="133" t="s">
        <v>307</v>
      </c>
      <c r="F21" s="59">
        <v>227</v>
      </c>
      <c r="G21" s="133" t="s">
        <v>303</v>
      </c>
    </row>
    <row r="22" spans="2:14" x14ac:dyDescent="0.25">
      <c r="B22" s="305" t="s">
        <v>308</v>
      </c>
      <c r="C22" s="305"/>
      <c r="D22" s="305"/>
      <c r="E22" s="133" t="s">
        <v>309</v>
      </c>
      <c r="F22" s="59">
        <f>F19*F20*24*F21</f>
        <v>2369880</v>
      </c>
      <c r="G22" s="133" t="s">
        <v>300</v>
      </c>
    </row>
    <row r="23" spans="2:14" x14ac:dyDescent="0.25">
      <c r="B23" s="305"/>
      <c r="C23" s="305"/>
      <c r="D23" s="305"/>
      <c r="E23" s="132"/>
      <c r="F23" s="100"/>
      <c r="G23" s="10"/>
    </row>
    <row r="24" spans="2:14" x14ac:dyDescent="0.25">
      <c r="B24" s="306" t="s">
        <v>310</v>
      </c>
      <c r="C24" s="306"/>
      <c r="D24" s="306"/>
      <c r="E24" s="60" t="s">
        <v>309</v>
      </c>
      <c r="F24" s="101">
        <f>(F22)/100000</f>
        <v>23.698799999999999</v>
      </c>
      <c r="G24" s="60" t="s">
        <v>300</v>
      </c>
    </row>
    <row r="26" spans="2:14" x14ac:dyDescent="0.25">
      <c r="B26" t="s">
        <v>491</v>
      </c>
      <c r="L26" s="267">
        <f>4*24-19.45</f>
        <v>76.55</v>
      </c>
      <c r="M26" s="267">
        <f>18*24</f>
        <v>432</v>
      </c>
    </row>
    <row r="27" spans="2:14" x14ac:dyDescent="0.25">
      <c r="B27" t="s">
        <v>472</v>
      </c>
      <c r="L27" s="267">
        <v>6.06</v>
      </c>
      <c r="M27" s="267">
        <v>5.99</v>
      </c>
    </row>
    <row r="28" spans="2:14" x14ac:dyDescent="0.25">
      <c r="B28" t="s">
        <v>492</v>
      </c>
      <c r="L28" s="267">
        <v>76.66</v>
      </c>
      <c r="M28" s="267">
        <v>76.66</v>
      </c>
    </row>
    <row r="29" spans="2:14" x14ac:dyDescent="0.25">
      <c r="B29" s="25"/>
      <c r="C29" s="25" t="s">
        <v>33</v>
      </c>
      <c r="D29" s="25" t="s">
        <v>29</v>
      </c>
      <c r="E29" s="25" t="s">
        <v>31</v>
      </c>
      <c r="F29" s="25" t="s">
        <v>27</v>
      </c>
      <c r="G29" s="25" t="s">
        <v>118</v>
      </c>
      <c r="H29" s="25" t="s">
        <v>119</v>
      </c>
      <c r="I29" s="25" t="s">
        <v>120</v>
      </c>
      <c r="J29" s="25" t="s">
        <v>121</v>
      </c>
      <c r="K29" s="25" t="s">
        <v>122</v>
      </c>
      <c r="L29" s="25" t="s">
        <v>123</v>
      </c>
      <c r="M29" s="25" t="s">
        <v>124</v>
      </c>
      <c r="N29" s="25" t="s">
        <v>125</v>
      </c>
    </row>
    <row r="30" spans="2:14" x14ac:dyDescent="0.25">
      <c r="B30" s="9" t="s">
        <v>126</v>
      </c>
      <c r="C30" s="27"/>
      <c r="D30" s="27"/>
      <c r="E30" s="27"/>
      <c r="F30" s="27"/>
      <c r="G30" s="27"/>
      <c r="H30" s="27"/>
      <c r="I30" s="27"/>
      <c r="J30" s="27"/>
      <c r="K30" s="27"/>
      <c r="L30" s="27">
        <f>L28*L27*L26/100000</f>
        <v>0.35562037379999994</v>
      </c>
      <c r="M30" s="27">
        <f>M28*M27*M26/100000</f>
        <v>1.9837154879999999</v>
      </c>
      <c r="N30" s="27"/>
    </row>
    <row r="31" spans="2:14" ht="30" x14ac:dyDescent="0.25">
      <c r="B31" s="9" t="s">
        <v>127</v>
      </c>
      <c r="C31" s="25"/>
      <c r="D31" s="25"/>
      <c r="E31" s="25"/>
      <c r="F31" s="25"/>
      <c r="G31" s="25"/>
      <c r="H31" s="25"/>
      <c r="I31" s="10"/>
      <c r="J31" s="10"/>
      <c r="K31" s="10"/>
      <c r="L31" s="10"/>
      <c r="M31" s="10"/>
      <c r="N31" s="10"/>
    </row>
    <row r="32" spans="2:14" ht="30" x14ac:dyDescent="0.25">
      <c r="B32" s="9" t="s">
        <v>128</v>
      </c>
      <c r="C32" s="25"/>
      <c r="D32" s="25"/>
      <c r="E32" s="25"/>
      <c r="F32" s="25"/>
      <c r="G32" s="25"/>
      <c r="H32" s="25"/>
      <c r="I32" s="10"/>
      <c r="J32" s="10"/>
      <c r="K32" s="10"/>
      <c r="L32" s="10"/>
      <c r="M32" s="10"/>
      <c r="N32" s="10"/>
    </row>
    <row r="33" spans="2:14" x14ac:dyDescent="0.25">
      <c r="B33" s="9" t="s">
        <v>129</v>
      </c>
      <c r="C33" s="25"/>
      <c r="D33" s="25"/>
      <c r="E33" s="25"/>
      <c r="F33" s="25"/>
      <c r="G33" s="25"/>
      <c r="H33" s="25"/>
      <c r="I33" s="10"/>
      <c r="J33" s="10"/>
      <c r="K33" s="10"/>
      <c r="L33" s="10"/>
      <c r="M33" s="10"/>
      <c r="N33" s="10"/>
    </row>
    <row r="34" spans="2:14" x14ac:dyDescent="0.25">
      <c r="B34" s="9" t="s">
        <v>130</v>
      </c>
      <c r="C34" s="25"/>
      <c r="D34" s="25"/>
      <c r="E34" s="25"/>
      <c r="F34" s="25"/>
      <c r="G34" s="25"/>
      <c r="H34" s="25"/>
      <c r="I34" s="10"/>
      <c r="J34" s="10"/>
      <c r="K34" s="10"/>
      <c r="L34" s="10"/>
      <c r="M34" s="10"/>
      <c r="N34" s="10"/>
    </row>
  </sheetData>
  <mergeCells count="21">
    <mergeCell ref="B15:D15"/>
    <mergeCell ref="C2:G2"/>
    <mergeCell ref="C3:G3"/>
    <mergeCell ref="C4:G4"/>
    <mergeCell ref="B7:G7"/>
    <mergeCell ref="B8:D8"/>
    <mergeCell ref="B9:D9"/>
    <mergeCell ref="B10:D10"/>
    <mergeCell ref="B11:D11"/>
    <mergeCell ref="B12:D12"/>
    <mergeCell ref="B13:D13"/>
    <mergeCell ref="B14:D14"/>
    <mergeCell ref="B22:D22"/>
    <mergeCell ref="B23:D23"/>
    <mergeCell ref="B24:D24"/>
    <mergeCell ref="B16:D16"/>
    <mergeCell ref="B17:D17"/>
    <mergeCell ref="B18:D18"/>
    <mergeCell ref="B19:D19"/>
    <mergeCell ref="B20:D20"/>
    <mergeCell ref="B21:D21"/>
  </mergeCells>
  <pageMargins left="0.7" right="0.7" top="0.75" bottom="0.75" header="0.3" footer="0.3"/>
  <pageSetup paperSize="9" scale="8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view="pageBreakPreview" zoomScale="60" zoomScaleNormal="100" workbookViewId="0">
      <selection activeCell="Q30" sqref="Q30"/>
    </sheetView>
  </sheetViews>
  <sheetFormatPr defaultRowHeight="15" x14ac:dyDescent="0.25"/>
  <cols>
    <col min="2" max="2" width="16.7109375" customWidth="1"/>
    <col min="4" max="4" width="13.85546875" customWidth="1"/>
    <col min="6" max="6" width="13.7109375" customWidth="1"/>
  </cols>
  <sheetData>
    <row r="2" spans="2:14" x14ac:dyDescent="0.25">
      <c r="B2" s="12" t="s">
        <v>72</v>
      </c>
      <c r="C2" s="274" t="s">
        <v>181</v>
      </c>
      <c r="D2" s="275"/>
      <c r="E2" s="275"/>
      <c r="F2" s="275"/>
      <c r="G2" s="275"/>
      <c r="H2" s="13"/>
      <c r="I2" s="14"/>
    </row>
    <row r="3" spans="2:14" x14ac:dyDescent="0.25">
      <c r="B3" s="12" t="s">
        <v>73</v>
      </c>
      <c r="C3" s="296" t="s">
        <v>39</v>
      </c>
      <c r="D3" s="297"/>
      <c r="E3" s="297"/>
      <c r="F3" s="297"/>
      <c r="G3" s="298"/>
    </row>
    <row r="4" spans="2:14" x14ac:dyDescent="0.25">
      <c r="B4" s="12" t="s">
        <v>74</v>
      </c>
      <c r="C4" s="296" t="s">
        <v>40</v>
      </c>
      <c r="D4" s="297"/>
      <c r="E4" s="297"/>
      <c r="F4" s="297"/>
      <c r="G4" s="298"/>
    </row>
    <row r="5" spans="2:14" ht="45" x14ac:dyDescent="0.25">
      <c r="B5" s="15" t="s">
        <v>76</v>
      </c>
      <c r="C5" s="16">
        <f>F12/100000</f>
        <v>1.7941499999999999</v>
      </c>
      <c r="D5" s="17" t="s">
        <v>77</v>
      </c>
      <c r="E5" s="18">
        <v>0</v>
      </c>
      <c r="F5" s="19" t="s">
        <v>78</v>
      </c>
      <c r="G5" s="20">
        <f>C5*6/12</f>
        <v>0.89707499999999996</v>
      </c>
    </row>
    <row r="7" spans="2:14" x14ac:dyDescent="0.25">
      <c r="B7" s="273" t="s">
        <v>186</v>
      </c>
      <c r="C7" s="273"/>
      <c r="D7" s="273"/>
      <c r="E7" s="273"/>
      <c r="F7" s="273"/>
      <c r="G7" s="273"/>
    </row>
    <row r="8" spans="2:14" x14ac:dyDescent="0.25">
      <c r="B8" s="307" t="s">
        <v>373</v>
      </c>
      <c r="C8" s="308"/>
      <c r="D8" s="308"/>
      <c r="E8" s="309"/>
      <c r="F8" s="146" t="s">
        <v>369</v>
      </c>
      <c r="G8" s="10"/>
    </row>
    <row r="9" spans="2:14" x14ac:dyDescent="0.25">
      <c r="B9" s="307" t="s">
        <v>374</v>
      </c>
      <c r="C9" s="308"/>
      <c r="D9" s="308"/>
      <c r="E9" s="309"/>
      <c r="F9" s="146">
        <v>160</v>
      </c>
      <c r="G9" s="10"/>
    </row>
    <row r="10" spans="2:14" x14ac:dyDescent="0.25">
      <c r="B10" s="307" t="s">
        <v>365</v>
      </c>
      <c r="C10" s="308"/>
      <c r="D10" s="308"/>
      <c r="E10" s="309"/>
      <c r="F10" s="146">
        <v>2</v>
      </c>
      <c r="G10" s="10" t="s">
        <v>371</v>
      </c>
    </row>
    <row r="11" spans="2:14" x14ac:dyDescent="0.25">
      <c r="B11" s="148" t="s">
        <v>375</v>
      </c>
      <c r="C11" s="149"/>
      <c r="D11" s="149"/>
      <c r="E11" s="150"/>
      <c r="F11" s="147">
        <f>F12/F10</f>
        <v>89707.5</v>
      </c>
      <c r="G11" s="10"/>
    </row>
    <row r="12" spans="2:14" x14ac:dyDescent="0.25">
      <c r="B12" s="307" t="s">
        <v>366</v>
      </c>
      <c r="C12" s="308"/>
      <c r="D12" s="308"/>
      <c r="E12" s="309"/>
      <c r="F12" s="146">
        <v>179415</v>
      </c>
      <c r="G12" s="10"/>
    </row>
    <row r="13" spans="2:14" x14ac:dyDescent="0.25">
      <c r="B13" s="307" t="s">
        <v>367</v>
      </c>
      <c r="C13" s="308"/>
      <c r="D13" s="308"/>
      <c r="E13" s="309"/>
      <c r="F13" s="147">
        <f>F12/2</f>
        <v>89707.5</v>
      </c>
      <c r="G13" s="146" t="s">
        <v>372</v>
      </c>
    </row>
    <row r="15" spans="2:14" x14ac:dyDescent="0.25">
      <c r="B15" s="25"/>
      <c r="C15" s="25" t="s">
        <v>33</v>
      </c>
      <c r="D15" s="25" t="s">
        <v>29</v>
      </c>
      <c r="E15" s="25" t="s">
        <v>31</v>
      </c>
      <c r="F15" s="25" t="s">
        <v>27</v>
      </c>
      <c r="G15" s="25" t="s">
        <v>118</v>
      </c>
      <c r="H15" s="25" t="s">
        <v>119</v>
      </c>
      <c r="I15" s="25" t="s">
        <v>120</v>
      </c>
      <c r="J15" s="25" t="s">
        <v>121</v>
      </c>
      <c r="K15" s="25" t="s">
        <v>122</v>
      </c>
      <c r="L15" s="25" t="s">
        <v>123</v>
      </c>
      <c r="M15" s="25" t="s">
        <v>124</v>
      </c>
      <c r="N15" s="25" t="s">
        <v>125</v>
      </c>
    </row>
    <row r="16" spans="2:14" ht="30" x14ac:dyDescent="0.25">
      <c r="B16" s="9" t="s">
        <v>126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2:14" ht="30" x14ac:dyDescent="0.25">
      <c r="B17" s="9" t="s">
        <v>127</v>
      </c>
      <c r="C17" s="25"/>
      <c r="D17" s="25"/>
      <c r="E17" s="25"/>
      <c r="F17" s="25"/>
      <c r="G17" s="25"/>
      <c r="H17" s="25"/>
      <c r="I17" s="10"/>
      <c r="J17" s="10"/>
      <c r="K17" s="10"/>
      <c r="L17" s="10"/>
      <c r="M17" s="10"/>
      <c r="N17" s="10"/>
    </row>
    <row r="18" spans="2:14" ht="30" x14ac:dyDescent="0.25">
      <c r="B18" s="9" t="s">
        <v>128</v>
      </c>
      <c r="C18" s="25"/>
      <c r="D18" s="25"/>
      <c r="E18" s="25"/>
      <c r="F18" s="25"/>
      <c r="G18" s="25"/>
      <c r="H18" s="25"/>
      <c r="I18" s="10"/>
      <c r="J18" s="10"/>
      <c r="K18" s="10"/>
      <c r="L18" s="10"/>
      <c r="M18" s="10"/>
      <c r="N18" s="10"/>
    </row>
    <row r="19" spans="2:14" ht="30" x14ac:dyDescent="0.25">
      <c r="B19" s="9" t="s">
        <v>129</v>
      </c>
      <c r="C19" s="25"/>
      <c r="D19" s="25"/>
      <c r="E19" s="25"/>
      <c r="F19" s="25"/>
      <c r="G19" s="25"/>
      <c r="H19" s="25"/>
      <c r="I19" s="10"/>
      <c r="J19" s="10"/>
      <c r="K19" s="10"/>
      <c r="L19" s="10"/>
      <c r="M19" s="10"/>
      <c r="N19" s="10"/>
    </row>
    <row r="20" spans="2:14" ht="30" x14ac:dyDescent="0.25">
      <c r="B20" s="9" t="s">
        <v>130</v>
      </c>
      <c r="C20" s="25"/>
      <c r="D20" s="25"/>
      <c r="E20" s="25"/>
      <c r="F20" s="25"/>
      <c r="G20" s="25"/>
      <c r="H20" s="25"/>
      <c r="I20" s="10"/>
      <c r="J20" s="10"/>
      <c r="K20" s="10"/>
      <c r="L20" s="10"/>
      <c r="M20" s="10"/>
      <c r="N20" s="10"/>
    </row>
  </sheetData>
  <mergeCells count="9">
    <mergeCell ref="B12:E12"/>
    <mergeCell ref="B13:E13"/>
    <mergeCell ref="C2:G2"/>
    <mergeCell ref="C3:G3"/>
    <mergeCell ref="C4:G4"/>
    <mergeCell ref="B7:G7"/>
    <mergeCell ref="B8:E8"/>
    <mergeCell ref="B9:E9"/>
    <mergeCell ref="B10:E10"/>
  </mergeCells>
  <pageMargins left="0.7" right="0.7" top="0.75" bottom="0.75" header="0.3" footer="0.3"/>
  <pageSetup paperSize="9" scale="9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view="pageBreakPreview" zoomScale="60" zoomScaleNormal="100" workbookViewId="0">
      <selection activeCell="Q30" sqref="Q30"/>
    </sheetView>
  </sheetViews>
  <sheetFormatPr defaultRowHeight="15" x14ac:dyDescent="0.25"/>
  <cols>
    <col min="2" max="2" width="16.7109375" customWidth="1"/>
    <col min="4" max="4" width="13.85546875" customWidth="1"/>
    <col min="6" max="6" width="13.7109375" customWidth="1"/>
  </cols>
  <sheetData>
    <row r="2" spans="2:14" x14ac:dyDescent="0.25">
      <c r="B2" s="12" t="s">
        <v>72</v>
      </c>
      <c r="C2" s="274" t="s">
        <v>182</v>
      </c>
      <c r="D2" s="275"/>
      <c r="E2" s="275"/>
      <c r="F2" s="275"/>
      <c r="G2" s="275"/>
      <c r="H2" s="13"/>
      <c r="I2" s="14"/>
    </row>
    <row r="3" spans="2:14" x14ac:dyDescent="0.25">
      <c r="B3" s="12" t="s">
        <v>73</v>
      </c>
      <c r="C3" s="296" t="s">
        <v>41</v>
      </c>
      <c r="D3" s="297"/>
      <c r="E3" s="297"/>
      <c r="F3" s="297"/>
      <c r="G3" s="298"/>
    </row>
    <row r="4" spans="2:14" x14ac:dyDescent="0.25">
      <c r="B4" s="12" t="s">
        <v>74</v>
      </c>
      <c r="C4" s="296" t="s">
        <v>40</v>
      </c>
      <c r="D4" s="297"/>
      <c r="E4" s="297"/>
      <c r="F4" s="297"/>
      <c r="G4" s="298"/>
    </row>
    <row r="5" spans="2:14" ht="45" x14ac:dyDescent="0.25">
      <c r="B5" s="15" t="s">
        <v>76</v>
      </c>
      <c r="C5" s="16">
        <f>F12/100000</f>
        <v>3.5868000000000002</v>
      </c>
      <c r="D5" s="17" t="s">
        <v>77</v>
      </c>
      <c r="E5" s="18">
        <f>0</f>
        <v>0</v>
      </c>
      <c r="F5" s="19" t="s">
        <v>78</v>
      </c>
      <c r="G5" s="20">
        <f>C5/2</f>
        <v>1.7934000000000001</v>
      </c>
    </row>
    <row r="7" spans="2:14" x14ac:dyDescent="0.25">
      <c r="B7" s="273" t="s">
        <v>186</v>
      </c>
      <c r="C7" s="273"/>
      <c r="D7" s="273"/>
      <c r="E7" s="273"/>
      <c r="F7" s="273"/>
      <c r="G7" s="273"/>
    </row>
    <row r="8" spans="2:14" x14ac:dyDescent="0.25">
      <c r="B8" s="292" t="s">
        <v>376</v>
      </c>
      <c r="C8" s="293"/>
      <c r="D8" s="293"/>
      <c r="E8" s="294"/>
      <c r="F8" s="144">
        <v>5</v>
      </c>
      <c r="G8" s="25"/>
    </row>
    <row r="9" spans="2:14" x14ac:dyDescent="0.25">
      <c r="B9" s="292" t="s">
        <v>377</v>
      </c>
      <c r="C9" s="293"/>
      <c r="D9" s="293"/>
      <c r="E9" s="294"/>
      <c r="F9" s="144">
        <v>3</v>
      </c>
      <c r="G9" s="25"/>
    </row>
    <row r="10" spans="2:14" x14ac:dyDescent="0.25">
      <c r="B10" s="292" t="s">
        <v>365</v>
      </c>
      <c r="C10" s="293"/>
      <c r="D10" s="293"/>
      <c r="E10" s="294"/>
      <c r="F10" s="144">
        <v>4</v>
      </c>
      <c r="G10" s="25" t="s">
        <v>371</v>
      </c>
    </row>
    <row r="11" spans="2:14" x14ac:dyDescent="0.25">
      <c r="B11" s="292" t="s">
        <v>375</v>
      </c>
      <c r="C11" s="293"/>
      <c r="D11" s="293"/>
      <c r="E11" s="294"/>
      <c r="F11" s="151">
        <f>F12/F10</f>
        <v>89670</v>
      </c>
      <c r="G11" s="10"/>
    </row>
    <row r="12" spans="2:14" x14ac:dyDescent="0.25">
      <c r="B12" s="292" t="s">
        <v>366</v>
      </c>
      <c r="C12" s="293"/>
      <c r="D12" s="293"/>
      <c r="E12" s="294"/>
      <c r="F12" s="144">
        <v>358680</v>
      </c>
      <c r="G12" s="25"/>
    </row>
    <row r="13" spans="2:14" x14ac:dyDescent="0.25">
      <c r="B13" s="292" t="s">
        <v>367</v>
      </c>
      <c r="C13" s="293"/>
      <c r="D13" s="293"/>
      <c r="E13" s="294"/>
      <c r="F13" s="144">
        <f>F12/2</f>
        <v>179340</v>
      </c>
      <c r="G13" s="25" t="s">
        <v>368</v>
      </c>
    </row>
    <row r="15" spans="2:14" x14ac:dyDescent="0.25">
      <c r="B15" s="25"/>
      <c r="C15" s="25" t="s">
        <v>33</v>
      </c>
      <c r="D15" s="25" t="s">
        <v>29</v>
      </c>
      <c r="E15" s="25" t="s">
        <v>31</v>
      </c>
      <c r="F15" s="25" t="s">
        <v>27</v>
      </c>
      <c r="G15" s="25" t="s">
        <v>118</v>
      </c>
      <c r="H15" s="25" t="s">
        <v>119</v>
      </c>
      <c r="I15" s="25" t="s">
        <v>120</v>
      </c>
      <c r="J15" s="25" t="s">
        <v>121</v>
      </c>
      <c r="K15" s="25" t="s">
        <v>122</v>
      </c>
      <c r="L15" s="25" t="s">
        <v>123</v>
      </c>
      <c r="M15" s="25" t="s">
        <v>124</v>
      </c>
      <c r="N15" s="25" t="s">
        <v>125</v>
      </c>
    </row>
    <row r="16" spans="2:14" ht="30" x14ac:dyDescent="0.25">
      <c r="B16" s="9" t="s">
        <v>126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2:14" ht="30" x14ac:dyDescent="0.25">
      <c r="B17" s="9" t="s">
        <v>127</v>
      </c>
      <c r="C17" s="25"/>
      <c r="D17" s="25"/>
      <c r="E17" s="25"/>
      <c r="F17" s="25"/>
      <c r="G17" s="25"/>
      <c r="H17" s="25"/>
      <c r="I17" s="10"/>
      <c r="J17" s="10"/>
      <c r="K17" s="10"/>
      <c r="L17" s="10"/>
      <c r="M17" s="10"/>
      <c r="N17" s="10"/>
    </row>
    <row r="18" spans="2:14" ht="30" x14ac:dyDescent="0.25">
      <c r="B18" s="9" t="s">
        <v>128</v>
      </c>
      <c r="C18" s="25"/>
      <c r="D18" s="25"/>
      <c r="E18" s="25"/>
      <c r="F18" s="25"/>
      <c r="G18" s="25"/>
      <c r="H18" s="25"/>
      <c r="I18" s="10"/>
      <c r="J18" s="10"/>
      <c r="K18" s="10"/>
      <c r="L18" s="10"/>
      <c r="M18" s="10"/>
      <c r="N18" s="10"/>
    </row>
    <row r="19" spans="2:14" ht="30" x14ac:dyDescent="0.25">
      <c r="B19" s="9" t="s">
        <v>129</v>
      </c>
      <c r="C19" s="25"/>
      <c r="D19" s="25"/>
      <c r="E19" s="25"/>
      <c r="F19" s="25"/>
      <c r="G19" s="25"/>
      <c r="H19" s="25"/>
      <c r="I19" s="10"/>
      <c r="J19" s="10"/>
      <c r="K19" s="10"/>
      <c r="L19" s="10"/>
      <c r="M19" s="10"/>
      <c r="N19" s="10"/>
    </row>
    <row r="20" spans="2:14" ht="30" x14ac:dyDescent="0.25">
      <c r="B20" s="9" t="s">
        <v>130</v>
      </c>
      <c r="C20" s="25"/>
      <c r="D20" s="25"/>
      <c r="E20" s="25"/>
      <c r="F20" s="25"/>
      <c r="G20" s="25"/>
      <c r="H20" s="25"/>
      <c r="I20" s="10"/>
      <c r="J20" s="10"/>
      <c r="K20" s="10"/>
      <c r="L20" s="10"/>
      <c r="M20" s="10"/>
      <c r="N20" s="10"/>
    </row>
  </sheetData>
  <mergeCells count="10">
    <mergeCell ref="B11:E11"/>
    <mergeCell ref="B12:E12"/>
    <mergeCell ref="B13:E13"/>
    <mergeCell ref="C2:G2"/>
    <mergeCell ref="C3:G3"/>
    <mergeCell ref="C4:G4"/>
    <mergeCell ref="B7:G7"/>
    <mergeCell ref="B8:E8"/>
    <mergeCell ref="B9:E9"/>
    <mergeCell ref="B10:E10"/>
  </mergeCells>
  <pageMargins left="0.7" right="0.7" top="0.75" bottom="0.75" header="0.3" footer="0.3"/>
  <pageSetup paperSize="9" scale="9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3"/>
  <sheetViews>
    <sheetView view="pageBreakPreview" zoomScale="60" zoomScaleNormal="100" workbookViewId="0">
      <selection activeCell="Q30" sqref="Q30"/>
    </sheetView>
  </sheetViews>
  <sheetFormatPr defaultRowHeight="15" x14ac:dyDescent="0.25"/>
  <cols>
    <col min="2" max="2" width="16.7109375" customWidth="1"/>
    <col min="3" max="3" width="10.5703125" bestFit="1" customWidth="1"/>
    <col min="4" max="4" width="13.85546875" customWidth="1"/>
    <col min="6" max="6" width="13.7109375" customWidth="1"/>
    <col min="15" max="15" width="50.42578125" bestFit="1" customWidth="1"/>
  </cols>
  <sheetData>
    <row r="2" spans="2:16" x14ac:dyDescent="0.25">
      <c r="B2" s="12" t="s">
        <v>72</v>
      </c>
      <c r="C2" s="274" t="s">
        <v>183</v>
      </c>
      <c r="D2" s="275"/>
      <c r="E2" s="275"/>
      <c r="F2" s="275"/>
      <c r="G2" s="275"/>
      <c r="H2" s="13"/>
      <c r="I2" s="14"/>
    </row>
    <row r="3" spans="2:16" x14ac:dyDescent="0.25">
      <c r="B3" s="12" t="s">
        <v>73</v>
      </c>
      <c r="C3" s="296" t="s">
        <v>42</v>
      </c>
      <c r="D3" s="297"/>
      <c r="E3" s="297"/>
      <c r="F3" s="297"/>
      <c r="G3" s="298"/>
    </row>
    <row r="4" spans="2:16" x14ac:dyDescent="0.25">
      <c r="B4" s="12" t="s">
        <v>74</v>
      </c>
      <c r="C4" s="296" t="s">
        <v>40</v>
      </c>
      <c r="D4" s="297"/>
      <c r="E4" s="297"/>
      <c r="F4" s="297"/>
      <c r="G4" s="298"/>
    </row>
    <row r="5" spans="2:16" ht="45" x14ac:dyDescent="0.25">
      <c r="B5" s="15" t="s">
        <v>76</v>
      </c>
      <c r="C5" s="16">
        <f>(F15+F14)/100000</f>
        <v>26.385580000000001</v>
      </c>
      <c r="D5" s="17" t="s">
        <v>77</v>
      </c>
      <c r="E5" s="18">
        <v>0</v>
      </c>
      <c r="F5" s="19" t="s">
        <v>78</v>
      </c>
      <c r="G5" s="20">
        <f>F16/100000</f>
        <v>10.98502</v>
      </c>
    </row>
    <row r="7" spans="2:16" x14ac:dyDescent="0.25">
      <c r="B7" s="273" t="s">
        <v>186</v>
      </c>
      <c r="C7" s="273"/>
      <c r="D7" s="273"/>
      <c r="E7" s="273"/>
      <c r="F7" s="273"/>
      <c r="G7" s="273"/>
    </row>
    <row r="8" spans="2:16" x14ac:dyDescent="0.25">
      <c r="B8" s="316" t="s">
        <v>378</v>
      </c>
      <c r="C8" s="317"/>
      <c r="D8" s="317"/>
      <c r="E8" s="318"/>
      <c r="F8" s="25">
        <v>1000</v>
      </c>
      <c r="G8" s="10"/>
    </row>
    <row r="9" spans="2:16" x14ac:dyDescent="0.25">
      <c r="B9" s="316" t="s">
        <v>379</v>
      </c>
      <c r="C9" s="317"/>
      <c r="D9" s="317"/>
      <c r="E9" s="318"/>
      <c r="F9" s="25">
        <v>850</v>
      </c>
      <c r="G9" s="10"/>
    </row>
    <row r="10" spans="2:16" x14ac:dyDescent="0.25">
      <c r="B10" s="316" t="s">
        <v>380</v>
      </c>
      <c r="C10" s="317"/>
      <c r="D10" s="317"/>
      <c r="E10" s="318"/>
      <c r="F10" s="25">
        <v>0.75</v>
      </c>
      <c r="G10" s="25" t="s">
        <v>371</v>
      </c>
    </row>
    <row r="11" spans="2:16" x14ac:dyDescent="0.25">
      <c r="B11" s="316" t="s">
        <v>381</v>
      </c>
      <c r="C11" s="317"/>
      <c r="D11" s="317"/>
      <c r="E11" s="318"/>
      <c r="F11" s="25">
        <v>3.75</v>
      </c>
      <c r="G11" s="25" t="s">
        <v>371</v>
      </c>
    </row>
    <row r="12" spans="2:16" x14ac:dyDescent="0.25">
      <c r="B12" s="292" t="s">
        <v>382</v>
      </c>
      <c r="C12" s="293"/>
      <c r="D12" s="293"/>
      <c r="E12" s="294"/>
      <c r="F12" s="152">
        <f>F14/F10</f>
        <v>588738.66666666663</v>
      </c>
      <c r="G12" s="25"/>
    </row>
    <row r="13" spans="2:16" x14ac:dyDescent="0.25">
      <c r="B13" s="292" t="s">
        <v>383</v>
      </c>
      <c r="C13" s="293"/>
      <c r="D13" s="293"/>
      <c r="E13" s="294"/>
      <c r="F13" s="152">
        <f>F15/F11</f>
        <v>585867.73333333328</v>
      </c>
      <c r="G13" s="25"/>
    </row>
    <row r="14" spans="2:16" x14ac:dyDescent="0.25">
      <c r="B14" s="310" t="s">
        <v>366</v>
      </c>
      <c r="C14" s="311"/>
      <c r="D14" s="311"/>
      <c r="E14" s="312"/>
      <c r="F14" s="25">
        <v>441554</v>
      </c>
      <c r="G14" s="10" t="s">
        <v>384</v>
      </c>
    </row>
    <row r="15" spans="2:16" x14ac:dyDescent="0.25">
      <c r="B15" s="313"/>
      <c r="C15" s="314"/>
      <c r="D15" s="314"/>
      <c r="E15" s="315"/>
      <c r="F15" s="25">
        <v>2197004</v>
      </c>
      <c r="G15" s="10" t="s">
        <v>385</v>
      </c>
    </row>
    <row r="16" spans="2:16" x14ac:dyDescent="0.25">
      <c r="B16" s="305" t="s">
        <v>367</v>
      </c>
      <c r="C16" s="305"/>
      <c r="D16" s="305"/>
      <c r="E16" s="305"/>
      <c r="F16" s="25">
        <v>1098502</v>
      </c>
      <c r="G16" s="21" t="s">
        <v>385</v>
      </c>
      <c r="J16" s="25" t="s">
        <v>368</v>
      </c>
      <c r="O16" s="22"/>
      <c r="P16" s="22"/>
    </row>
    <row r="18" spans="2:14" x14ac:dyDescent="0.25">
      <c r="B18" s="25"/>
      <c r="C18" s="25" t="s">
        <v>33</v>
      </c>
      <c r="D18" s="25" t="s">
        <v>29</v>
      </c>
      <c r="E18" s="25" t="s">
        <v>31</v>
      </c>
      <c r="F18" s="25" t="s">
        <v>27</v>
      </c>
      <c r="G18" s="25" t="s">
        <v>118</v>
      </c>
      <c r="H18" s="25" t="s">
        <v>119</v>
      </c>
      <c r="I18" s="25" t="s">
        <v>120</v>
      </c>
      <c r="J18" s="25" t="s">
        <v>121</v>
      </c>
      <c r="K18" s="25" t="s">
        <v>122</v>
      </c>
      <c r="L18" s="25" t="s">
        <v>123</v>
      </c>
      <c r="M18" s="25" t="s">
        <v>124</v>
      </c>
      <c r="N18" s="25" t="s">
        <v>125</v>
      </c>
    </row>
    <row r="19" spans="2:14" ht="30" x14ac:dyDescent="0.25">
      <c r="B19" s="9" t="s">
        <v>126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2:14" ht="30" x14ac:dyDescent="0.25">
      <c r="B20" s="9" t="s">
        <v>127</v>
      </c>
      <c r="C20" s="25"/>
      <c r="D20" s="25"/>
      <c r="E20" s="25"/>
      <c r="F20" s="25"/>
      <c r="G20" s="25"/>
      <c r="H20" s="25"/>
      <c r="I20" s="10"/>
      <c r="J20" s="10"/>
      <c r="K20" s="10"/>
      <c r="L20" s="10"/>
      <c r="M20" s="10"/>
      <c r="N20" s="10"/>
    </row>
    <row r="21" spans="2:14" ht="30" x14ac:dyDescent="0.25">
      <c r="B21" s="9" t="s">
        <v>128</v>
      </c>
      <c r="C21" s="25"/>
      <c r="D21" s="25"/>
      <c r="E21" s="25"/>
      <c r="F21" s="25"/>
      <c r="G21" s="25"/>
      <c r="H21" s="25"/>
      <c r="I21" s="10"/>
      <c r="J21" s="10"/>
      <c r="K21" s="10"/>
      <c r="L21" s="10"/>
      <c r="M21" s="10"/>
      <c r="N21" s="10"/>
    </row>
    <row r="22" spans="2:14" ht="30" x14ac:dyDescent="0.25">
      <c r="B22" s="9" t="s">
        <v>129</v>
      </c>
      <c r="C22" s="25"/>
      <c r="D22" s="25"/>
      <c r="E22" s="25"/>
      <c r="F22" s="25"/>
      <c r="G22" s="25"/>
      <c r="H22" s="25"/>
      <c r="I22" s="10"/>
      <c r="J22" s="10"/>
      <c r="K22" s="10"/>
      <c r="L22" s="10"/>
      <c r="M22" s="10"/>
      <c r="N22" s="10"/>
    </row>
    <row r="23" spans="2:14" ht="30" x14ac:dyDescent="0.25">
      <c r="B23" s="9" t="s">
        <v>130</v>
      </c>
      <c r="C23" s="25"/>
      <c r="D23" s="25"/>
      <c r="E23" s="25"/>
      <c r="F23" s="25"/>
      <c r="G23" s="25"/>
      <c r="H23" s="25"/>
      <c r="I23" s="10"/>
      <c r="J23" s="10"/>
      <c r="K23" s="10"/>
      <c r="L23" s="10"/>
      <c r="M23" s="10"/>
      <c r="N23" s="10"/>
    </row>
  </sheetData>
  <mergeCells count="12">
    <mergeCell ref="B9:E9"/>
    <mergeCell ref="B10:E10"/>
    <mergeCell ref="C2:G2"/>
    <mergeCell ref="C3:G3"/>
    <mergeCell ref="C4:G4"/>
    <mergeCell ref="B7:G7"/>
    <mergeCell ref="B8:E8"/>
    <mergeCell ref="B16:E16"/>
    <mergeCell ref="B12:E12"/>
    <mergeCell ref="B13:E13"/>
    <mergeCell ref="B14:E15"/>
    <mergeCell ref="B11:E11"/>
  </mergeCells>
  <pageMargins left="0.7" right="0.7" top="0.75" bottom="0.75" header="0.3" footer="0.3"/>
  <pageSetup paperSize="9" scale="9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view="pageBreakPreview" zoomScale="60" zoomScaleNormal="100" workbookViewId="0">
      <selection activeCell="Q30" sqref="Q30"/>
    </sheetView>
  </sheetViews>
  <sheetFormatPr defaultRowHeight="15" x14ac:dyDescent="0.25"/>
  <cols>
    <col min="2" max="2" width="16.7109375" customWidth="1"/>
    <col min="4" max="4" width="13.85546875" customWidth="1"/>
    <col min="6" max="6" width="13.7109375" customWidth="1"/>
  </cols>
  <sheetData>
    <row r="2" spans="2:14" x14ac:dyDescent="0.25">
      <c r="B2" s="12" t="s">
        <v>72</v>
      </c>
      <c r="C2" s="274" t="s">
        <v>184</v>
      </c>
      <c r="D2" s="275"/>
      <c r="E2" s="275"/>
      <c r="F2" s="275"/>
      <c r="G2" s="275"/>
      <c r="H2" s="13"/>
      <c r="I2" s="14"/>
    </row>
    <row r="3" spans="2:14" x14ac:dyDescent="0.25">
      <c r="B3" s="12" t="s">
        <v>73</v>
      </c>
      <c r="C3" s="296" t="s">
        <v>43</v>
      </c>
      <c r="D3" s="297"/>
      <c r="E3" s="297"/>
      <c r="F3" s="297"/>
      <c r="G3" s="298"/>
    </row>
    <row r="4" spans="2:14" x14ac:dyDescent="0.25">
      <c r="B4" s="12" t="s">
        <v>74</v>
      </c>
      <c r="C4" s="296" t="s">
        <v>40</v>
      </c>
      <c r="D4" s="297"/>
      <c r="E4" s="297"/>
      <c r="F4" s="297"/>
      <c r="G4" s="298"/>
    </row>
    <row r="5" spans="2:14" ht="45" x14ac:dyDescent="0.25">
      <c r="B5" s="15" t="s">
        <v>76</v>
      </c>
      <c r="C5" s="16">
        <f>F12/100000</f>
        <v>5.8784200000000002</v>
      </c>
      <c r="D5" s="17" t="s">
        <v>77</v>
      </c>
      <c r="E5" s="18">
        <v>0</v>
      </c>
      <c r="F5" s="19" t="s">
        <v>78</v>
      </c>
      <c r="G5" s="20">
        <f>C5*9/12</f>
        <v>4.4088149999999997</v>
      </c>
    </row>
    <row r="7" spans="2:14" x14ac:dyDescent="0.25">
      <c r="B7" s="273" t="s">
        <v>186</v>
      </c>
      <c r="C7" s="273"/>
      <c r="D7" s="273"/>
      <c r="E7" s="273"/>
      <c r="F7" s="273"/>
      <c r="G7" s="273"/>
    </row>
    <row r="8" spans="2:14" x14ac:dyDescent="0.25">
      <c r="B8" s="292" t="s">
        <v>386</v>
      </c>
      <c r="C8" s="293"/>
      <c r="D8" s="293"/>
      <c r="E8" s="294"/>
      <c r="F8" s="25" t="s">
        <v>387</v>
      </c>
      <c r="G8" s="10"/>
    </row>
    <row r="9" spans="2:14" x14ac:dyDescent="0.25">
      <c r="B9" s="292" t="s">
        <v>388</v>
      </c>
      <c r="C9" s="293"/>
      <c r="D9" s="293"/>
      <c r="E9" s="294"/>
      <c r="F9" s="25" t="s">
        <v>389</v>
      </c>
      <c r="G9" s="10"/>
    </row>
    <row r="10" spans="2:14" x14ac:dyDescent="0.25">
      <c r="B10" s="292" t="s">
        <v>365</v>
      </c>
      <c r="C10" s="293"/>
      <c r="D10" s="293"/>
      <c r="E10" s="294"/>
      <c r="F10" s="143">
        <v>1</v>
      </c>
      <c r="G10" s="10" t="s">
        <v>370</v>
      </c>
    </row>
    <row r="11" spans="2:14" x14ac:dyDescent="0.25">
      <c r="B11" s="292" t="s">
        <v>375</v>
      </c>
      <c r="C11" s="293"/>
      <c r="D11" s="293"/>
      <c r="E11" s="294"/>
      <c r="F11" s="25">
        <f>F12/F10</f>
        <v>587842</v>
      </c>
      <c r="G11" s="10"/>
    </row>
    <row r="12" spans="2:14" x14ac:dyDescent="0.25">
      <c r="B12" s="292" t="s">
        <v>366</v>
      </c>
      <c r="C12" s="293"/>
      <c r="D12" s="293"/>
      <c r="E12" s="294"/>
      <c r="F12" s="25">
        <v>587842</v>
      </c>
      <c r="G12" s="10"/>
    </row>
    <row r="13" spans="2:14" x14ac:dyDescent="0.25">
      <c r="B13" s="292" t="s">
        <v>390</v>
      </c>
      <c r="C13" s="293"/>
      <c r="D13" s="293"/>
      <c r="E13" s="294"/>
      <c r="F13" s="25">
        <v>440882</v>
      </c>
      <c r="G13" s="10"/>
    </row>
    <row r="15" spans="2:14" x14ac:dyDescent="0.25">
      <c r="B15" s="25"/>
      <c r="C15" s="25" t="s">
        <v>33</v>
      </c>
      <c r="D15" s="25" t="s">
        <v>29</v>
      </c>
      <c r="E15" s="25" t="s">
        <v>31</v>
      </c>
      <c r="F15" s="25" t="s">
        <v>27</v>
      </c>
      <c r="G15" s="25" t="s">
        <v>118</v>
      </c>
      <c r="H15" s="25" t="s">
        <v>119</v>
      </c>
      <c r="I15" s="25" t="s">
        <v>120</v>
      </c>
      <c r="J15" s="25" t="s">
        <v>121</v>
      </c>
      <c r="K15" s="25" t="s">
        <v>122</v>
      </c>
      <c r="L15" s="25" t="s">
        <v>123</v>
      </c>
      <c r="M15" s="25" t="s">
        <v>124</v>
      </c>
      <c r="N15" s="25" t="s">
        <v>125</v>
      </c>
    </row>
    <row r="16" spans="2:14" ht="30" x14ac:dyDescent="0.25">
      <c r="B16" s="9" t="s">
        <v>126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2:14" ht="30" x14ac:dyDescent="0.25">
      <c r="B17" s="9" t="s">
        <v>127</v>
      </c>
      <c r="C17" s="25"/>
      <c r="D17" s="25"/>
      <c r="E17" s="25"/>
      <c r="F17" s="25"/>
      <c r="G17" s="25"/>
      <c r="H17" s="25"/>
      <c r="I17" s="10"/>
      <c r="J17" s="10"/>
      <c r="K17" s="10"/>
      <c r="L17" s="10"/>
      <c r="M17" s="10"/>
      <c r="N17" s="10"/>
    </row>
    <row r="18" spans="2:14" ht="30" x14ac:dyDescent="0.25">
      <c r="B18" s="9" t="s">
        <v>128</v>
      </c>
      <c r="C18" s="25"/>
      <c r="D18" s="25"/>
      <c r="E18" s="25"/>
      <c r="F18" s="25"/>
      <c r="G18" s="25"/>
      <c r="H18" s="25"/>
      <c r="I18" s="10"/>
      <c r="J18" s="10"/>
      <c r="K18" s="10"/>
      <c r="L18" s="10"/>
      <c r="M18" s="10"/>
      <c r="N18" s="10"/>
    </row>
    <row r="19" spans="2:14" ht="30" x14ac:dyDescent="0.25">
      <c r="B19" s="9" t="s">
        <v>129</v>
      </c>
      <c r="C19" s="25"/>
      <c r="D19" s="25"/>
      <c r="E19" s="25"/>
      <c r="F19" s="25"/>
      <c r="G19" s="25"/>
      <c r="H19" s="25"/>
      <c r="I19" s="10"/>
      <c r="J19" s="10"/>
      <c r="K19" s="10"/>
      <c r="L19" s="10"/>
      <c r="M19" s="10"/>
      <c r="N19" s="10"/>
    </row>
    <row r="20" spans="2:14" ht="30" x14ac:dyDescent="0.25">
      <c r="B20" s="9" t="s">
        <v>130</v>
      </c>
      <c r="C20" s="25"/>
      <c r="D20" s="25"/>
      <c r="E20" s="25"/>
      <c r="F20" s="25"/>
      <c r="G20" s="25"/>
      <c r="H20" s="25"/>
      <c r="I20" s="10"/>
      <c r="J20" s="10"/>
      <c r="K20" s="10"/>
      <c r="L20" s="10"/>
      <c r="M20" s="10"/>
      <c r="N20" s="10"/>
    </row>
  </sheetData>
  <mergeCells count="10">
    <mergeCell ref="B12:E12"/>
    <mergeCell ref="B13:E13"/>
    <mergeCell ref="C2:G2"/>
    <mergeCell ref="C3:G3"/>
    <mergeCell ref="C4:G4"/>
    <mergeCell ref="B7:G7"/>
    <mergeCell ref="B8:E8"/>
    <mergeCell ref="B9:E9"/>
    <mergeCell ref="B10:E10"/>
    <mergeCell ref="B11:E11"/>
  </mergeCells>
  <pageMargins left="0.7" right="0.7" top="0.75" bottom="0.75" header="0.3" footer="0.3"/>
  <pageSetup paperSize="9" scale="9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view="pageBreakPreview" zoomScale="60" zoomScaleNormal="100" workbookViewId="0">
      <selection activeCell="Q30" sqref="Q30"/>
    </sheetView>
  </sheetViews>
  <sheetFormatPr defaultRowHeight="15" x14ac:dyDescent="0.25"/>
  <cols>
    <col min="2" max="2" width="16.7109375" customWidth="1"/>
    <col min="4" max="4" width="13.85546875" customWidth="1"/>
    <col min="6" max="6" width="13.7109375" customWidth="1"/>
  </cols>
  <sheetData>
    <row r="2" spans="2:14" x14ac:dyDescent="0.25">
      <c r="B2" s="12" t="s">
        <v>72</v>
      </c>
      <c r="C2" s="274" t="s">
        <v>185</v>
      </c>
      <c r="D2" s="275"/>
      <c r="E2" s="275"/>
      <c r="F2" s="275"/>
      <c r="G2" s="275"/>
      <c r="H2" s="13"/>
      <c r="I2" s="14"/>
    </row>
    <row r="3" spans="2:14" x14ac:dyDescent="0.25">
      <c r="B3" s="12" t="s">
        <v>73</v>
      </c>
      <c r="C3" s="296" t="s">
        <v>44</v>
      </c>
      <c r="D3" s="297"/>
      <c r="E3" s="297"/>
      <c r="F3" s="297"/>
      <c r="G3" s="298"/>
    </row>
    <row r="4" spans="2:14" x14ac:dyDescent="0.25">
      <c r="B4" s="12" t="s">
        <v>74</v>
      </c>
      <c r="C4" s="296" t="s">
        <v>40</v>
      </c>
      <c r="D4" s="297"/>
      <c r="E4" s="297"/>
      <c r="F4" s="297"/>
      <c r="G4" s="298"/>
    </row>
    <row r="5" spans="2:14" ht="45" x14ac:dyDescent="0.25">
      <c r="B5" s="15" t="s">
        <v>76</v>
      </c>
      <c r="C5" s="16">
        <f>F12/100000</f>
        <v>1.53088</v>
      </c>
      <c r="D5" s="17" t="s">
        <v>77</v>
      </c>
      <c r="E5" s="18">
        <v>0</v>
      </c>
      <c r="F5" s="19" t="s">
        <v>78</v>
      </c>
      <c r="G5" s="20">
        <f>C5*9/12</f>
        <v>1.1481600000000001</v>
      </c>
    </row>
    <row r="7" spans="2:14" x14ac:dyDescent="0.25">
      <c r="B7" s="273" t="s">
        <v>186</v>
      </c>
      <c r="C7" s="273"/>
      <c r="D7" s="273"/>
      <c r="E7" s="273"/>
      <c r="F7" s="273"/>
      <c r="G7" s="273"/>
    </row>
    <row r="8" spans="2:14" x14ac:dyDescent="0.25">
      <c r="B8" s="305" t="s">
        <v>391</v>
      </c>
      <c r="C8" s="305"/>
      <c r="D8" s="305"/>
      <c r="E8" s="305"/>
      <c r="F8" s="10" t="s">
        <v>392</v>
      </c>
      <c r="G8" s="10"/>
    </row>
    <row r="9" spans="2:14" x14ac:dyDescent="0.25">
      <c r="B9" s="305" t="s">
        <v>393</v>
      </c>
      <c r="C9" s="305"/>
      <c r="D9" s="305"/>
      <c r="E9" s="305"/>
      <c r="F9" s="10" t="s">
        <v>394</v>
      </c>
      <c r="G9" s="10"/>
    </row>
    <row r="10" spans="2:14" x14ac:dyDescent="0.25">
      <c r="B10" s="305" t="s">
        <v>365</v>
      </c>
      <c r="C10" s="305"/>
      <c r="D10" s="305"/>
      <c r="E10" s="305"/>
      <c r="F10" s="10">
        <v>4</v>
      </c>
      <c r="G10" s="10" t="s">
        <v>395</v>
      </c>
    </row>
    <row r="11" spans="2:14" x14ac:dyDescent="0.25">
      <c r="B11" s="305" t="s">
        <v>375</v>
      </c>
      <c r="C11" s="305"/>
      <c r="D11" s="305"/>
      <c r="E11" s="305"/>
      <c r="F11" s="10">
        <f>F12/F10</f>
        <v>38272</v>
      </c>
      <c r="G11" s="10"/>
    </row>
    <row r="12" spans="2:14" x14ac:dyDescent="0.25">
      <c r="B12" s="305" t="s">
        <v>366</v>
      </c>
      <c r="C12" s="305"/>
      <c r="D12" s="305"/>
      <c r="E12" s="305"/>
      <c r="F12" s="10">
        <v>153088</v>
      </c>
      <c r="G12" s="10"/>
    </row>
    <row r="13" spans="2:14" x14ac:dyDescent="0.25">
      <c r="B13" s="305" t="s">
        <v>390</v>
      </c>
      <c r="C13" s="305"/>
      <c r="D13" s="305"/>
      <c r="E13" s="305"/>
      <c r="F13" s="10">
        <v>114816</v>
      </c>
      <c r="G13" s="10"/>
    </row>
    <row r="15" spans="2:14" x14ac:dyDescent="0.25">
      <c r="B15" s="25"/>
      <c r="C15" s="25" t="s">
        <v>33</v>
      </c>
      <c r="D15" s="25" t="s">
        <v>29</v>
      </c>
      <c r="E15" s="25" t="s">
        <v>31</v>
      </c>
      <c r="F15" s="25" t="s">
        <v>27</v>
      </c>
      <c r="G15" s="25" t="s">
        <v>118</v>
      </c>
      <c r="H15" s="25" t="s">
        <v>119</v>
      </c>
      <c r="I15" s="25" t="s">
        <v>120</v>
      </c>
      <c r="J15" s="25" t="s">
        <v>121</v>
      </c>
      <c r="K15" s="25" t="s">
        <v>122</v>
      </c>
      <c r="L15" s="25" t="s">
        <v>123</v>
      </c>
      <c r="M15" s="25" t="s">
        <v>124</v>
      </c>
      <c r="N15" s="25" t="s">
        <v>125</v>
      </c>
    </row>
    <row r="16" spans="2:14" ht="30" x14ac:dyDescent="0.25">
      <c r="B16" s="9" t="s">
        <v>126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2:14" ht="30" x14ac:dyDescent="0.25">
      <c r="B17" s="9" t="s">
        <v>127</v>
      </c>
      <c r="C17" s="25"/>
      <c r="D17" s="25"/>
      <c r="E17" s="25"/>
      <c r="F17" s="25"/>
      <c r="G17" s="25"/>
      <c r="H17" s="25"/>
      <c r="I17" s="10"/>
      <c r="J17" s="10"/>
      <c r="K17" s="10"/>
      <c r="L17" s="10"/>
      <c r="M17" s="10"/>
      <c r="N17" s="10"/>
    </row>
    <row r="18" spans="2:14" ht="30" x14ac:dyDescent="0.25">
      <c r="B18" s="9" t="s">
        <v>128</v>
      </c>
      <c r="C18" s="25"/>
      <c r="D18" s="25"/>
      <c r="E18" s="25"/>
      <c r="F18" s="25"/>
      <c r="G18" s="25"/>
      <c r="H18" s="25"/>
      <c r="I18" s="10"/>
      <c r="J18" s="10"/>
      <c r="K18" s="10"/>
      <c r="L18" s="10"/>
      <c r="M18" s="10"/>
      <c r="N18" s="10"/>
    </row>
    <row r="19" spans="2:14" ht="30" x14ac:dyDescent="0.25">
      <c r="B19" s="9" t="s">
        <v>129</v>
      </c>
      <c r="C19" s="25"/>
      <c r="D19" s="25"/>
      <c r="E19" s="25"/>
      <c r="F19" s="25"/>
      <c r="G19" s="25"/>
      <c r="H19" s="25"/>
      <c r="I19" s="10"/>
      <c r="J19" s="10"/>
      <c r="K19" s="10"/>
      <c r="L19" s="10"/>
      <c r="M19" s="10"/>
      <c r="N19" s="10"/>
    </row>
    <row r="20" spans="2:14" ht="30" x14ac:dyDescent="0.25">
      <c r="B20" s="9" t="s">
        <v>130</v>
      </c>
      <c r="C20" s="25"/>
      <c r="D20" s="25"/>
      <c r="E20" s="25"/>
      <c r="F20" s="25"/>
      <c r="G20" s="25"/>
      <c r="H20" s="25"/>
      <c r="I20" s="10"/>
      <c r="J20" s="10"/>
      <c r="K20" s="10"/>
      <c r="L20" s="10"/>
      <c r="M20" s="10"/>
      <c r="N20" s="10"/>
    </row>
  </sheetData>
  <mergeCells count="10">
    <mergeCell ref="B12:E12"/>
    <mergeCell ref="B13:E13"/>
    <mergeCell ref="C2:G2"/>
    <mergeCell ref="C3:G3"/>
    <mergeCell ref="C4:G4"/>
    <mergeCell ref="B7:G7"/>
    <mergeCell ref="B8:E8"/>
    <mergeCell ref="B9:E9"/>
    <mergeCell ref="B10:E10"/>
    <mergeCell ref="B11:E11"/>
  </mergeCells>
  <pageMargins left="0.7" right="0.7" top="0.75" bottom="0.75" header="0.3" footer="0.3"/>
  <pageSetup paperSize="9" scale="9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view="pageBreakPreview" zoomScale="60" zoomScaleNormal="100" workbookViewId="0">
      <selection activeCell="I7" sqref="I7"/>
    </sheetView>
  </sheetViews>
  <sheetFormatPr defaultRowHeight="15" x14ac:dyDescent="0.25"/>
  <cols>
    <col min="2" max="2" width="14.42578125" bestFit="1" customWidth="1"/>
    <col min="4" max="4" width="14.5703125" customWidth="1"/>
    <col min="6" max="6" width="13" customWidth="1"/>
    <col min="8" max="8" width="10.85546875" bestFit="1" customWidth="1"/>
    <col min="9" max="9" width="10.28515625" customWidth="1"/>
    <col min="10" max="10" width="10.42578125" bestFit="1" customWidth="1"/>
    <col min="11" max="11" width="10.140625" bestFit="1" customWidth="1"/>
    <col min="12" max="12" width="9.28515625" customWidth="1"/>
    <col min="13" max="13" width="9.85546875" customWidth="1"/>
    <col min="14" max="14" width="9.5703125" customWidth="1"/>
  </cols>
  <sheetData>
    <row r="2" spans="2:14" x14ac:dyDescent="0.25">
      <c r="B2" s="12" t="s">
        <v>72</v>
      </c>
      <c r="C2" s="274" t="s">
        <v>187</v>
      </c>
      <c r="D2" s="275"/>
      <c r="E2" s="275"/>
      <c r="F2" s="275"/>
      <c r="G2" s="275"/>
    </row>
    <row r="3" spans="2:14" x14ac:dyDescent="0.25">
      <c r="B3" s="12" t="s">
        <v>73</v>
      </c>
      <c r="C3" s="296" t="s">
        <v>396</v>
      </c>
      <c r="D3" s="297"/>
      <c r="E3" s="297"/>
      <c r="F3" s="297"/>
      <c r="G3" s="298"/>
    </row>
    <row r="4" spans="2:14" x14ac:dyDescent="0.25">
      <c r="B4" s="12" t="s">
        <v>74</v>
      </c>
      <c r="C4" s="296" t="s">
        <v>397</v>
      </c>
      <c r="D4" s="297"/>
      <c r="E4" s="297"/>
      <c r="F4" s="297"/>
      <c r="G4" s="298"/>
    </row>
    <row r="5" spans="2:14" ht="45" x14ac:dyDescent="0.25">
      <c r="B5" s="153" t="s">
        <v>76</v>
      </c>
      <c r="C5" s="154">
        <v>28.5</v>
      </c>
      <c r="D5" s="9" t="s">
        <v>77</v>
      </c>
      <c r="E5" s="154"/>
      <c r="F5" s="155" t="s">
        <v>398</v>
      </c>
      <c r="G5" s="156">
        <f>'[1]Project list'!L14</f>
        <v>16.158333333333335</v>
      </c>
    </row>
    <row r="6" spans="2:14" ht="15.75" thickBot="1" x14ac:dyDescent="0.3">
      <c r="B6" s="295"/>
      <c r="C6" s="295"/>
      <c r="D6" s="295"/>
      <c r="E6" s="295"/>
      <c r="F6" s="145"/>
    </row>
    <row r="7" spans="2:14" x14ac:dyDescent="0.25">
      <c r="B7" s="323" t="s">
        <v>186</v>
      </c>
      <c r="C7" s="324"/>
      <c r="D7" s="324"/>
      <c r="E7" s="324"/>
      <c r="F7" s="157"/>
      <c r="G7" s="158"/>
    </row>
    <row r="8" spans="2:14" x14ac:dyDescent="0.25">
      <c r="B8" s="319" t="s">
        <v>399</v>
      </c>
      <c r="C8" s="320"/>
      <c r="D8" s="320"/>
      <c r="E8" s="320"/>
      <c r="F8" s="159">
        <v>20</v>
      </c>
      <c r="G8" s="40" t="s">
        <v>400</v>
      </c>
    </row>
    <row r="9" spans="2:14" x14ac:dyDescent="0.25">
      <c r="B9" s="319" t="s">
        <v>401</v>
      </c>
      <c r="C9" s="320"/>
      <c r="D9" s="320"/>
      <c r="E9" s="320"/>
      <c r="F9" s="159">
        <f>20*0.48</f>
        <v>9.6</v>
      </c>
      <c r="G9" s="40" t="s">
        <v>400</v>
      </c>
    </row>
    <row r="10" spans="2:14" x14ac:dyDescent="0.25">
      <c r="B10" s="319" t="s">
        <v>402</v>
      </c>
      <c r="C10" s="320"/>
      <c r="D10" s="320"/>
      <c r="E10" s="320"/>
      <c r="F10" s="159">
        <f>F9*37</f>
        <v>355.2</v>
      </c>
      <c r="G10" s="40" t="s">
        <v>403</v>
      </c>
    </row>
    <row r="11" spans="2:14" x14ac:dyDescent="0.25">
      <c r="B11" s="319" t="s">
        <v>404</v>
      </c>
      <c r="C11" s="320"/>
      <c r="D11" s="320"/>
      <c r="E11" s="320"/>
      <c r="F11" s="159">
        <f>F10*24</f>
        <v>8524.7999999999993</v>
      </c>
      <c r="G11" s="40" t="s">
        <v>405</v>
      </c>
    </row>
    <row r="12" spans="2:14" ht="15.75" thickBot="1" x14ac:dyDescent="0.3">
      <c r="B12" s="321" t="s">
        <v>406</v>
      </c>
      <c r="C12" s="322"/>
      <c r="D12" s="322"/>
      <c r="E12" s="322"/>
      <c r="F12" s="160">
        <f>F11*330</f>
        <v>2813183.9999999995</v>
      </c>
      <c r="G12" s="54" t="s">
        <v>407</v>
      </c>
    </row>
    <row r="13" spans="2:14" x14ac:dyDescent="0.25">
      <c r="B13" s="295"/>
      <c r="C13" s="295"/>
      <c r="D13" s="295"/>
      <c r="E13" s="295"/>
      <c r="F13" s="145"/>
    </row>
    <row r="14" spans="2:14" x14ac:dyDescent="0.25">
      <c r="B14" s="25"/>
      <c r="C14" s="10" t="s">
        <v>33</v>
      </c>
      <c r="D14" s="10" t="s">
        <v>29</v>
      </c>
      <c r="E14" s="10" t="s">
        <v>31</v>
      </c>
      <c r="F14" s="25" t="s">
        <v>27</v>
      </c>
      <c r="G14" s="25" t="s">
        <v>118</v>
      </c>
      <c r="H14" s="25" t="s">
        <v>119</v>
      </c>
      <c r="I14" s="25" t="s">
        <v>120</v>
      </c>
      <c r="J14" s="25" t="s">
        <v>121</v>
      </c>
      <c r="K14" s="25" t="s">
        <v>122</v>
      </c>
      <c r="L14" s="25" t="s">
        <v>123</v>
      </c>
      <c r="M14" s="25" t="s">
        <v>124</v>
      </c>
      <c r="N14" s="25" t="s">
        <v>125</v>
      </c>
    </row>
    <row r="15" spans="2:14" ht="30" x14ac:dyDescent="0.25">
      <c r="B15" s="9" t="s">
        <v>126</v>
      </c>
      <c r="C15" s="10"/>
      <c r="D15" s="10"/>
      <c r="E15" s="10"/>
      <c r="F15" s="161"/>
      <c r="G15" s="161"/>
      <c r="H15" s="161"/>
      <c r="I15" s="11"/>
      <c r="J15" s="11"/>
      <c r="K15" s="10"/>
      <c r="L15" s="10"/>
      <c r="M15" s="10"/>
      <c r="N15" s="10"/>
    </row>
    <row r="16" spans="2:14" ht="30" x14ac:dyDescent="0.25">
      <c r="B16" s="9" t="s">
        <v>127</v>
      </c>
      <c r="C16" s="10"/>
      <c r="D16" s="10"/>
      <c r="E16" s="10"/>
      <c r="F16" s="25"/>
      <c r="G16" s="25"/>
      <c r="H16" s="25"/>
      <c r="I16" s="10"/>
      <c r="J16" s="10"/>
      <c r="K16" s="10"/>
      <c r="L16" s="10"/>
      <c r="M16" s="10"/>
      <c r="N16" s="10"/>
    </row>
    <row r="17" spans="2:14" ht="45" x14ac:dyDescent="0.25">
      <c r="B17" s="9" t="s">
        <v>128</v>
      </c>
      <c r="C17" s="10"/>
      <c r="D17" s="10"/>
      <c r="E17" s="10"/>
      <c r="F17" s="25"/>
      <c r="G17" s="25"/>
      <c r="H17" s="25"/>
      <c r="I17" s="10"/>
      <c r="J17" s="10"/>
      <c r="K17" s="10"/>
      <c r="L17" s="10"/>
      <c r="M17" s="10"/>
      <c r="N17" s="10"/>
    </row>
    <row r="18" spans="2:14" ht="30" x14ac:dyDescent="0.25">
      <c r="B18" s="9" t="s">
        <v>129</v>
      </c>
      <c r="C18" s="10"/>
      <c r="D18" s="10"/>
      <c r="E18" s="10"/>
      <c r="F18" s="25"/>
      <c r="G18" s="25"/>
      <c r="H18" s="25"/>
      <c r="I18" s="10"/>
      <c r="J18" s="10"/>
      <c r="K18" s="10"/>
      <c r="L18" s="10"/>
      <c r="M18" s="10"/>
      <c r="N18" s="10"/>
    </row>
    <row r="19" spans="2:14" ht="30" x14ac:dyDescent="0.25">
      <c r="B19" s="9" t="s">
        <v>130</v>
      </c>
      <c r="C19" s="10"/>
      <c r="D19" s="10"/>
      <c r="E19" s="10"/>
      <c r="F19" s="25"/>
      <c r="G19" s="25"/>
      <c r="H19" s="25"/>
      <c r="I19" s="10"/>
      <c r="J19" s="10"/>
      <c r="K19" s="10"/>
      <c r="L19" s="10"/>
      <c r="M19" s="10"/>
      <c r="N19" s="10"/>
    </row>
  </sheetData>
  <mergeCells count="11">
    <mergeCell ref="B10:E10"/>
    <mergeCell ref="B11:E11"/>
    <mergeCell ref="B12:E12"/>
    <mergeCell ref="B13:E13"/>
    <mergeCell ref="C2:G2"/>
    <mergeCell ref="C3:G3"/>
    <mergeCell ref="C4:G4"/>
    <mergeCell ref="B6:E6"/>
    <mergeCell ref="B7:E7"/>
    <mergeCell ref="B8:E8"/>
    <mergeCell ref="B9:E9"/>
  </mergeCells>
  <pageMargins left="0.7" right="0.7" top="0.75" bottom="0.75" header="0.3" footer="0.3"/>
  <pageSetup paperSize="9" scale="9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view="pageBreakPreview" zoomScale="60" zoomScaleNormal="100" workbookViewId="0">
      <selection activeCell="Q30" sqref="Q30"/>
    </sheetView>
  </sheetViews>
  <sheetFormatPr defaultRowHeight="15" x14ac:dyDescent="0.25"/>
  <cols>
    <col min="2" max="2" width="16.140625" customWidth="1"/>
    <col min="3" max="3" width="12" customWidth="1"/>
    <col min="4" max="7" width="11.28515625" customWidth="1"/>
    <col min="8" max="8" width="10.85546875" bestFit="1" customWidth="1"/>
  </cols>
  <sheetData>
    <row r="2" spans="2:14" x14ac:dyDescent="0.25">
      <c r="B2" s="12" t="s">
        <v>72</v>
      </c>
      <c r="C2" s="274" t="s">
        <v>188</v>
      </c>
      <c r="D2" s="275"/>
      <c r="E2" s="275"/>
      <c r="F2" s="275"/>
      <c r="G2" s="275"/>
    </row>
    <row r="3" spans="2:14" x14ac:dyDescent="0.25">
      <c r="B3" s="12" t="s">
        <v>73</v>
      </c>
      <c r="C3" s="162" t="s">
        <v>408</v>
      </c>
      <c r="D3" s="162"/>
      <c r="E3" s="162"/>
      <c r="F3" s="162"/>
      <c r="G3" s="162"/>
      <c r="H3" s="163"/>
    </row>
    <row r="4" spans="2:14" x14ac:dyDescent="0.25">
      <c r="B4" s="12" t="s">
        <v>409</v>
      </c>
      <c r="C4" s="292" t="s">
        <v>397</v>
      </c>
      <c r="D4" s="293"/>
      <c r="E4" s="293"/>
      <c r="F4" s="293"/>
      <c r="G4" s="294"/>
    </row>
    <row r="5" spans="2:14" ht="45" x14ac:dyDescent="0.25">
      <c r="B5" s="164" t="s">
        <v>76</v>
      </c>
      <c r="C5" s="165">
        <v>8</v>
      </c>
      <c r="D5" s="166" t="s">
        <v>77</v>
      </c>
      <c r="E5" s="167"/>
      <c r="F5" s="164" t="s">
        <v>398</v>
      </c>
      <c r="G5" s="168">
        <f>'[1]Project list'!L16</f>
        <v>5.333333333333333</v>
      </c>
      <c r="I5" s="169"/>
    </row>
    <row r="6" spans="2:14" ht="15.75" thickBot="1" x14ac:dyDescent="0.3"/>
    <row r="7" spans="2:14" x14ac:dyDescent="0.25">
      <c r="B7" s="170" t="s">
        <v>169</v>
      </c>
      <c r="C7" s="171"/>
      <c r="D7" s="171"/>
      <c r="E7" s="171"/>
      <c r="F7" s="171"/>
      <c r="G7" s="158"/>
    </row>
    <row r="8" spans="2:14" x14ac:dyDescent="0.25">
      <c r="B8" s="39" t="s">
        <v>410</v>
      </c>
      <c r="C8" s="21"/>
      <c r="D8" s="21"/>
      <c r="E8" s="21"/>
      <c r="F8" s="21"/>
      <c r="G8" s="40"/>
      <c r="I8" s="169"/>
      <c r="J8" s="169"/>
      <c r="K8" s="169"/>
      <c r="L8" s="169"/>
      <c r="M8" s="169"/>
      <c r="N8" s="169"/>
    </row>
    <row r="9" spans="2:14" ht="15.75" thickBot="1" x14ac:dyDescent="0.3">
      <c r="B9" s="42"/>
      <c r="C9" s="43"/>
      <c r="D9" s="43"/>
      <c r="E9" s="43"/>
      <c r="F9" s="43"/>
      <c r="G9" s="54"/>
      <c r="I9" s="169"/>
      <c r="J9" s="169"/>
      <c r="K9" s="169"/>
      <c r="L9" s="169"/>
      <c r="M9" s="169"/>
      <c r="N9" s="169"/>
    </row>
    <row r="11" spans="2:14" x14ac:dyDescent="0.25">
      <c r="B11" s="25"/>
      <c r="C11" s="10" t="s">
        <v>33</v>
      </c>
      <c r="D11" s="10" t="s">
        <v>29</v>
      </c>
      <c r="E11" s="10" t="s">
        <v>31</v>
      </c>
      <c r="F11" s="25" t="s">
        <v>27</v>
      </c>
      <c r="G11" s="25" t="s">
        <v>118</v>
      </c>
      <c r="H11" s="25" t="s">
        <v>119</v>
      </c>
      <c r="I11" s="25" t="s">
        <v>120</v>
      </c>
      <c r="J11" s="25" t="s">
        <v>121</v>
      </c>
      <c r="K11" s="25" t="s">
        <v>122</v>
      </c>
      <c r="L11" s="25" t="s">
        <v>123</v>
      </c>
      <c r="M11" s="25" t="s">
        <v>124</v>
      </c>
      <c r="N11" s="25" t="s">
        <v>125</v>
      </c>
    </row>
    <row r="12" spans="2:14" ht="30" x14ac:dyDescent="0.25">
      <c r="B12" s="9" t="s">
        <v>126</v>
      </c>
      <c r="C12" s="10"/>
      <c r="D12" s="10"/>
      <c r="E12" s="10"/>
      <c r="F12" s="161"/>
      <c r="G12" s="161"/>
      <c r="H12" s="161"/>
      <c r="I12" s="10"/>
      <c r="J12" s="10"/>
      <c r="K12" s="10"/>
      <c r="L12" s="10"/>
      <c r="M12" s="10"/>
      <c r="N12" s="10"/>
    </row>
    <row r="13" spans="2:14" ht="30" x14ac:dyDescent="0.25">
      <c r="B13" s="9" t="s">
        <v>127</v>
      </c>
      <c r="C13" s="10"/>
      <c r="D13" s="10"/>
      <c r="E13" s="10"/>
      <c r="F13" s="25"/>
      <c r="G13" s="25"/>
      <c r="H13" s="25"/>
      <c r="I13" s="10"/>
      <c r="J13" s="10"/>
      <c r="K13" s="10"/>
      <c r="L13" s="10"/>
      <c r="M13" s="10"/>
      <c r="N13" s="10"/>
    </row>
    <row r="14" spans="2:14" ht="30" x14ac:dyDescent="0.25">
      <c r="B14" s="9" t="s">
        <v>128</v>
      </c>
      <c r="C14" s="10"/>
      <c r="D14" s="10"/>
      <c r="E14" s="10"/>
      <c r="F14" s="25"/>
      <c r="G14" s="25"/>
      <c r="H14" s="25"/>
      <c r="I14" s="10"/>
      <c r="J14" s="10"/>
      <c r="K14" s="10"/>
      <c r="L14" s="10"/>
      <c r="M14" s="10"/>
      <c r="N14" s="10"/>
    </row>
    <row r="15" spans="2:14" ht="30" x14ac:dyDescent="0.25">
      <c r="B15" s="9" t="s">
        <v>129</v>
      </c>
      <c r="C15" s="10"/>
      <c r="D15" s="10"/>
      <c r="E15" s="10"/>
      <c r="F15" s="25"/>
      <c r="G15" s="25"/>
      <c r="H15" s="25"/>
      <c r="I15" s="10"/>
      <c r="J15" s="10"/>
      <c r="K15" s="10"/>
      <c r="L15" s="10"/>
      <c r="M15" s="10"/>
      <c r="N15" s="10"/>
    </row>
    <row r="16" spans="2:14" ht="30" x14ac:dyDescent="0.25">
      <c r="B16" s="9" t="s">
        <v>130</v>
      </c>
      <c r="C16" s="10"/>
      <c r="D16" s="10"/>
      <c r="E16" s="10"/>
      <c r="F16" s="25"/>
      <c r="G16" s="25"/>
      <c r="H16" s="25"/>
      <c r="I16" s="10"/>
      <c r="J16" s="10"/>
      <c r="K16" s="10"/>
      <c r="L16" s="10"/>
      <c r="M16" s="10"/>
      <c r="N16" s="10"/>
    </row>
  </sheetData>
  <mergeCells count="2">
    <mergeCell ref="C4:G4"/>
    <mergeCell ref="C2:G2"/>
  </mergeCells>
  <pageMargins left="0.7" right="0.7" top="0.75" bottom="0.75" header="0.3" footer="0.3"/>
  <pageSetup paperSize="9" scale="9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4"/>
  <sheetViews>
    <sheetView tabSelected="1" zoomScaleNormal="100" workbookViewId="0">
      <pane xSplit="4" ySplit="3" topLeftCell="J8" activePane="bottomRight" state="frozen"/>
      <selection pane="topRight" activeCell="E1" sqref="E1"/>
      <selection pane="bottomLeft" activeCell="A4" sqref="A4"/>
      <selection pane="bottomRight" activeCell="P17" sqref="P17"/>
    </sheetView>
  </sheetViews>
  <sheetFormatPr defaultRowHeight="15" x14ac:dyDescent="0.25"/>
  <cols>
    <col min="1" max="1" width="3" customWidth="1"/>
    <col min="2" max="2" width="6.85546875" bestFit="1" customWidth="1"/>
    <col min="3" max="3" width="6.85546875" customWidth="1"/>
    <col min="4" max="4" width="44.85546875" customWidth="1"/>
    <col min="5" max="5" width="10" bestFit="1" customWidth="1"/>
    <col min="6" max="6" width="0" hidden="1" customWidth="1"/>
    <col min="7" max="7" width="10.42578125" customWidth="1"/>
    <col min="8" max="8" width="11" customWidth="1"/>
    <col min="9" max="9" width="10.28515625" customWidth="1"/>
    <col min="10" max="10" width="9" customWidth="1"/>
    <col min="11" max="11" width="9.140625" customWidth="1"/>
    <col min="12" max="12" width="10.28515625" bestFit="1" customWidth="1"/>
    <col min="13" max="13" width="6.7109375" hidden="1" customWidth="1"/>
    <col min="14" max="14" width="7.42578125" hidden="1" customWidth="1"/>
    <col min="15" max="15" width="7.7109375" hidden="1" customWidth="1"/>
    <col min="16" max="17" width="7" bestFit="1" customWidth="1"/>
    <col min="18" max="18" width="8.28515625" bestFit="1" customWidth="1"/>
    <col min="19" max="19" width="8" customWidth="1"/>
    <col min="20" max="20" width="7.140625" bestFit="1" customWidth="1"/>
    <col min="21" max="21" width="6.85546875" bestFit="1" customWidth="1"/>
    <col min="22" max="22" width="6.42578125" bestFit="1" customWidth="1"/>
    <col min="23" max="23" width="6.85546875" bestFit="1" customWidth="1"/>
    <col min="24" max="24" width="7.140625" bestFit="1" customWidth="1"/>
    <col min="25" max="25" width="6.5703125" bestFit="1" customWidth="1"/>
    <col min="26" max="26" width="10" customWidth="1"/>
    <col min="27" max="27" width="31.42578125" style="3" customWidth="1"/>
  </cols>
  <sheetData>
    <row r="2" spans="2:27" x14ac:dyDescent="0.25">
      <c r="D2" s="1" t="s">
        <v>0</v>
      </c>
      <c r="Z2" s="260"/>
    </row>
    <row r="3" spans="2:27" s="3" customFormat="1" ht="45" x14ac:dyDescent="0.25">
      <c r="B3" s="7" t="s">
        <v>72</v>
      </c>
      <c r="C3" s="7" t="s">
        <v>131</v>
      </c>
      <c r="D3" s="7" t="s">
        <v>1</v>
      </c>
      <c r="E3" s="7" t="s">
        <v>3</v>
      </c>
      <c r="F3" s="7" t="s">
        <v>2</v>
      </c>
      <c r="G3" s="8" t="s">
        <v>4</v>
      </c>
      <c r="H3" s="7" t="s">
        <v>5</v>
      </c>
      <c r="I3" s="8" t="s">
        <v>6</v>
      </c>
      <c r="J3" s="8" t="s">
        <v>7</v>
      </c>
      <c r="K3" s="8" t="s">
        <v>8</v>
      </c>
      <c r="L3" s="8" t="s">
        <v>9</v>
      </c>
      <c r="M3" s="7" t="s">
        <v>10</v>
      </c>
      <c r="N3" s="7" t="s">
        <v>11</v>
      </c>
      <c r="O3" s="7" t="s">
        <v>12</v>
      </c>
      <c r="P3" s="7" t="s">
        <v>13</v>
      </c>
      <c r="Q3" s="7" t="s">
        <v>14</v>
      </c>
      <c r="R3" s="7" t="s">
        <v>15</v>
      </c>
      <c r="S3" s="7" t="s">
        <v>16</v>
      </c>
      <c r="T3" s="7" t="s">
        <v>17</v>
      </c>
      <c r="U3" s="7" t="s">
        <v>18</v>
      </c>
      <c r="V3" s="7" t="s">
        <v>19</v>
      </c>
      <c r="W3" s="7" t="s">
        <v>20</v>
      </c>
      <c r="X3" s="7" t="s">
        <v>21</v>
      </c>
      <c r="Y3" s="7" t="s">
        <v>22</v>
      </c>
      <c r="Z3" s="7" t="s">
        <v>23</v>
      </c>
      <c r="AA3" s="7" t="s">
        <v>24</v>
      </c>
    </row>
    <row r="4" spans="2:27" s="360" customFormat="1" ht="30" x14ac:dyDescent="0.25">
      <c r="B4" s="99">
        <v>1</v>
      </c>
      <c r="C4" s="99" t="s">
        <v>117</v>
      </c>
      <c r="D4" s="359" t="s">
        <v>25</v>
      </c>
      <c r="E4" s="99" t="s">
        <v>26</v>
      </c>
      <c r="F4" s="99"/>
      <c r="G4" s="256">
        <v>10.640801999999999</v>
      </c>
      <c r="H4" s="99">
        <v>5</v>
      </c>
      <c r="I4" s="256">
        <f>G4-H4</f>
        <v>5.640801999999999</v>
      </c>
      <c r="J4" s="99" t="s">
        <v>27</v>
      </c>
      <c r="K4" s="99">
        <v>9</v>
      </c>
      <c r="L4" s="256">
        <f>I4*K4/12</f>
        <v>4.2306014999999997</v>
      </c>
      <c r="M4" s="99">
        <v>0</v>
      </c>
      <c r="N4" s="99">
        <v>0</v>
      </c>
      <c r="O4" s="99">
        <v>0</v>
      </c>
      <c r="P4" s="99">
        <v>0</v>
      </c>
      <c r="Q4" s="99">
        <v>0</v>
      </c>
      <c r="R4" s="99">
        <v>0</v>
      </c>
      <c r="S4" s="99">
        <v>0</v>
      </c>
      <c r="T4" s="256">
        <v>0.53200000000000003</v>
      </c>
      <c r="U4" s="256">
        <v>0.63600000000000001</v>
      </c>
      <c r="V4" s="99">
        <v>0.94</v>
      </c>
      <c r="W4" s="99">
        <v>0.26</v>
      </c>
      <c r="X4" s="99"/>
      <c r="Y4" s="256">
        <f>SUM(M4:X4)</f>
        <v>2.3680000000000003</v>
      </c>
      <c r="Z4" s="256">
        <f>L4-Y4</f>
        <v>1.8626014999999994</v>
      </c>
      <c r="AA4" s="99"/>
    </row>
    <row r="5" spans="2:27" ht="30" x14ac:dyDescent="0.25">
      <c r="B5" s="28">
        <v>2</v>
      </c>
      <c r="C5" s="28" t="s">
        <v>132</v>
      </c>
      <c r="D5" s="9" t="s">
        <v>28</v>
      </c>
      <c r="E5" s="136" t="s">
        <v>26</v>
      </c>
      <c r="F5" s="28"/>
      <c r="G5" s="127">
        <v>11.622555</v>
      </c>
      <c r="H5" s="28">
        <v>0</v>
      </c>
      <c r="I5" s="127">
        <f t="shared" ref="I5:I36" si="0">G5-H5</f>
        <v>11.622555</v>
      </c>
      <c r="J5" s="28" t="s">
        <v>29</v>
      </c>
      <c r="K5" s="28">
        <v>11</v>
      </c>
      <c r="L5" s="127">
        <f t="shared" ref="L5:L36" si="1">I5*K5/12</f>
        <v>10.654008750000001</v>
      </c>
      <c r="M5" s="135">
        <v>0</v>
      </c>
      <c r="N5" s="135">
        <v>0</v>
      </c>
      <c r="O5" s="127">
        <v>1.4801512064095048</v>
      </c>
      <c r="P5" s="127">
        <v>2.7569473005005576</v>
      </c>
      <c r="Q5" s="127">
        <v>2.2449412432631375</v>
      </c>
      <c r="R5" s="127">
        <v>0.27110000000000001</v>
      </c>
      <c r="S5" s="99">
        <v>0</v>
      </c>
      <c r="T5" s="28">
        <v>0</v>
      </c>
      <c r="U5" s="28">
        <v>0</v>
      </c>
      <c r="V5" s="28">
        <v>1.68</v>
      </c>
      <c r="W5" s="28">
        <v>0.67</v>
      </c>
      <c r="X5" s="28"/>
      <c r="Y5" s="127">
        <f t="shared" ref="Y5:Y36" si="2">SUM(M5:X5)</f>
        <v>9.1031397501731988</v>
      </c>
      <c r="Z5" s="127">
        <f t="shared" ref="Z5:Z37" si="3">L5-Y5</f>
        <v>1.5508689998268022</v>
      </c>
      <c r="AA5" s="28"/>
    </row>
    <row r="6" spans="2:27" ht="45" x14ac:dyDescent="0.25">
      <c r="B6" s="28">
        <v>3</v>
      </c>
      <c r="C6" s="28" t="s">
        <v>134</v>
      </c>
      <c r="D6" s="9" t="s">
        <v>30</v>
      </c>
      <c r="E6" s="136" t="s">
        <v>26</v>
      </c>
      <c r="F6" s="28"/>
      <c r="G6" s="127">
        <v>34.942340999999999</v>
      </c>
      <c r="H6" s="28">
        <v>0</v>
      </c>
      <c r="I6" s="127">
        <f t="shared" si="0"/>
        <v>34.942340999999999</v>
      </c>
      <c r="J6" s="28" t="s">
        <v>31</v>
      </c>
      <c r="K6" s="28">
        <v>10.000000858557245</v>
      </c>
      <c r="L6" s="127">
        <f t="shared" si="1"/>
        <v>29.118620000000004</v>
      </c>
      <c r="M6" s="127">
        <v>2.1239069370000028</v>
      </c>
      <c r="N6" s="127">
        <v>2.5918761161933199</v>
      </c>
      <c r="O6" s="127">
        <v>4.5209604090000015</v>
      </c>
      <c r="P6" s="127">
        <v>10.321508090000005</v>
      </c>
      <c r="Q6" s="127">
        <v>8.080547064000001</v>
      </c>
      <c r="R6" s="127">
        <v>3.5169999999999999</v>
      </c>
      <c r="S6" s="99">
        <v>0</v>
      </c>
      <c r="T6" s="127">
        <v>0.371</v>
      </c>
      <c r="U6" s="28">
        <v>5.05</v>
      </c>
      <c r="V6" s="28">
        <v>3.91</v>
      </c>
      <c r="W6" s="28">
        <v>0.87</v>
      </c>
      <c r="X6" s="28"/>
      <c r="Y6" s="127">
        <f t="shared" si="2"/>
        <v>41.356798616193323</v>
      </c>
      <c r="Z6" s="127">
        <f t="shared" si="3"/>
        <v>-12.23817861619332</v>
      </c>
      <c r="AA6" s="28"/>
    </row>
    <row r="7" spans="2:27" ht="75" x14ac:dyDescent="0.25">
      <c r="B7" s="28">
        <v>4</v>
      </c>
      <c r="C7" s="28" t="s">
        <v>133</v>
      </c>
      <c r="D7" s="266" t="s">
        <v>449</v>
      </c>
      <c r="E7" s="136" t="s">
        <v>26</v>
      </c>
      <c r="F7" s="28"/>
      <c r="G7" s="127">
        <v>46.933570000000003</v>
      </c>
      <c r="H7" s="28">
        <v>0</v>
      </c>
      <c r="I7" s="127">
        <f t="shared" si="0"/>
        <v>46.933570000000003</v>
      </c>
      <c r="J7" s="28" t="s">
        <v>36</v>
      </c>
      <c r="K7" s="28">
        <v>7</v>
      </c>
      <c r="L7" s="127">
        <f t="shared" si="1"/>
        <v>27.377915833333333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99">
        <v>0</v>
      </c>
      <c r="T7" s="28">
        <v>0</v>
      </c>
      <c r="U7" s="28">
        <v>0</v>
      </c>
      <c r="V7" s="28">
        <v>0</v>
      </c>
      <c r="W7" s="28">
        <v>0</v>
      </c>
      <c r="X7" s="28"/>
      <c r="Y7" s="127">
        <f t="shared" si="2"/>
        <v>0</v>
      </c>
      <c r="Z7" s="127">
        <f t="shared" si="3"/>
        <v>27.377915833333333</v>
      </c>
      <c r="AA7" s="265" t="s">
        <v>483</v>
      </c>
    </row>
    <row r="8" spans="2:27" x14ac:dyDescent="0.25">
      <c r="B8" s="28">
        <v>5</v>
      </c>
      <c r="C8" s="28" t="s">
        <v>363</v>
      </c>
      <c r="D8" s="17" t="s">
        <v>364</v>
      </c>
      <c r="E8" s="136" t="s">
        <v>26</v>
      </c>
      <c r="F8" s="28"/>
      <c r="G8" s="127"/>
      <c r="H8" s="28"/>
      <c r="I8" s="127"/>
      <c r="J8" s="28"/>
      <c r="K8" s="28"/>
      <c r="L8" s="127"/>
      <c r="M8" s="28">
        <v>0</v>
      </c>
      <c r="N8" s="28">
        <v>0</v>
      </c>
      <c r="O8" s="28">
        <v>0</v>
      </c>
      <c r="P8" s="127">
        <v>2.2891529694910844</v>
      </c>
      <c r="Q8" s="28">
        <v>0</v>
      </c>
      <c r="R8" s="127">
        <v>0.41599999999999998</v>
      </c>
      <c r="S8" s="256">
        <v>1.2106519720000002</v>
      </c>
      <c r="T8" s="28">
        <v>1.26</v>
      </c>
      <c r="U8" s="127">
        <v>8.5000000000000006E-2</v>
      </c>
      <c r="V8" s="28">
        <v>0.15</v>
      </c>
      <c r="W8" s="127">
        <v>0.25679999999999997</v>
      </c>
      <c r="X8" s="28"/>
      <c r="Y8" s="127">
        <f>SUM(M8:X8)</f>
        <v>5.667604941491085</v>
      </c>
      <c r="Z8" s="127">
        <f t="shared" si="3"/>
        <v>-5.667604941491085</v>
      </c>
      <c r="AA8" s="142"/>
    </row>
    <row r="9" spans="2:27" ht="30" x14ac:dyDescent="0.25">
      <c r="B9" s="28">
        <v>6</v>
      </c>
      <c r="C9" s="28" t="s">
        <v>458</v>
      </c>
      <c r="D9" s="17" t="s">
        <v>459</v>
      </c>
      <c r="E9" s="136" t="s">
        <v>26</v>
      </c>
      <c r="F9" s="28"/>
      <c r="G9" s="127">
        <v>30</v>
      </c>
      <c r="H9" s="28">
        <v>0</v>
      </c>
      <c r="I9" s="127">
        <f t="shared" si="0"/>
        <v>30</v>
      </c>
      <c r="J9" s="28" t="s">
        <v>33</v>
      </c>
      <c r="K9" s="28">
        <v>12</v>
      </c>
      <c r="L9" s="127">
        <f t="shared" si="1"/>
        <v>30</v>
      </c>
      <c r="M9" s="28">
        <v>3.63</v>
      </c>
      <c r="N9" s="28">
        <v>0.34</v>
      </c>
      <c r="O9" s="28">
        <v>3.51</v>
      </c>
      <c r="P9" s="28">
        <v>0.79</v>
      </c>
      <c r="Q9" s="28">
        <v>5.76</v>
      </c>
      <c r="R9" s="28">
        <v>0.34</v>
      </c>
      <c r="S9" s="256">
        <v>5.8198000000000008</v>
      </c>
      <c r="T9" s="28">
        <v>4.8600000000000003</v>
      </c>
      <c r="U9" s="28">
        <v>7.82</v>
      </c>
      <c r="V9" s="28">
        <v>3.26</v>
      </c>
      <c r="W9" s="28">
        <v>2</v>
      </c>
      <c r="X9" s="28"/>
      <c r="Y9" s="127">
        <f>SUM(M9:X9)</f>
        <v>38.129799999999996</v>
      </c>
      <c r="Z9" s="127">
        <f t="shared" si="3"/>
        <v>-8.1297999999999959</v>
      </c>
      <c r="AA9" s="28"/>
    </row>
    <row r="10" spans="2:27" x14ac:dyDescent="0.25">
      <c r="B10" s="28">
        <v>7</v>
      </c>
      <c r="C10" s="28" t="s">
        <v>463</v>
      </c>
      <c r="D10" s="9" t="s">
        <v>461</v>
      </c>
      <c r="E10" s="136" t="s">
        <v>26</v>
      </c>
      <c r="F10" s="28"/>
      <c r="G10" s="127">
        <v>30</v>
      </c>
      <c r="H10" s="28">
        <v>0</v>
      </c>
      <c r="I10" s="127">
        <f t="shared" si="0"/>
        <v>30</v>
      </c>
      <c r="J10" s="28" t="s">
        <v>33</v>
      </c>
      <c r="K10" s="28">
        <v>12</v>
      </c>
      <c r="L10" s="127">
        <f t="shared" si="1"/>
        <v>30</v>
      </c>
      <c r="M10" s="28">
        <v>3.39</v>
      </c>
      <c r="N10" s="28">
        <v>4.17</v>
      </c>
      <c r="O10" s="28">
        <v>4.67</v>
      </c>
      <c r="P10" s="28">
        <v>5.08</v>
      </c>
      <c r="Q10" s="28">
        <v>4.09</v>
      </c>
      <c r="R10" s="28">
        <v>3.93</v>
      </c>
      <c r="S10" s="256">
        <v>2.4329999999999998</v>
      </c>
      <c r="T10" s="28">
        <v>4.2300000000000004</v>
      </c>
      <c r="U10" s="28">
        <v>4.8</v>
      </c>
      <c r="V10" s="28">
        <v>4.28</v>
      </c>
      <c r="W10" s="28">
        <v>1.29</v>
      </c>
      <c r="X10" s="28"/>
      <c r="Y10" s="127">
        <f>SUM(M10:X10)</f>
        <v>42.363</v>
      </c>
      <c r="Z10" s="127">
        <f t="shared" si="3"/>
        <v>-12.363</v>
      </c>
      <c r="AA10" s="28"/>
    </row>
    <row r="11" spans="2:27" s="360" customFormat="1" ht="30" x14ac:dyDescent="0.25">
      <c r="B11" s="122">
        <v>8</v>
      </c>
      <c r="C11" s="122" t="s">
        <v>137</v>
      </c>
      <c r="D11" s="268" t="s">
        <v>37</v>
      </c>
      <c r="E11" s="122" t="s">
        <v>38</v>
      </c>
      <c r="F11" s="122"/>
      <c r="G11" s="244">
        <v>23.698799999999999</v>
      </c>
      <c r="H11" s="122">
        <v>6</v>
      </c>
      <c r="I11" s="244">
        <f t="shared" si="0"/>
        <v>17.698799999999999</v>
      </c>
      <c r="J11" s="122" t="s">
        <v>27</v>
      </c>
      <c r="K11" s="122">
        <v>9</v>
      </c>
      <c r="L11" s="244">
        <f t="shared" si="1"/>
        <v>13.274099999999999</v>
      </c>
      <c r="M11" s="122">
        <v>0</v>
      </c>
      <c r="N11" s="122">
        <v>0</v>
      </c>
      <c r="O11" s="122">
        <v>0</v>
      </c>
      <c r="P11" s="122">
        <v>0</v>
      </c>
      <c r="Q11" s="122">
        <v>0</v>
      </c>
      <c r="R11" s="122">
        <v>0</v>
      </c>
      <c r="S11" s="122">
        <v>0</v>
      </c>
      <c r="T11" s="122">
        <v>0</v>
      </c>
      <c r="U11" s="122">
        <v>0</v>
      </c>
      <c r="V11" s="122">
        <v>0.36</v>
      </c>
      <c r="W11" s="122">
        <v>1.98</v>
      </c>
      <c r="X11" s="122"/>
      <c r="Y11" s="244">
        <f t="shared" si="2"/>
        <v>2.34</v>
      </c>
      <c r="Z11" s="244">
        <f t="shared" si="3"/>
        <v>10.934099999999999</v>
      </c>
      <c r="AA11" s="122"/>
    </row>
    <row r="12" spans="2:27" x14ac:dyDescent="0.25">
      <c r="B12" s="28">
        <v>1</v>
      </c>
      <c r="C12" s="28" t="s">
        <v>451</v>
      </c>
      <c r="D12" s="9" t="s">
        <v>450</v>
      </c>
      <c r="E12" s="136" t="s">
        <v>38</v>
      </c>
      <c r="F12" s="28"/>
      <c r="G12" s="127">
        <v>6</v>
      </c>
      <c r="H12" s="28">
        <v>0</v>
      </c>
      <c r="I12" s="127"/>
      <c r="J12" s="28"/>
      <c r="K12" s="28"/>
      <c r="L12" s="256"/>
      <c r="M12" s="122"/>
      <c r="N12" s="122">
        <v>0</v>
      </c>
      <c r="O12" s="122">
        <v>0</v>
      </c>
      <c r="P12" s="99">
        <v>0</v>
      </c>
      <c r="Q12" s="99">
        <v>0</v>
      </c>
      <c r="R12" s="99">
        <v>0</v>
      </c>
      <c r="S12" s="99">
        <v>0</v>
      </c>
      <c r="T12" s="127">
        <f>80*4*24*6.86/100000</f>
        <v>0.52684799999999998</v>
      </c>
      <c r="U12" s="28">
        <v>2.58</v>
      </c>
      <c r="V12" s="28">
        <v>1.52</v>
      </c>
      <c r="W12" s="28">
        <v>2.4700000000000002</v>
      </c>
      <c r="X12" s="28"/>
      <c r="Y12" s="127">
        <f t="shared" si="2"/>
        <v>7.0968480000000014</v>
      </c>
      <c r="Z12" s="127"/>
      <c r="AA12" s="28"/>
    </row>
    <row r="13" spans="2:27" x14ac:dyDescent="0.25">
      <c r="B13" s="28">
        <v>9</v>
      </c>
      <c r="C13" s="28" t="s">
        <v>181</v>
      </c>
      <c r="D13" s="9" t="s">
        <v>39</v>
      </c>
      <c r="E13" s="137" t="s">
        <v>40</v>
      </c>
      <c r="F13" s="28"/>
      <c r="G13" s="127">
        <v>1.79</v>
      </c>
      <c r="H13" s="28">
        <v>0</v>
      </c>
      <c r="I13" s="127">
        <f t="shared" si="0"/>
        <v>1.79</v>
      </c>
      <c r="J13" s="28" t="s">
        <v>36</v>
      </c>
      <c r="K13" s="28">
        <v>6</v>
      </c>
      <c r="L13" s="127">
        <f t="shared" si="1"/>
        <v>0.89500000000000002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/>
      <c r="V13" s="28"/>
      <c r="W13" s="28"/>
      <c r="X13" s="28"/>
      <c r="Y13" s="127">
        <f t="shared" si="2"/>
        <v>0</v>
      </c>
      <c r="Z13" s="127">
        <f t="shared" si="3"/>
        <v>0.89500000000000002</v>
      </c>
      <c r="AA13" s="270" t="s">
        <v>482</v>
      </c>
    </row>
    <row r="14" spans="2:27" x14ac:dyDescent="0.25">
      <c r="B14" s="28">
        <v>10</v>
      </c>
      <c r="C14" s="28" t="s">
        <v>182</v>
      </c>
      <c r="D14" s="9" t="s">
        <v>41</v>
      </c>
      <c r="E14" s="137" t="s">
        <v>40</v>
      </c>
      <c r="F14" s="28"/>
      <c r="G14" s="127">
        <v>3.5868000000000002</v>
      </c>
      <c r="H14" s="28">
        <v>0</v>
      </c>
      <c r="I14" s="127">
        <f t="shared" si="0"/>
        <v>3.5868000000000002</v>
      </c>
      <c r="J14" s="28" t="s">
        <v>36</v>
      </c>
      <c r="K14" s="28">
        <v>6</v>
      </c>
      <c r="L14" s="127">
        <f t="shared" si="1"/>
        <v>1.7934000000000001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/>
      <c r="V14" s="28"/>
      <c r="W14" s="28"/>
      <c r="X14" s="28"/>
      <c r="Y14" s="127">
        <f t="shared" si="2"/>
        <v>0</v>
      </c>
      <c r="Z14" s="127">
        <f t="shared" si="3"/>
        <v>1.7934000000000001</v>
      </c>
      <c r="AA14" s="271"/>
    </row>
    <row r="15" spans="2:27" x14ac:dyDescent="0.25">
      <c r="B15" s="28">
        <v>11</v>
      </c>
      <c r="C15" s="28" t="s">
        <v>183</v>
      </c>
      <c r="D15" s="9" t="s">
        <v>42</v>
      </c>
      <c r="E15" s="137" t="s">
        <v>40</v>
      </c>
      <c r="F15" s="28"/>
      <c r="G15" s="127">
        <f>21.97+4.41554</f>
        <v>26.385539999999999</v>
      </c>
      <c r="H15" s="28">
        <v>0</v>
      </c>
      <c r="I15" s="127">
        <f t="shared" si="0"/>
        <v>26.385539999999999</v>
      </c>
      <c r="J15" s="28" t="s">
        <v>27</v>
      </c>
      <c r="K15" s="28">
        <v>6</v>
      </c>
      <c r="L15" s="127">
        <f>21.97*K15/12</f>
        <v>10.984999999999999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/>
      <c r="V15" s="28"/>
      <c r="W15" s="28"/>
      <c r="X15" s="28"/>
      <c r="Y15" s="127">
        <f t="shared" si="2"/>
        <v>0</v>
      </c>
      <c r="Z15" s="127">
        <f t="shared" si="3"/>
        <v>10.984999999999999</v>
      </c>
      <c r="AA15" s="271"/>
    </row>
    <row r="16" spans="2:27" x14ac:dyDescent="0.25">
      <c r="B16" s="28">
        <v>12</v>
      </c>
      <c r="C16" s="28" t="s">
        <v>184</v>
      </c>
      <c r="D16" s="9" t="s">
        <v>43</v>
      </c>
      <c r="E16" s="137" t="s">
        <v>40</v>
      </c>
      <c r="F16" s="28"/>
      <c r="G16" s="127">
        <v>5.8784266666666669</v>
      </c>
      <c r="H16" s="28">
        <v>0</v>
      </c>
      <c r="I16" s="127">
        <f t="shared" si="0"/>
        <v>5.8784266666666669</v>
      </c>
      <c r="J16" s="28" t="s">
        <v>27</v>
      </c>
      <c r="K16" s="28">
        <v>9</v>
      </c>
      <c r="L16" s="127">
        <f t="shared" si="1"/>
        <v>4.4088200000000004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/>
      <c r="V16" s="28"/>
      <c r="W16" s="28"/>
      <c r="X16" s="28"/>
      <c r="Y16" s="127">
        <f t="shared" si="2"/>
        <v>0</v>
      </c>
      <c r="Z16" s="127">
        <f t="shared" si="3"/>
        <v>4.4088200000000004</v>
      </c>
      <c r="AA16" s="271"/>
    </row>
    <row r="17" spans="2:27" x14ac:dyDescent="0.25">
      <c r="B17" s="28">
        <v>13</v>
      </c>
      <c r="C17" s="28" t="s">
        <v>185</v>
      </c>
      <c r="D17" s="9" t="s">
        <v>44</v>
      </c>
      <c r="E17" s="137" t="s">
        <v>40</v>
      </c>
      <c r="F17" s="28"/>
      <c r="G17" s="127">
        <v>1.5308800000000002</v>
      </c>
      <c r="H17" s="28">
        <v>0</v>
      </c>
      <c r="I17" s="127">
        <f t="shared" si="0"/>
        <v>1.5308800000000002</v>
      </c>
      <c r="J17" s="28" t="s">
        <v>27</v>
      </c>
      <c r="K17" s="28">
        <v>9</v>
      </c>
      <c r="L17" s="127">
        <f t="shared" si="1"/>
        <v>1.1481600000000001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/>
      <c r="V17" s="28"/>
      <c r="W17" s="28"/>
      <c r="X17" s="28"/>
      <c r="Y17" s="127">
        <f t="shared" si="2"/>
        <v>0</v>
      </c>
      <c r="Z17" s="127">
        <f t="shared" si="3"/>
        <v>1.1481600000000001</v>
      </c>
      <c r="AA17" s="272"/>
    </row>
    <row r="18" spans="2:27" ht="30" x14ac:dyDescent="0.25">
      <c r="B18" s="28">
        <v>14</v>
      </c>
      <c r="C18" s="28" t="s">
        <v>187</v>
      </c>
      <c r="D18" s="9" t="s">
        <v>45</v>
      </c>
      <c r="E18" s="138" t="s">
        <v>46</v>
      </c>
      <c r="F18" s="28"/>
      <c r="G18" s="28">
        <v>30</v>
      </c>
      <c r="H18" s="28">
        <v>0</v>
      </c>
      <c r="I18" s="127">
        <f t="shared" si="0"/>
        <v>30</v>
      </c>
      <c r="J18" s="28" t="s">
        <v>33</v>
      </c>
      <c r="K18" s="28">
        <v>9</v>
      </c>
      <c r="L18" s="127">
        <f t="shared" si="1"/>
        <v>22.5</v>
      </c>
      <c r="M18" s="28">
        <v>1.51</v>
      </c>
      <c r="N18" s="28">
        <v>0.94</v>
      </c>
      <c r="O18" s="28">
        <v>2.84</v>
      </c>
      <c r="P18" s="28">
        <v>9.77</v>
      </c>
      <c r="Q18" s="28">
        <v>15.11</v>
      </c>
      <c r="R18" s="99">
        <v>12.11</v>
      </c>
      <c r="S18" s="28">
        <v>6.37</v>
      </c>
      <c r="T18" s="28">
        <v>2.02</v>
      </c>
      <c r="U18" s="28">
        <v>6.08</v>
      </c>
      <c r="V18" s="28">
        <v>7</v>
      </c>
      <c r="W18" s="28">
        <v>1.91</v>
      </c>
      <c r="X18" s="28"/>
      <c r="Y18" s="259">
        <f t="shared" si="2"/>
        <v>65.66</v>
      </c>
      <c r="Z18" s="127">
        <f t="shared" si="3"/>
        <v>-43.16</v>
      </c>
      <c r="AA18" s="99"/>
    </row>
    <row r="19" spans="2:27" x14ac:dyDescent="0.25">
      <c r="B19" s="28">
        <v>15</v>
      </c>
      <c r="C19" s="28" t="s">
        <v>188</v>
      </c>
      <c r="D19" s="9" t="s">
        <v>47</v>
      </c>
      <c r="E19" s="138" t="s">
        <v>46</v>
      </c>
      <c r="F19" s="28"/>
      <c r="G19" s="28">
        <v>20</v>
      </c>
      <c r="H19" s="28">
        <v>0</v>
      </c>
      <c r="I19" s="127">
        <f t="shared" si="0"/>
        <v>20</v>
      </c>
      <c r="J19" s="28" t="s">
        <v>33</v>
      </c>
      <c r="K19" s="28">
        <v>9</v>
      </c>
      <c r="L19" s="127">
        <f t="shared" si="1"/>
        <v>15</v>
      </c>
      <c r="M19" s="28">
        <v>0.93</v>
      </c>
      <c r="N19" s="28">
        <v>1.55</v>
      </c>
      <c r="O19" s="28">
        <v>1.72</v>
      </c>
      <c r="P19" s="28">
        <v>4.71</v>
      </c>
      <c r="Q19" s="28">
        <v>1.47</v>
      </c>
      <c r="R19" s="99">
        <v>3.34</v>
      </c>
      <c r="S19" s="28">
        <v>3.21</v>
      </c>
      <c r="T19" s="28">
        <v>2.48</v>
      </c>
      <c r="U19" s="28">
        <v>3.14</v>
      </c>
      <c r="V19" s="28">
        <v>2.7</v>
      </c>
      <c r="W19" s="28">
        <v>3.03</v>
      </c>
      <c r="X19" s="28"/>
      <c r="Y19" s="259">
        <f t="shared" si="2"/>
        <v>28.28</v>
      </c>
      <c r="Z19" s="127">
        <f t="shared" si="3"/>
        <v>-13.280000000000001</v>
      </c>
      <c r="AA19" s="99"/>
    </row>
    <row r="20" spans="2:27" x14ac:dyDescent="0.25">
      <c r="B20" s="28">
        <v>16</v>
      </c>
      <c r="C20" s="28" t="s">
        <v>189</v>
      </c>
      <c r="D20" s="9" t="s">
        <v>48</v>
      </c>
      <c r="E20" s="139" t="s">
        <v>49</v>
      </c>
      <c r="F20" s="28"/>
      <c r="G20" s="127">
        <v>29.7</v>
      </c>
      <c r="H20" s="28">
        <v>0</v>
      </c>
      <c r="I20" s="127">
        <f t="shared" si="0"/>
        <v>29.7</v>
      </c>
      <c r="J20" s="28" t="s">
        <v>27</v>
      </c>
      <c r="K20" s="28">
        <v>9</v>
      </c>
      <c r="L20" s="127">
        <f t="shared" si="1"/>
        <v>22.275000000000002</v>
      </c>
      <c r="M20" s="135">
        <v>0</v>
      </c>
      <c r="N20" s="135">
        <v>0</v>
      </c>
      <c r="O20" s="135">
        <v>0</v>
      </c>
      <c r="P20" s="135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/>
      <c r="Y20" s="259">
        <f t="shared" si="2"/>
        <v>0</v>
      </c>
      <c r="Z20" s="127">
        <f t="shared" si="3"/>
        <v>22.275000000000002</v>
      </c>
      <c r="AA20" s="28" t="s">
        <v>486</v>
      </c>
    </row>
    <row r="21" spans="2:27" ht="30" x14ac:dyDescent="0.25">
      <c r="B21" s="28">
        <v>17</v>
      </c>
      <c r="C21" s="28" t="s">
        <v>190</v>
      </c>
      <c r="D21" s="9" t="s">
        <v>50</v>
      </c>
      <c r="E21" s="139" t="s">
        <v>49</v>
      </c>
      <c r="F21" s="28"/>
      <c r="G21" s="127">
        <v>17.976880000000001</v>
      </c>
      <c r="H21" s="28">
        <v>0</v>
      </c>
      <c r="I21" s="127">
        <f t="shared" si="0"/>
        <v>17.976880000000001</v>
      </c>
      <c r="J21" s="28" t="s">
        <v>27</v>
      </c>
      <c r="K21" s="28">
        <v>9</v>
      </c>
      <c r="L21" s="127">
        <f t="shared" si="1"/>
        <v>13.482660000000001</v>
      </c>
      <c r="M21" s="127">
        <v>0.32969464319999997</v>
      </c>
      <c r="N21" s="127">
        <v>0.70356173680000011</v>
      </c>
      <c r="O21" s="127">
        <v>0.82423660799999998</v>
      </c>
      <c r="P21" s="127">
        <v>1.1439835680000001</v>
      </c>
      <c r="Q21" s="127">
        <v>0.81699999999999995</v>
      </c>
      <c r="R21" s="28">
        <v>1.0900000000000001</v>
      </c>
      <c r="S21" s="28">
        <v>1.3074097920000001</v>
      </c>
      <c r="T21" s="127">
        <v>1.3618851999999999</v>
      </c>
      <c r="U21" s="28">
        <v>1.25</v>
      </c>
      <c r="V21" s="28">
        <v>1.25</v>
      </c>
      <c r="W21" s="28">
        <v>1.36</v>
      </c>
      <c r="X21" s="28"/>
      <c r="Y21" s="259">
        <f t="shared" si="2"/>
        <v>11.437771547999999</v>
      </c>
      <c r="Z21" s="127">
        <f t="shared" si="3"/>
        <v>2.0448884520000021</v>
      </c>
      <c r="AA21" s="28"/>
    </row>
    <row r="22" spans="2:27" x14ac:dyDescent="0.25">
      <c r="B22" s="28">
        <v>18</v>
      </c>
      <c r="C22" s="28" t="s">
        <v>191</v>
      </c>
      <c r="D22" s="9" t="s">
        <v>51</v>
      </c>
      <c r="E22" s="139" t="s">
        <v>49</v>
      </c>
      <c r="F22" s="28"/>
      <c r="G22" s="127">
        <v>0.66</v>
      </c>
      <c r="H22" s="28">
        <v>0</v>
      </c>
      <c r="I22" s="127">
        <f t="shared" si="0"/>
        <v>0.66</v>
      </c>
      <c r="J22" s="28" t="s">
        <v>27</v>
      </c>
      <c r="K22" s="28">
        <v>9</v>
      </c>
      <c r="L22" s="127">
        <f t="shared" si="1"/>
        <v>0.49500000000000005</v>
      </c>
      <c r="M22" s="135">
        <v>0</v>
      </c>
      <c r="N22" s="135">
        <v>0</v>
      </c>
      <c r="O22" s="135">
        <v>0</v>
      </c>
      <c r="P22" s="135">
        <v>0</v>
      </c>
      <c r="Q22" s="28">
        <v>6.2E-2</v>
      </c>
      <c r="R22" s="28">
        <v>0.28999999999999998</v>
      </c>
      <c r="S22" s="255">
        <v>0.29304000000000002</v>
      </c>
      <c r="T22" s="127">
        <v>0.19272</v>
      </c>
      <c r="U22" s="28">
        <v>0.18</v>
      </c>
      <c r="V22" s="28">
        <v>0.02</v>
      </c>
      <c r="W22" s="127">
        <v>2.7E-2</v>
      </c>
      <c r="X22" s="28"/>
      <c r="Y22" s="259">
        <f t="shared" si="2"/>
        <v>1.0647599999999999</v>
      </c>
      <c r="Z22" s="127">
        <f t="shared" si="3"/>
        <v>-0.56975999999999982</v>
      </c>
      <c r="AA22" s="28"/>
    </row>
    <row r="23" spans="2:27" ht="45" x14ac:dyDescent="0.25">
      <c r="B23" s="28">
        <v>19</v>
      </c>
      <c r="C23" s="28" t="s">
        <v>192</v>
      </c>
      <c r="D23" s="9" t="s">
        <v>52</v>
      </c>
      <c r="E23" s="139" t="s">
        <v>49</v>
      </c>
      <c r="F23" s="28"/>
      <c r="G23" s="127">
        <v>12.43256</v>
      </c>
      <c r="H23" s="28">
        <v>0</v>
      </c>
      <c r="I23" s="127">
        <f t="shared" si="0"/>
        <v>12.43256</v>
      </c>
      <c r="J23" s="28" t="s">
        <v>27</v>
      </c>
      <c r="K23" s="28">
        <v>9</v>
      </c>
      <c r="L23" s="127">
        <f t="shared" si="1"/>
        <v>9.3244199999999999</v>
      </c>
      <c r="M23" s="135">
        <v>0</v>
      </c>
      <c r="N23" s="135">
        <v>0</v>
      </c>
      <c r="O23" s="135">
        <v>0</v>
      </c>
      <c r="P23" s="127">
        <v>2.62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/>
      <c r="Y23" s="259">
        <f t="shared" si="2"/>
        <v>2.62</v>
      </c>
      <c r="Z23" s="127">
        <f t="shared" si="3"/>
        <v>6.7044199999999998</v>
      </c>
      <c r="AA23" s="142" t="s">
        <v>484</v>
      </c>
    </row>
    <row r="24" spans="2:27" s="360" customFormat="1" ht="45" x14ac:dyDescent="0.25">
      <c r="B24" s="99">
        <v>20</v>
      </c>
      <c r="C24" s="99" t="s">
        <v>193</v>
      </c>
      <c r="D24" s="359" t="s">
        <v>53</v>
      </c>
      <c r="E24" s="99" t="s">
        <v>49</v>
      </c>
      <c r="F24" s="99"/>
      <c r="G24" s="256">
        <v>25.08</v>
      </c>
      <c r="H24" s="99">
        <v>0</v>
      </c>
      <c r="I24" s="256">
        <f t="shared" si="0"/>
        <v>25.08</v>
      </c>
      <c r="J24" s="99" t="s">
        <v>27</v>
      </c>
      <c r="K24" s="99">
        <v>9</v>
      </c>
      <c r="L24" s="256">
        <f t="shared" si="1"/>
        <v>18.809999999999999</v>
      </c>
      <c r="M24" s="99">
        <v>0</v>
      </c>
      <c r="N24" s="256">
        <v>7.8792</v>
      </c>
      <c r="O24" s="256">
        <v>0</v>
      </c>
      <c r="P24" s="256">
        <v>1.92</v>
      </c>
      <c r="Q24" s="256">
        <v>1.6943999999999999</v>
      </c>
      <c r="R24" s="99">
        <v>0</v>
      </c>
      <c r="S24" s="99">
        <v>0</v>
      </c>
      <c r="T24" s="99">
        <v>0</v>
      </c>
      <c r="U24" s="99">
        <v>0</v>
      </c>
      <c r="V24" s="99">
        <v>0</v>
      </c>
      <c r="W24" s="99">
        <v>0</v>
      </c>
      <c r="X24" s="99"/>
      <c r="Y24" s="361">
        <f t="shared" si="2"/>
        <v>11.493599999999999</v>
      </c>
      <c r="Z24" s="256">
        <f t="shared" si="3"/>
        <v>7.3163999999999998</v>
      </c>
      <c r="AA24" s="362" t="s">
        <v>485</v>
      </c>
    </row>
    <row r="25" spans="2:27" s="360" customFormat="1" x14ac:dyDescent="0.25">
      <c r="B25" s="99">
        <v>21</v>
      </c>
      <c r="C25" s="99" t="s">
        <v>194</v>
      </c>
      <c r="D25" s="363" t="s">
        <v>54</v>
      </c>
      <c r="E25" s="99" t="s">
        <v>49</v>
      </c>
      <c r="F25" s="99"/>
      <c r="G25" s="256">
        <v>0.35718</v>
      </c>
      <c r="H25" s="99">
        <v>0</v>
      </c>
      <c r="I25" s="256">
        <f t="shared" si="0"/>
        <v>0.35718</v>
      </c>
      <c r="J25" s="99" t="s">
        <v>27</v>
      </c>
      <c r="K25" s="99">
        <v>9</v>
      </c>
      <c r="L25" s="256">
        <f t="shared" si="1"/>
        <v>0.26788499999999998</v>
      </c>
      <c r="M25" s="99">
        <v>0</v>
      </c>
      <c r="N25" s="99">
        <v>0</v>
      </c>
      <c r="O25" s="99">
        <v>0</v>
      </c>
      <c r="P25" s="99">
        <v>0</v>
      </c>
      <c r="Q25" s="99">
        <v>0</v>
      </c>
      <c r="R25" s="99">
        <v>0</v>
      </c>
      <c r="S25" s="99">
        <v>0</v>
      </c>
      <c r="T25" s="99">
        <v>0.43</v>
      </c>
      <c r="U25" s="99">
        <v>1.04</v>
      </c>
      <c r="V25" s="99">
        <v>1.75</v>
      </c>
      <c r="W25" s="99">
        <v>1.1100000000000001</v>
      </c>
      <c r="X25" s="99"/>
      <c r="Y25" s="361">
        <f t="shared" si="2"/>
        <v>4.33</v>
      </c>
      <c r="Z25" s="256">
        <f t="shared" si="3"/>
        <v>-4.0621150000000004</v>
      </c>
      <c r="AA25" s="99"/>
    </row>
    <row r="26" spans="2:27" s="360" customFormat="1" x14ac:dyDescent="0.25">
      <c r="B26" s="99">
        <v>22</v>
      </c>
      <c r="C26" s="99" t="s">
        <v>215</v>
      </c>
      <c r="D26" s="363" t="s">
        <v>55</v>
      </c>
      <c r="E26" s="99" t="s">
        <v>59</v>
      </c>
      <c r="F26" s="99"/>
      <c r="G26" s="99">
        <v>83</v>
      </c>
      <c r="H26" s="99"/>
      <c r="I26" s="256">
        <f t="shared" si="0"/>
        <v>83</v>
      </c>
      <c r="J26" s="99" t="s">
        <v>57</v>
      </c>
      <c r="K26" s="99">
        <v>8</v>
      </c>
      <c r="L26" s="256">
        <f t="shared" si="1"/>
        <v>55.333333333333336</v>
      </c>
      <c r="M26" s="99">
        <v>0</v>
      </c>
      <c r="N26" s="99">
        <v>0</v>
      </c>
      <c r="O26" s="99">
        <v>0</v>
      </c>
      <c r="P26" s="99">
        <v>0</v>
      </c>
      <c r="Q26" s="99">
        <v>0</v>
      </c>
      <c r="R26" s="99">
        <v>0</v>
      </c>
      <c r="S26" s="99">
        <v>0</v>
      </c>
      <c r="T26" s="99">
        <v>0</v>
      </c>
      <c r="U26" s="99">
        <v>0</v>
      </c>
      <c r="V26" s="99">
        <v>0</v>
      </c>
      <c r="W26" s="99">
        <v>0</v>
      </c>
      <c r="X26" s="99">
        <v>0</v>
      </c>
      <c r="Y26" s="361">
        <f t="shared" si="2"/>
        <v>0</v>
      </c>
      <c r="Z26" s="256">
        <f t="shared" si="3"/>
        <v>55.333333333333336</v>
      </c>
      <c r="AA26" s="99" t="s">
        <v>493</v>
      </c>
    </row>
    <row r="27" spans="2:27" s="360" customFormat="1" ht="30" x14ac:dyDescent="0.25">
      <c r="B27" s="99">
        <v>23</v>
      </c>
      <c r="C27" s="99" t="s">
        <v>453</v>
      </c>
      <c r="D27" s="363" t="s">
        <v>454</v>
      </c>
      <c r="E27" s="99" t="s">
        <v>59</v>
      </c>
      <c r="F27" s="99"/>
      <c r="G27" s="256">
        <v>17.95</v>
      </c>
      <c r="H27" s="99">
        <v>0</v>
      </c>
      <c r="I27" s="256">
        <f t="shared" si="0"/>
        <v>17.95</v>
      </c>
      <c r="J27" s="99" t="s">
        <v>478</v>
      </c>
      <c r="K27" s="99">
        <v>7.5</v>
      </c>
      <c r="L27" s="256">
        <f t="shared" si="1"/>
        <v>11.21875</v>
      </c>
      <c r="M27" s="256">
        <v>0</v>
      </c>
      <c r="N27" s="256">
        <v>0</v>
      </c>
      <c r="O27" s="256">
        <v>0</v>
      </c>
      <c r="P27" s="256">
        <v>0</v>
      </c>
      <c r="Q27" s="256">
        <v>0.87</v>
      </c>
      <c r="R27" s="99">
        <v>1.62</v>
      </c>
      <c r="S27" s="99">
        <v>1.66</v>
      </c>
      <c r="T27" s="256">
        <f>6.86*1.65/5.27</f>
        <v>2.1478178368121443</v>
      </c>
      <c r="U27" s="99">
        <v>1.63</v>
      </c>
      <c r="V27" s="99">
        <v>1.75</v>
      </c>
      <c r="W27" s="99">
        <v>1.59</v>
      </c>
      <c r="X27" s="99">
        <v>1.4</v>
      </c>
      <c r="Y27" s="361">
        <f t="shared" si="2"/>
        <v>12.667817836812146</v>
      </c>
      <c r="Z27" s="256">
        <f t="shared" si="3"/>
        <v>-1.4490678368121461</v>
      </c>
      <c r="AA27" s="99"/>
    </row>
    <row r="28" spans="2:27" s="360" customFormat="1" ht="30" x14ac:dyDescent="0.25">
      <c r="B28" s="99">
        <v>24</v>
      </c>
      <c r="C28" s="99" t="s">
        <v>358</v>
      </c>
      <c r="D28" s="363" t="s">
        <v>58</v>
      </c>
      <c r="E28" s="99" t="s">
        <v>357</v>
      </c>
      <c r="F28" s="99"/>
      <c r="G28" s="99">
        <v>18</v>
      </c>
      <c r="H28" s="99">
        <v>4</v>
      </c>
      <c r="I28" s="256">
        <f t="shared" si="0"/>
        <v>14</v>
      </c>
      <c r="J28" s="99" t="s">
        <v>57</v>
      </c>
      <c r="K28" s="99">
        <v>8</v>
      </c>
      <c r="L28" s="256">
        <f t="shared" si="1"/>
        <v>9.3333333333333339</v>
      </c>
      <c r="M28" s="99">
        <v>0</v>
      </c>
      <c r="N28" s="99">
        <v>0</v>
      </c>
      <c r="O28" s="256">
        <v>5.5480000000000002E-2</v>
      </c>
      <c r="P28" s="256">
        <v>0.10173</v>
      </c>
      <c r="Q28" s="256">
        <v>0.25086999999999998</v>
      </c>
      <c r="R28" s="256">
        <v>0.74109000000000003</v>
      </c>
      <c r="S28" s="256">
        <v>0.76580000000000004</v>
      </c>
      <c r="T28" s="256">
        <v>1.075</v>
      </c>
      <c r="U28" s="99">
        <v>0.61</v>
      </c>
      <c r="V28" s="99">
        <v>1.21</v>
      </c>
      <c r="W28" s="256">
        <v>1.5840000000000001</v>
      </c>
      <c r="X28" s="99">
        <v>1.19</v>
      </c>
      <c r="Y28" s="361">
        <f t="shared" si="2"/>
        <v>7.583969999999999</v>
      </c>
      <c r="Z28" s="256">
        <f t="shared" si="3"/>
        <v>1.7493633333333349</v>
      </c>
      <c r="AA28" s="99"/>
    </row>
    <row r="29" spans="2:27" s="360" customFormat="1" x14ac:dyDescent="0.25">
      <c r="B29" s="99">
        <v>25</v>
      </c>
      <c r="C29" s="99" t="s">
        <v>214</v>
      </c>
      <c r="D29" s="363" t="s">
        <v>61</v>
      </c>
      <c r="E29" s="99" t="s">
        <v>56</v>
      </c>
      <c r="F29" s="99"/>
      <c r="G29" s="99">
        <v>6.5</v>
      </c>
      <c r="H29" s="99">
        <v>0</v>
      </c>
      <c r="I29" s="256">
        <f t="shared" si="0"/>
        <v>6.5</v>
      </c>
      <c r="J29" s="99" t="s">
        <v>57</v>
      </c>
      <c r="K29" s="99">
        <v>8</v>
      </c>
      <c r="L29" s="256">
        <f t="shared" si="1"/>
        <v>4.333333333333333</v>
      </c>
      <c r="M29" s="99">
        <v>0</v>
      </c>
      <c r="N29" s="99">
        <v>0</v>
      </c>
      <c r="O29" s="99">
        <v>0</v>
      </c>
      <c r="P29" s="99">
        <v>0.36</v>
      </c>
      <c r="Q29" s="99">
        <v>0.54</v>
      </c>
      <c r="R29" s="99">
        <v>0.51</v>
      </c>
      <c r="S29" s="99">
        <v>0.54</v>
      </c>
      <c r="T29" s="99">
        <v>0.67</v>
      </c>
      <c r="U29" s="99">
        <v>0.6</v>
      </c>
      <c r="V29" s="99">
        <v>0.61</v>
      </c>
      <c r="W29" s="99">
        <v>0.54</v>
      </c>
      <c r="X29" s="99">
        <v>0.59</v>
      </c>
      <c r="Y29" s="361">
        <f t="shared" si="2"/>
        <v>4.96</v>
      </c>
      <c r="Z29" s="256">
        <f t="shared" si="3"/>
        <v>-0.62666666666666693</v>
      </c>
      <c r="AA29" s="99"/>
    </row>
    <row r="30" spans="2:27" s="360" customFormat="1" x14ac:dyDescent="0.25">
      <c r="B30" s="99">
        <v>26</v>
      </c>
      <c r="C30" s="99" t="s">
        <v>216</v>
      </c>
      <c r="D30" s="364" t="s">
        <v>457</v>
      </c>
      <c r="E30" s="99" t="s">
        <v>56</v>
      </c>
      <c r="F30" s="99"/>
      <c r="G30" s="99">
        <v>11</v>
      </c>
      <c r="H30" s="99">
        <v>0</v>
      </c>
      <c r="I30" s="256">
        <f t="shared" si="0"/>
        <v>11</v>
      </c>
      <c r="J30" s="99" t="s">
        <v>57</v>
      </c>
      <c r="K30" s="99">
        <v>8</v>
      </c>
      <c r="L30" s="256">
        <f t="shared" si="1"/>
        <v>7.333333333333333</v>
      </c>
      <c r="M30" s="99">
        <v>0</v>
      </c>
      <c r="N30" s="99">
        <v>0</v>
      </c>
      <c r="O30" s="99">
        <v>0</v>
      </c>
      <c r="P30" s="99">
        <v>0</v>
      </c>
      <c r="Q30" s="99">
        <v>0</v>
      </c>
      <c r="R30" s="99">
        <v>0</v>
      </c>
      <c r="S30" s="99">
        <v>0</v>
      </c>
      <c r="T30" s="99">
        <v>0</v>
      </c>
      <c r="U30" s="99">
        <v>0</v>
      </c>
      <c r="V30" s="99">
        <v>0</v>
      </c>
      <c r="W30" s="99">
        <v>0</v>
      </c>
      <c r="X30" s="99">
        <v>0</v>
      </c>
      <c r="Y30" s="361">
        <f t="shared" si="2"/>
        <v>0</v>
      </c>
      <c r="Z30" s="256">
        <f t="shared" si="3"/>
        <v>7.333333333333333</v>
      </c>
      <c r="AA30" s="99" t="s">
        <v>486</v>
      </c>
    </row>
    <row r="31" spans="2:27" s="360" customFormat="1" x14ac:dyDescent="0.25">
      <c r="B31" s="99">
        <v>27</v>
      </c>
      <c r="C31" s="99" t="s">
        <v>217</v>
      </c>
      <c r="D31" s="363" t="s">
        <v>64</v>
      </c>
      <c r="E31" s="99" t="s">
        <v>63</v>
      </c>
      <c r="F31" s="99" t="s">
        <v>65</v>
      </c>
      <c r="G31" s="256">
        <v>26.666666666666668</v>
      </c>
      <c r="H31" s="99">
        <v>0</v>
      </c>
      <c r="I31" s="256">
        <f t="shared" si="0"/>
        <v>26.666666666666668</v>
      </c>
      <c r="J31" s="99" t="s">
        <v>27</v>
      </c>
      <c r="K31" s="99">
        <v>9</v>
      </c>
      <c r="L31" s="256">
        <f t="shared" si="1"/>
        <v>20</v>
      </c>
      <c r="M31" s="99">
        <v>0</v>
      </c>
      <c r="N31" s="99">
        <v>0</v>
      </c>
      <c r="O31" s="99">
        <v>0</v>
      </c>
      <c r="P31" s="256">
        <v>0.25</v>
      </c>
      <c r="Q31" s="99">
        <v>2.25</v>
      </c>
      <c r="R31" s="99">
        <v>2.2000000000000002</v>
      </c>
      <c r="S31" s="99">
        <v>2.21</v>
      </c>
      <c r="T31" s="99">
        <v>2.14</v>
      </c>
      <c r="U31" s="99">
        <v>2.63</v>
      </c>
      <c r="V31" s="99">
        <v>2.62</v>
      </c>
      <c r="W31" s="99">
        <v>2.54</v>
      </c>
      <c r="X31" s="99">
        <v>2.93</v>
      </c>
      <c r="Y31" s="361">
        <f t="shared" si="2"/>
        <v>19.77</v>
      </c>
      <c r="Z31" s="256">
        <f t="shared" si="3"/>
        <v>0.23000000000000043</v>
      </c>
      <c r="AA31" s="99"/>
    </row>
    <row r="32" spans="2:27" s="360" customFormat="1" x14ac:dyDescent="0.25">
      <c r="B32" s="99">
        <v>28</v>
      </c>
      <c r="C32" s="99" t="s">
        <v>218</v>
      </c>
      <c r="D32" s="365" t="s">
        <v>66</v>
      </c>
      <c r="E32" s="99" t="s">
        <v>63</v>
      </c>
      <c r="F32" s="99" t="s">
        <v>67</v>
      </c>
      <c r="G32" s="256">
        <v>10.666666666666666</v>
      </c>
      <c r="H32" s="99">
        <v>0</v>
      </c>
      <c r="I32" s="256">
        <f t="shared" si="0"/>
        <v>10.666666666666666</v>
      </c>
      <c r="J32" s="99" t="s">
        <v>27</v>
      </c>
      <c r="K32" s="99">
        <v>9</v>
      </c>
      <c r="L32" s="256">
        <f t="shared" si="1"/>
        <v>8</v>
      </c>
      <c r="M32" s="99">
        <v>0</v>
      </c>
      <c r="N32" s="99">
        <v>0</v>
      </c>
      <c r="O32" s="99">
        <v>0</v>
      </c>
      <c r="P32" s="99">
        <v>0</v>
      </c>
      <c r="Q32" s="99">
        <v>0</v>
      </c>
      <c r="R32" s="99">
        <v>0</v>
      </c>
      <c r="S32" s="99">
        <v>0</v>
      </c>
      <c r="T32" s="99">
        <v>0</v>
      </c>
      <c r="U32" s="99">
        <v>0</v>
      </c>
      <c r="V32" s="99">
        <v>0</v>
      </c>
      <c r="W32" s="99">
        <v>0</v>
      </c>
      <c r="X32" s="99">
        <v>0</v>
      </c>
      <c r="Y32" s="361">
        <f t="shared" si="2"/>
        <v>0</v>
      </c>
      <c r="Z32" s="256">
        <f t="shared" si="3"/>
        <v>8</v>
      </c>
      <c r="AA32" s="99" t="s">
        <v>494</v>
      </c>
    </row>
    <row r="33" spans="2:27" s="360" customFormat="1" x14ac:dyDescent="0.25">
      <c r="B33" s="99">
        <v>29</v>
      </c>
      <c r="C33" s="99" t="s">
        <v>219</v>
      </c>
      <c r="D33" s="363" t="s">
        <v>68</v>
      </c>
      <c r="E33" s="99" t="s">
        <v>63</v>
      </c>
      <c r="F33" s="99" t="s">
        <v>62</v>
      </c>
      <c r="G33" s="256">
        <v>10.666666666666666</v>
      </c>
      <c r="H33" s="99">
        <v>0</v>
      </c>
      <c r="I33" s="256">
        <f t="shared" si="0"/>
        <v>10.666666666666666</v>
      </c>
      <c r="J33" s="99" t="s">
        <v>27</v>
      </c>
      <c r="K33" s="99">
        <v>9</v>
      </c>
      <c r="L33" s="256">
        <f t="shared" si="1"/>
        <v>8</v>
      </c>
      <c r="M33" s="99">
        <v>0</v>
      </c>
      <c r="N33" s="99">
        <v>0</v>
      </c>
      <c r="O33" s="99">
        <v>0</v>
      </c>
      <c r="P33" s="99">
        <v>0</v>
      </c>
      <c r="Q33" s="99">
        <v>0</v>
      </c>
      <c r="R33" s="99">
        <v>0</v>
      </c>
      <c r="S33" s="99">
        <v>0.42</v>
      </c>
      <c r="T33" s="99">
        <v>0.42</v>
      </c>
      <c r="U33" s="99">
        <v>0.42</v>
      </c>
      <c r="V33" s="99">
        <v>0.21</v>
      </c>
      <c r="W33" s="99">
        <v>0</v>
      </c>
      <c r="X33" s="256">
        <f>0.42*3/4</f>
        <v>0.315</v>
      </c>
      <c r="Y33" s="361">
        <f t="shared" si="2"/>
        <v>1.7849999999999999</v>
      </c>
      <c r="Z33" s="256">
        <f t="shared" si="3"/>
        <v>6.2149999999999999</v>
      </c>
      <c r="AA33" s="99"/>
    </row>
    <row r="34" spans="2:27" s="360" customFormat="1" x14ac:dyDescent="0.25">
      <c r="B34" s="99">
        <v>30</v>
      </c>
      <c r="C34" s="99" t="s">
        <v>220</v>
      </c>
      <c r="D34" s="61" t="s">
        <v>69</v>
      </c>
      <c r="E34" s="99" t="s">
        <v>63</v>
      </c>
      <c r="F34" s="99" t="s">
        <v>65</v>
      </c>
      <c r="G34" s="256">
        <v>13.333333333333334</v>
      </c>
      <c r="H34" s="99">
        <v>0</v>
      </c>
      <c r="I34" s="256">
        <f t="shared" si="0"/>
        <v>13.333333333333334</v>
      </c>
      <c r="J34" s="99" t="s">
        <v>27</v>
      </c>
      <c r="K34" s="99">
        <v>9</v>
      </c>
      <c r="L34" s="256">
        <f t="shared" si="1"/>
        <v>10</v>
      </c>
      <c r="M34" s="99">
        <v>0</v>
      </c>
      <c r="N34" s="99">
        <v>0</v>
      </c>
      <c r="O34" s="99">
        <v>0</v>
      </c>
      <c r="P34" s="99">
        <v>0</v>
      </c>
      <c r="Q34" s="99">
        <v>0</v>
      </c>
      <c r="R34" s="99">
        <v>0</v>
      </c>
      <c r="S34" s="99">
        <v>0</v>
      </c>
      <c r="T34" s="99">
        <v>0</v>
      </c>
      <c r="U34" s="99">
        <v>0</v>
      </c>
      <c r="V34" s="99">
        <v>0</v>
      </c>
      <c r="W34" s="99">
        <v>0</v>
      </c>
      <c r="X34" s="99">
        <v>0</v>
      </c>
      <c r="Y34" s="361">
        <f t="shared" si="2"/>
        <v>0</v>
      </c>
      <c r="Z34" s="256">
        <f t="shared" si="3"/>
        <v>10</v>
      </c>
      <c r="AA34" s="99" t="s">
        <v>486</v>
      </c>
    </row>
    <row r="35" spans="2:27" s="360" customFormat="1" x14ac:dyDescent="0.25">
      <c r="B35" s="99">
        <v>31</v>
      </c>
      <c r="C35" s="99" t="s">
        <v>221</v>
      </c>
      <c r="D35" s="61" t="s">
        <v>70</v>
      </c>
      <c r="E35" s="99" t="s">
        <v>63</v>
      </c>
      <c r="F35" s="99" t="s">
        <v>65</v>
      </c>
      <c r="G35" s="256">
        <v>40</v>
      </c>
      <c r="H35" s="99">
        <v>0</v>
      </c>
      <c r="I35" s="256">
        <f t="shared" si="0"/>
        <v>40</v>
      </c>
      <c r="J35" s="99" t="s">
        <v>27</v>
      </c>
      <c r="K35" s="99">
        <v>9</v>
      </c>
      <c r="L35" s="256">
        <f t="shared" si="1"/>
        <v>30</v>
      </c>
      <c r="M35" s="99">
        <v>0</v>
      </c>
      <c r="N35" s="99">
        <v>0</v>
      </c>
      <c r="O35" s="99">
        <v>0</v>
      </c>
      <c r="P35" s="99">
        <v>0.77</v>
      </c>
      <c r="Q35" s="99">
        <v>3.94</v>
      </c>
      <c r="R35" s="99">
        <v>3.81</v>
      </c>
      <c r="S35" s="99">
        <v>3.89</v>
      </c>
      <c r="T35" s="99">
        <v>3.76</v>
      </c>
      <c r="U35" s="99">
        <v>4.2300000000000004</v>
      </c>
      <c r="V35" s="99">
        <v>4.58</v>
      </c>
      <c r="W35" s="99">
        <v>4.1100000000000003</v>
      </c>
      <c r="X35" s="99">
        <v>4.6100000000000003</v>
      </c>
      <c r="Y35" s="361">
        <f t="shared" si="2"/>
        <v>33.700000000000003</v>
      </c>
      <c r="Z35" s="256">
        <f t="shared" si="3"/>
        <v>-3.7000000000000028</v>
      </c>
      <c r="AA35" s="99"/>
    </row>
    <row r="36" spans="2:27" s="360" customFormat="1" x14ac:dyDescent="0.25">
      <c r="B36" s="99">
        <v>32</v>
      </c>
      <c r="C36" s="99" t="s">
        <v>222</v>
      </c>
      <c r="D36" s="366" t="s">
        <v>71</v>
      </c>
      <c r="E36" s="99" t="s">
        <v>63</v>
      </c>
      <c r="F36" s="99" t="s">
        <v>62</v>
      </c>
      <c r="G36" s="256">
        <v>20</v>
      </c>
      <c r="H36" s="99">
        <v>0</v>
      </c>
      <c r="I36" s="256">
        <f t="shared" si="0"/>
        <v>20</v>
      </c>
      <c r="J36" s="99" t="s">
        <v>27</v>
      </c>
      <c r="K36" s="99">
        <v>9</v>
      </c>
      <c r="L36" s="256">
        <f t="shared" si="1"/>
        <v>15</v>
      </c>
      <c r="M36" s="99">
        <v>0</v>
      </c>
      <c r="N36" s="99">
        <v>0</v>
      </c>
      <c r="O36" s="99">
        <v>0</v>
      </c>
      <c r="P36" s="99">
        <v>0</v>
      </c>
      <c r="Q36" s="99">
        <v>0</v>
      </c>
      <c r="R36" s="99">
        <v>0</v>
      </c>
      <c r="S36" s="99">
        <v>0</v>
      </c>
      <c r="T36" s="99">
        <v>0</v>
      </c>
      <c r="U36" s="99">
        <v>0</v>
      </c>
      <c r="V36" s="99">
        <v>0</v>
      </c>
      <c r="W36" s="99">
        <v>0</v>
      </c>
      <c r="X36" s="99">
        <v>0</v>
      </c>
      <c r="Y36" s="361">
        <f t="shared" si="2"/>
        <v>0</v>
      </c>
      <c r="Z36" s="256">
        <f t="shared" si="3"/>
        <v>15</v>
      </c>
      <c r="AA36" s="362" t="s">
        <v>481</v>
      </c>
    </row>
    <row r="37" spans="2:27" s="1" customFormat="1" x14ac:dyDescent="0.25">
      <c r="D37" s="5" t="s">
        <v>22</v>
      </c>
      <c r="G37" s="6">
        <f>SUM(G4:G36)</f>
        <v>626.99966800000004</v>
      </c>
      <c r="H37" s="6">
        <f>SUM(H4:H36)</f>
        <v>15</v>
      </c>
      <c r="I37" s="6">
        <f>SUM(I4:I36)</f>
        <v>605.99966800000004</v>
      </c>
      <c r="J37" s="6">
        <f>SUM(J4:J36)</f>
        <v>0</v>
      </c>
      <c r="K37" s="6"/>
      <c r="L37" s="264">
        <f t="shared" ref="L37:Y37" si="4">SUM(L4:L36)</f>
        <v>444.59267441666657</v>
      </c>
      <c r="M37" s="264">
        <f t="shared" si="4"/>
        <v>11.913601580200002</v>
      </c>
      <c r="N37" s="264">
        <f t="shared" si="4"/>
        <v>18.174637852993321</v>
      </c>
      <c r="O37" s="264">
        <f t="shared" si="4"/>
        <v>19.620828223409504</v>
      </c>
      <c r="P37" s="264">
        <f t="shared" si="4"/>
        <v>42.883321927991652</v>
      </c>
      <c r="Q37" s="264">
        <f t="shared" si="4"/>
        <v>47.179758307263128</v>
      </c>
      <c r="R37" s="264">
        <f t="shared" si="4"/>
        <v>34.185189999999999</v>
      </c>
      <c r="S37" s="264">
        <f t="shared" si="4"/>
        <v>30.129701764000007</v>
      </c>
      <c r="T37" s="264">
        <f t="shared" si="4"/>
        <v>28.477271036812148</v>
      </c>
      <c r="U37" s="264">
        <f t="shared" si="4"/>
        <v>42.781000000000006</v>
      </c>
      <c r="V37" s="264">
        <f t="shared" si="4"/>
        <v>39.799999999999997</v>
      </c>
      <c r="W37" s="264">
        <f t="shared" si="4"/>
        <v>27.597799999999999</v>
      </c>
      <c r="X37" s="264">
        <f t="shared" si="4"/>
        <v>11.035</v>
      </c>
      <c r="Y37" s="264">
        <f t="shared" si="4"/>
        <v>353.77811069266977</v>
      </c>
      <c r="Z37" s="259">
        <f t="shared" si="3"/>
        <v>90.814563723996798</v>
      </c>
      <c r="AA37" s="2"/>
    </row>
    <row r="38" spans="2:27" x14ac:dyDescent="0.25">
      <c r="B38" s="269" t="s">
        <v>455</v>
      </c>
      <c r="C38" s="269"/>
      <c r="D38" s="269"/>
      <c r="E38" s="269"/>
      <c r="Z38" s="257"/>
    </row>
    <row r="39" spans="2:27" hidden="1" x14ac:dyDescent="0.25">
      <c r="B39" s="28">
        <v>1</v>
      </c>
      <c r="C39" s="28" t="s">
        <v>451</v>
      </c>
      <c r="D39" s="9" t="s">
        <v>450</v>
      </c>
      <c r="E39" s="136" t="s">
        <v>38</v>
      </c>
      <c r="F39" s="28"/>
      <c r="G39" s="127">
        <v>6</v>
      </c>
      <c r="H39" s="28">
        <v>0</v>
      </c>
      <c r="I39" s="127"/>
      <c r="J39" s="28"/>
      <c r="K39" s="28"/>
      <c r="L39" s="244"/>
      <c r="M39" s="122"/>
      <c r="N39" s="122">
        <v>0</v>
      </c>
      <c r="O39" s="122">
        <v>0</v>
      </c>
      <c r="P39" s="122">
        <v>0</v>
      </c>
      <c r="Q39" s="122">
        <v>0</v>
      </c>
      <c r="R39" s="28">
        <v>0</v>
      </c>
      <c r="S39" s="122">
        <v>0</v>
      </c>
      <c r="T39" s="255">
        <f>80*4*24*6.86/100000</f>
        <v>0.52684799999999998</v>
      </c>
      <c r="U39" s="28"/>
      <c r="V39" s="28"/>
      <c r="W39" s="28"/>
      <c r="X39" s="28"/>
      <c r="Y39" s="28"/>
      <c r="Z39" s="127"/>
      <c r="AA39" s="28" t="s">
        <v>480</v>
      </c>
    </row>
    <row r="40" spans="2:27" x14ac:dyDescent="0.25">
      <c r="B40" s="10"/>
      <c r="C40" s="10" t="s">
        <v>488</v>
      </c>
      <c r="D40" s="258" t="s">
        <v>487</v>
      </c>
      <c r="E40" s="10" t="s">
        <v>488</v>
      </c>
      <c r="F40" s="10"/>
      <c r="G40" s="10"/>
      <c r="H40" s="10"/>
      <c r="I40" s="10"/>
      <c r="J40" s="10"/>
      <c r="K40" s="10"/>
      <c r="L40" s="10"/>
      <c r="M40" s="261">
        <v>0</v>
      </c>
      <c r="N40" s="261">
        <v>0</v>
      </c>
      <c r="O40" s="261">
        <v>0</v>
      </c>
      <c r="P40" s="261">
        <v>22.695838372623239</v>
      </c>
      <c r="Q40" s="261">
        <v>0</v>
      </c>
      <c r="R40" s="261">
        <v>5.9959833466493038</v>
      </c>
      <c r="S40" s="261">
        <v>30.45501479505208</v>
      </c>
      <c r="T40" s="261">
        <v>15.500736899835436</v>
      </c>
      <c r="U40" s="261">
        <v>0</v>
      </c>
      <c r="V40" s="10">
        <v>8.74</v>
      </c>
      <c r="W40" s="10">
        <v>14.7</v>
      </c>
      <c r="X40" s="10"/>
      <c r="Y40" s="259">
        <f t="shared" ref="Y40:Y41" si="5">SUM(M40:X40)</f>
        <v>98.087573414160047</v>
      </c>
    </row>
    <row r="41" spans="2:27" x14ac:dyDescent="0.25">
      <c r="B41" s="10"/>
      <c r="C41" s="10" t="s">
        <v>488</v>
      </c>
      <c r="D41" s="258" t="s">
        <v>489</v>
      </c>
      <c r="E41" s="10" t="s">
        <v>488</v>
      </c>
      <c r="F41" s="10"/>
      <c r="G41" s="10"/>
      <c r="H41" s="10"/>
      <c r="I41" s="10"/>
      <c r="J41" s="10"/>
      <c r="K41" s="10"/>
      <c r="L41" s="8"/>
      <c r="M41" s="262">
        <v>0</v>
      </c>
      <c r="N41" s="262">
        <v>0</v>
      </c>
      <c r="O41" s="262">
        <v>0</v>
      </c>
      <c r="P41" s="262">
        <v>0</v>
      </c>
      <c r="Q41" s="262">
        <v>0</v>
      </c>
      <c r="R41" s="262">
        <v>0</v>
      </c>
      <c r="S41" s="262">
        <v>0</v>
      </c>
      <c r="T41" s="262">
        <v>0</v>
      </c>
      <c r="U41" s="262">
        <v>26.426604824999998</v>
      </c>
      <c r="V41" s="7">
        <v>0</v>
      </c>
      <c r="W41" s="7">
        <v>0</v>
      </c>
      <c r="X41" s="7"/>
      <c r="Y41" s="259">
        <f t="shared" si="5"/>
        <v>26.426604824999998</v>
      </c>
      <c r="Z41" s="253"/>
      <c r="AA41" s="125"/>
    </row>
    <row r="42" spans="2:27" x14ac:dyDescent="0.25">
      <c r="D42" s="5" t="s">
        <v>490</v>
      </c>
      <c r="K42" s="21"/>
      <c r="L42" s="254"/>
      <c r="M42" s="264">
        <f>M37+M40+M41</f>
        <v>11.913601580200002</v>
      </c>
      <c r="N42" s="264">
        <f t="shared" ref="N42:Y42" si="6">N37+N40+N41</f>
        <v>18.174637852993321</v>
      </c>
      <c r="O42" s="264">
        <f t="shared" si="6"/>
        <v>19.620828223409504</v>
      </c>
      <c r="P42" s="264">
        <f t="shared" si="6"/>
        <v>65.579160300614888</v>
      </c>
      <c r="Q42" s="264">
        <f t="shared" si="6"/>
        <v>47.179758307263128</v>
      </c>
      <c r="R42" s="264">
        <f t="shared" si="6"/>
        <v>40.181173346649302</v>
      </c>
      <c r="S42" s="264">
        <f t="shared" si="6"/>
        <v>60.584716559052083</v>
      </c>
      <c r="T42" s="264">
        <f t="shared" si="6"/>
        <v>43.978007936647586</v>
      </c>
      <c r="U42" s="264">
        <f t="shared" si="6"/>
        <v>69.207604825000004</v>
      </c>
      <c r="V42" s="264">
        <f t="shared" si="6"/>
        <v>48.54</v>
      </c>
      <c r="W42" s="264">
        <f t="shared" si="6"/>
        <v>42.297799999999995</v>
      </c>
      <c r="X42" s="264">
        <f t="shared" si="6"/>
        <v>11.035</v>
      </c>
      <c r="Y42" s="264">
        <f t="shared" si="6"/>
        <v>478.29228893182983</v>
      </c>
      <c r="Z42" s="254">
        <f>L37-Y42</f>
        <v>-33.699614515163262</v>
      </c>
      <c r="AA42" s="125"/>
    </row>
    <row r="43" spans="2:27" x14ac:dyDescent="0.25"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63"/>
      <c r="Z43" s="21"/>
      <c r="AA43" s="125"/>
    </row>
    <row r="44" spans="2:27" x14ac:dyDescent="0.25"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125"/>
    </row>
  </sheetData>
  <mergeCells count="2">
    <mergeCell ref="B38:E38"/>
    <mergeCell ref="AA13:AA17"/>
  </mergeCells>
  <pageMargins left="0.7" right="0.7" top="0.75" bottom="0.75" header="0.3" footer="0.3"/>
  <pageSetup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workbookViewId="0">
      <selection activeCell="Q30" sqref="Q30"/>
    </sheetView>
  </sheetViews>
  <sheetFormatPr defaultRowHeight="15" x14ac:dyDescent="0.25"/>
  <cols>
    <col min="2" max="2" width="18.140625" bestFit="1" customWidth="1"/>
    <col min="3" max="3" width="7.28515625" customWidth="1"/>
    <col min="4" max="4" width="18.5703125" customWidth="1"/>
    <col min="5" max="5" width="8.5703125" customWidth="1"/>
    <col min="6" max="6" width="19.5703125" customWidth="1"/>
    <col min="7" max="7" width="7.7109375" customWidth="1"/>
  </cols>
  <sheetData>
    <row r="2" spans="2:14" x14ac:dyDescent="0.25">
      <c r="B2" s="12" t="s">
        <v>72</v>
      </c>
      <c r="C2" s="274" t="s">
        <v>189</v>
      </c>
      <c r="D2" s="275"/>
      <c r="E2" s="275"/>
      <c r="F2" s="275"/>
      <c r="G2" s="275"/>
    </row>
    <row r="3" spans="2:14" x14ac:dyDescent="0.25">
      <c r="B3" s="12" t="s">
        <v>73</v>
      </c>
      <c r="C3" s="296" t="s">
        <v>195</v>
      </c>
      <c r="D3" s="297"/>
      <c r="E3" s="297"/>
      <c r="F3" s="297"/>
      <c r="G3" s="298"/>
    </row>
    <row r="4" spans="2:14" x14ac:dyDescent="0.25">
      <c r="B4" s="12" t="s">
        <v>74</v>
      </c>
      <c r="C4" s="296" t="s">
        <v>49</v>
      </c>
      <c r="D4" s="297"/>
      <c r="E4" s="297"/>
      <c r="F4" s="297"/>
      <c r="G4" s="298"/>
    </row>
    <row r="5" spans="2:14" ht="30" x14ac:dyDescent="0.25">
      <c r="B5" s="15" t="s">
        <v>76</v>
      </c>
      <c r="C5" s="58">
        <f>F11/100000</f>
        <v>29.7</v>
      </c>
      <c r="D5" s="17" t="s">
        <v>77</v>
      </c>
      <c r="E5" s="18">
        <v>0</v>
      </c>
      <c r="F5" s="19" t="s">
        <v>78</v>
      </c>
      <c r="G5" s="20">
        <f>C5*9/12</f>
        <v>22.275000000000002</v>
      </c>
    </row>
    <row r="8" spans="2:14" x14ac:dyDescent="0.25">
      <c r="B8" s="273" t="s">
        <v>186</v>
      </c>
      <c r="C8" s="273"/>
      <c r="D8" s="273"/>
      <c r="E8" s="273"/>
      <c r="F8" s="273"/>
      <c r="G8" s="273"/>
    </row>
    <row r="9" spans="2:14" x14ac:dyDescent="0.25">
      <c r="B9" s="292" t="s">
        <v>196</v>
      </c>
      <c r="C9" s="293"/>
      <c r="D9" s="293"/>
      <c r="E9" s="294"/>
      <c r="F9" s="59">
        <v>6</v>
      </c>
      <c r="G9" s="10" t="s">
        <v>197</v>
      </c>
    </row>
    <row r="10" spans="2:14" x14ac:dyDescent="0.25">
      <c r="B10" s="292" t="s">
        <v>198</v>
      </c>
      <c r="C10" s="293"/>
      <c r="D10" s="293"/>
      <c r="E10" s="294"/>
      <c r="F10" s="27">
        <v>1.5</v>
      </c>
      <c r="G10" s="10" t="s">
        <v>199</v>
      </c>
    </row>
    <row r="11" spans="2:14" x14ac:dyDescent="0.25">
      <c r="B11" s="292" t="s">
        <v>200</v>
      </c>
      <c r="C11" s="293"/>
      <c r="D11" s="293"/>
      <c r="E11" s="294"/>
      <c r="F11" s="59">
        <f>F9*F10*1000*330</f>
        <v>2970000</v>
      </c>
      <c r="G11" s="10" t="s">
        <v>201</v>
      </c>
    </row>
    <row r="14" spans="2:14" x14ac:dyDescent="0.25">
      <c r="B14" s="55" t="s">
        <v>198</v>
      </c>
      <c r="C14" s="55"/>
      <c r="D14" s="55"/>
      <c r="E14" s="55"/>
      <c r="F14" s="55"/>
      <c r="G14" s="60"/>
      <c r="H14" s="10"/>
      <c r="I14" s="61"/>
      <c r="J14" s="10"/>
      <c r="K14" s="10"/>
      <c r="L14" s="10"/>
      <c r="M14" s="10"/>
      <c r="N14" s="10"/>
    </row>
    <row r="15" spans="2:14" x14ac:dyDescent="0.25">
      <c r="B15" s="25" t="s">
        <v>202</v>
      </c>
      <c r="C15" s="25"/>
      <c r="D15" s="25"/>
      <c r="E15" s="25"/>
      <c r="F15" s="55"/>
      <c r="G15" s="55"/>
      <c r="H15" s="10"/>
      <c r="I15" s="10"/>
      <c r="J15" s="10"/>
      <c r="K15" s="10"/>
      <c r="L15" s="10"/>
      <c r="M15" s="10"/>
      <c r="N15" s="10"/>
    </row>
    <row r="16" spans="2:14" x14ac:dyDescent="0.25">
      <c r="B16" s="23"/>
      <c r="C16" s="23"/>
      <c r="D16" s="23"/>
      <c r="E16" s="23"/>
      <c r="F16" s="53"/>
    </row>
    <row r="17" spans="2:14" x14ac:dyDescent="0.25">
      <c r="B17" s="25"/>
      <c r="C17" s="25" t="s">
        <v>33</v>
      </c>
      <c r="D17" s="25" t="s">
        <v>29</v>
      </c>
      <c r="E17" s="25" t="s">
        <v>31</v>
      </c>
      <c r="F17" s="25" t="s">
        <v>27</v>
      </c>
      <c r="G17" s="25" t="s">
        <v>118</v>
      </c>
      <c r="H17" s="25" t="s">
        <v>119</v>
      </c>
      <c r="I17" s="25" t="s">
        <v>120</v>
      </c>
      <c r="J17" s="25" t="s">
        <v>121</v>
      </c>
      <c r="K17" s="25" t="s">
        <v>122</v>
      </c>
      <c r="L17" s="25" t="s">
        <v>123</v>
      </c>
      <c r="M17" s="25" t="s">
        <v>124</v>
      </c>
      <c r="N17" s="25" t="s">
        <v>125</v>
      </c>
    </row>
    <row r="18" spans="2:14" ht="30" x14ac:dyDescent="0.25">
      <c r="B18" s="9" t="s">
        <v>126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</row>
    <row r="19" spans="2:14" ht="30" x14ac:dyDescent="0.25">
      <c r="B19" s="9" t="s">
        <v>127</v>
      </c>
      <c r="C19" s="25"/>
      <c r="D19" s="25"/>
      <c r="E19" s="25"/>
      <c r="F19" s="25"/>
      <c r="G19" s="25"/>
      <c r="H19" s="25"/>
      <c r="I19" s="10"/>
      <c r="J19" s="10"/>
      <c r="K19" s="10"/>
      <c r="L19" s="10"/>
      <c r="M19" s="10"/>
      <c r="N19" s="10"/>
    </row>
    <row r="20" spans="2:14" ht="30" x14ac:dyDescent="0.25">
      <c r="B20" s="9" t="s">
        <v>128</v>
      </c>
      <c r="C20" s="25"/>
      <c r="D20" s="25"/>
      <c r="E20" s="25"/>
      <c r="F20" s="25"/>
      <c r="G20" s="25"/>
      <c r="H20" s="25"/>
      <c r="I20" s="10"/>
      <c r="J20" s="10"/>
      <c r="K20" s="10"/>
      <c r="L20" s="10"/>
      <c r="M20" s="10"/>
      <c r="N20" s="10"/>
    </row>
    <row r="21" spans="2:14" ht="30" x14ac:dyDescent="0.25">
      <c r="B21" s="9" t="s">
        <v>129</v>
      </c>
      <c r="C21" s="25"/>
      <c r="D21" s="25"/>
      <c r="E21" s="25"/>
      <c r="F21" s="25"/>
      <c r="G21" s="25"/>
      <c r="H21" s="25"/>
      <c r="I21" s="10"/>
      <c r="J21" s="10"/>
      <c r="K21" s="10"/>
      <c r="L21" s="10"/>
      <c r="M21" s="10"/>
      <c r="N21" s="10"/>
    </row>
    <row r="22" spans="2:14" ht="30" x14ac:dyDescent="0.25">
      <c r="B22" s="9" t="s">
        <v>130</v>
      </c>
      <c r="C22" s="25"/>
      <c r="D22" s="25"/>
      <c r="E22" s="25"/>
      <c r="F22" s="25"/>
      <c r="G22" s="25"/>
      <c r="H22" s="25"/>
      <c r="I22" s="10"/>
      <c r="J22" s="10"/>
      <c r="K22" s="10"/>
      <c r="L22" s="10"/>
      <c r="M22" s="10"/>
      <c r="N22" s="10"/>
    </row>
  </sheetData>
  <mergeCells count="7">
    <mergeCell ref="C2:G2"/>
    <mergeCell ref="B11:E11"/>
    <mergeCell ref="C3:G3"/>
    <mergeCell ref="C4:G4"/>
    <mergeCell ref="B8:G8"/>
    <mergeCell ref="B9:E9"/>
    <mergeCell ref="B10:E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workbookViewId="0">
      <selection activeCell="C3" sqref="C3:G3"/>
    </sheetView>
  </sheetViews>
  <sheetFormatPr defaultRowHeight="15" x14ac:dyDescent="0.25"/>
  <cols>
    <col min="2" max="2" width="18.140625" bestFit="1" customWidth="1"/>
    <col min="3" max="3" width="7.28515625" customWidth="1"/>
    <col min="4" max="4" width="18.5703125" customWidth="1"/>
    <col min="5" max="5" width="8.5703125" customWidth="1"/>
    <col min="6" max="6" width="19.5703125" customWidth="1"/>
    <col min="7" max="7" width="7.7109375" customWidth="1"/>
  </cols>
  <sheetData>
    <row r="2" spans="2:14" x14ac:dyDescent="0.25">
      <c r="B2" s="12" t="s">
        <v>72</v>
      </c>
      <c r="C2" s="274" t="s">
        <v>190</v>
      </c>
      <c r="D2" s="275"/>
      <c r="E2" s="275"/>
      <c r="F2" s="275"/>
      <c r="G2" s="275"/>
    </row>
    <row r="3" spans="2:14" x14ac:dyDescent="0.25">
      <c r="B3" s="12" t="s">
        <v>73</v>
      </c>
      <c r="C3" s="296" t="s">
        <v>50</v>
      </c>
      <c r="D3" s="297"/>
      <c r="E3" s="297"/>
      <c r="F3" s="297"/>
      <c r="G3" s="298"/>
    </row>
    <row r="4" spans="2:14" x14ac:dyDescent="0.25">
      <c r="B4" s="12" t="s">
        <v>74</v>
      </c>
      <c r="C4" s="296" t="s">
        <v>49</v>
      </c>
      <c r="D4" s="297"/>
      <c r="E4" s="297"/>
      <c r="F4" s="297"/>
      <c r="G4" s="298"/>
    </row>
    <row r="5" spans="2:14" ht="30" x14ac:dyDescent="0.25">
      <c r="B5" s="15" t="s">
        <v>76</v>
      </c>
      <c r="C5" s="58">
        <f>F11/100000</f>
        <v>17.975548800000002</v>
      </c>
      <c r="D5" s="17" t="s">
        <v>77</v>
      </c>
      <c r="E5" s="18">
        <v>0</v>
      </c>
      <c r="F5" s="19" t="s">
        <v>78</v>
      </c>
      <c r="G5" s="20">
        <f>C5*9/12</f>
        <v>13.481661600000002</v>
      </c>
    </row>
    <row r="8" spans="2:14" x14ac:dyDescent="0.25">
      <c r="B8" s="273" t="s">
        <v>186</v>
      </c>
      <c r="C8" s="273"/>
      <c r="D8" s="273"/>
      <c r="E8" s="273"/>
      <c r="F8" s="273"/>
      <c r="G8" s="273"/>
    </row>
    <row r="9" spans="2:14" x14ac:dyDescent="0.25">
      <c r="B9" s="292" t="s">
        <v>203</v>
      </c>
      <c r="C9" s="293"/>
      <c r="D9" s="293"/>
      <c r="E9" s="294"/>
      <c r="F9" s="59">
        <v>49.34</v>
      </c>
      <c r="G9" s="10" t="s">
        <v>204</v>
      </c>
    </row>
    <row r="10" spans="2:14" x14ac:dyDescent="0.25">
      <c r="B10" s="292" t="s">
        <v>205</v>
      </c>
      <c r="C10" s="293"/>
      <c r="D10" s="293"/>
      <c r="E10" s="294"/>
      <c r="F10" s="27">
        <v>4.5999999999999996</v>
      </c>
      <c r="G10" s="10" t="s">
        <v>199</v>
      </c>
    </row>
    <row r="11" spans="2:14" x14ac:dyDescent="0.25">
      <c r="B11" s="292" t="s">
        <v>200</v>
      </c>
      <c r="C11" s="293"/>
      <c r="D11" s="293"/>
      <c r="E11" s="294"/>
      <c r="F11" s="59">
        <f>F9*F10*24*330</f>
        <v>1797554.8800000001</v>
      </c>
      <c r="G11" s="10" t="s">
        <v>201</v>
      </c>
    </row>
    <row r="14" spans="2:14" x14ac:dyDescent="0.25">
      <c r="B14" s="55" t="s">
        <v>205</v>
      </c>
      <c r="C14" s="55"/>
      <c r="D14" s="55"/>
      <c r="E14" s="55"/>
      <c r="F14" s="55"/>
      <c r="G14" s="60"/>
      <c r="H14" s="10"/>
      <c r="I14" s="61"/>
      <c r="J14" s="10"/>
      <c r="K14" s="10"/>
      <c r="L14" s="10"/>
      <c r="M14" s="10"/>
      <c r="N14" s="10"/>
    </row>
    <row r="15" spans="2:14" x14ac:dyDescent="0.25">
      <c r="B15" s="25" t="s">
        <v>202</v>
      </c>
      <c r="C15" s="25"/>
      <c r="D15" s="25"/>
      <c r="E15" s="25"/>
      <c r="F15" s="55"/>
      <c r="G15" s="55"/>
      <c r="H15" s="10"/>
      <c r="I15" s="10"/>
      <c r="J15" s="10"/>
      <c r="K15" s="10"/>
      <c r="L15" s="10"/>
      <c r="M15" s="10"/>
      <c r="N15" s="10"/>
    </row>
    <row r="16" spans="2:14" x14ac:dyDescent="0.25">
      <c r="B16" s="23"/>
      <c r="C16" s="23"/>
      <c r="D16" s="23"/>
      <c r="E16" s="23"/>
      <c r="F16" s="53"/>
    </row>
    <row r="17" spans="2:14" x14ac:dyDescent="0.25">
      <c r="B17" s="25"/>
      <c r="C17" s="25" t="s">
        <v>33</v>
      </c>
      <c r="D17" s="25" t="s">
        <v>29</v>
      </c>
      <c r="E17" s="25" t="s">
        <v>31</v>
      </c>
      <c r="F17" s="25" t="s">
        <v>27</v>
      </c>
      <c r="G17" s="25" t="s">
        <v>118</v>
      </c>
      <c r="H17" s="25" t="s">
        <v>119</v>
      </c>
      <c r="I17" s="25" t="s">
        <v>120</v>
      </c>
      <c r="J17" s="25" t="s">
        <v>121</v>
      </c>
      <c r="K17" s="25" t="s">
        <v>122</v>
      </c>
      <c r="L17" s="25" t="s">
        <v>123</v>
      </c>
      <c r="M17" s="25" t="s">
        <v>124</v>
      </c>
      <c r="N17" s="25" t="s">
        <v>125</v>
      </c>
    </row>
    <row r="18" spans="2:14" ht="30" x14ac:dyDescent="0.25">
      <c r="B18" s="9" t="s">
        <v>126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</row>
    <row r="19" spans="2:14" ht="30" x14ac:dyDescent="0.25">
      <c r="B19" s="9" t="s">
        <v>127</v>
      </c>
      <c r="C19" s="25"/>
      <c r="D19" s="25"/>
      <c r="E19" s="25"/>
      <c r="F19" s="25"/>
      <c r="G19" s="25"/>
      <c r="H19" s="25"/>
      <c r="I19" s="10"/>
      <c r="J19" s="10"/>
      <c r="K19" s="10"/>
      <c r="L19" s="10"/>
      <c r="M19" s="10"/>
      <c r="N19" s="10"/>
    </row>
    <row r="20" spans="2:14" ht="30" x14ac:dyDescent="0.25">
      <c r="B20" s="9" t="s">
        <v>128</v>
      </c>
      <c r="C20" s="25"/>
      <c r="D20" s="25"/>
      <c r="E20" s="25"/>
      <c r="F20" s="25"/>
      <c r="G20" s="25"/>
      <c r="H20" s="25"/>
      <c r="I20" s="10"/>
      <c r="J20" s="10"/>
      <c r="K20" s="10"/>
      <c r="L20" s="10"/>
      <c r="M20" s="10"/>
      <c r="N20" s="10"/>
    </row>
    <row r="21" spans="2:14" ht="30" x14ac:dyDescent="0.25">
      <c r="B21" s="9" t="s">
        <v>129</v>
      </c>
      <c r="C21" s="25"/>
      <c r="D21" s="25"/>
      <c r="E21" s="25"/>
      <c r="F21" s="25"/>
      <c r="G21" s="25"/>
      <c r="H21" s="25"/>
      <c r="I21" s="10"/>
      <c r="J21" s="10"/>
      <c r="K21" s="10"/>
      <c r="L21" s="10"/>
      <c r="M21" s="10"/>
      <c r="N21" s="10"/>
    </row>
    <row r="22" spans="2:14" ht="30" x14ac:dyDescent="0.25">
      <c r="B22" s="9" t="s">
        <v>130</v>
      </c>
      <c r="C22" s="25"/>
      <c r="D22" s="25"/>
      <c r="E22" s="25"/>
      <c r="F22" s="25"/>
      <c r="G22" s="25"/>
      <c r="H22" s="25"/>
      <c r="I22" s="10"/>
      <c r="J22" s="10"/>
      <c r="K22" s="10"/>
      <c r="L22" s="10"/>
      <c r="M22" s="10"/>
      <c r="N22" s="10"/>
    </row>
  </sheetData>
  <mergeCells count="7">
    <mergeCell ref="C2:G2"/>
    <mergeCell ref="B11:E11"/>
    <mergeCell ref="C3:G3"/>
    <mergeCell ref="C4:G4"/>
    <mergeCell ref="B8:G8"/>
    <mergeCell ref="B9:E9"/>
    <mergeCell ref="B10:E1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workbookViewId="0">
      <selection activeCell="C3" sqref="C3:G3"/>
    </sheetView>
  </sheetViews>
  <sheetFormatPr defaultRowHeight="15" x14ac:dyDescent="0.25"/>
  <cols>
    <col min="2" max="2" width="18.140625" bestFit="1" customWidth="1"/>
    <col min="3" max="3" width="7.28515625" customWidth="1"/>
    <col min="4" max="4" width="18.5703125" customWidth="1"/>
    <col min="5" max="5" width="8.5703125" customWidth="1"/>
    <col min="6" max="6" width="19.5703125" customWidth="1"/>
    <col min="7" max="7" width="7.7109375" customWidth="1"/>
  </cols>
  <sheetData>
    <row r="2" spans="2:14" x14ac:dyDescent="0.25">
      <c r="B2" s="12" t="s">
        <v>72</v>
      </c>
      <c r="C2" s="274" t="s">
        <v>191</v>
      </c>
      <c r="D2" s="275"/>
      <c r="E2" s="275"/>
      <c r="F2" s="275"/>
      <c r="G2" s="275"/>
    </row>
    <row r="3" spans="2:14" x14ac:dyDescent="0.25">
      <c r="B3" s="12" t="s">
        <v>73</v>
      </c>
      <c r="C3" s="296" t="s">
        <v>206</v>
      </c>
      <c r="D3" s="297"/>
      <c r="E3" s="297"/>
      <c r="F3" s="297"/>
      <c r="G3" s="298"/>
    </row>
    <row r="4" spans="2:14" x14ac:dyDescent="0.25">
      <c r="B4" s="12" t="s">
        <v>74</v>
      </c>
      <c r="C4" s="296" t="s">
        <v>49</v>
      </c>
      <c r="D4" s="297"/>
      <c r="E4" s="297"/>
      <c r="F4" s="297"/>
      <c r="G4" s="298"/>
    </row>
    <row r="5" spans="2:14" ht="30" x14ac:dyDescent="0.25">
      <c r="B5" s="15" t="s">
        <v>76</v>
      </c>
      <c r="C5" s="58">
        <f>F11/100000</f>
        <v>0.66</v>
      </c>
      <c r="D5" s="17" t="s">
        <v>77</v>
      </c>
      <c r="E5" s="18">
        <v>0</v>
      </c>
      <c r="F5" s="19" t="s">
        <v>78</v>
      </c>
      <c r="G5" s="20">
        <f>C5*9/12</f>
        <v>0.49500000000000005</v>
      </c>
    </row>
    <row r="8" spans="2:14" x14ac:dyDescent="0.25">
      <c r="B8" s="273" t="s">
        <v>186</v>
      </c>
      <c r="C8" s="273"/>
      <c r="D8" s="273"/>
      <c r="E8" s="273"/>
      <c r="F8" s="273"/>
      <c r="G8" s="273"/>
    </row>
    <row r="9" spans="2:14" x14ac:dyDescent="0.25">
      <c r="B9" s="292" t="s">
        <v>207</v>
      </c>
      <c r="C9" s="293"/>
      <c r="D9" s="293"/>
      <c r="E9" s="294"/>
      <c r="F9" s="59">
        <v>5</v>
      </c>
      <c r="G9" s="10" t="s">
        <v>208</v>
      </c>
    </row>
    <row r="10" spans="2:14" x14ac:dyDescent="0.25">
      <c r="B10" s="292" t="s">
        <v>209</v>
      </c>
      <c r="C10" s="293"/>
      <c r="D10" s="293"/>
      <c r="E10" s="294"/>
      <c r="F10" s="62">
        <v>40</v>
      </c>
      <c r="G10" s="10" t="s">
        <v>210</v>
      </c>
    </row>
    <row r="11" spans="2:14" x14ac:dyDescent="0.25">
      <c r="B11" s="292" t="s">
        <v>200</v>
      </c>
      <c r="C11" s="293"/>
      <c r="D11" s="293"/>
      <c r="E11" s="294"/>
      <c r="F11" s="59">
        <f>F9*F10*330</f>
        <v>66000</v>
      </c>
      <c r="G11" s="10" t="s">
        <v>201</v>
      </c>
    </row>
    <row r="14" spans="2:14" x14ac:dyDescent="0.25">
      <c r="B14" s="55" t="s">
        <v>209</v>
      </c>
      <c r="C14" s="55"/>
      <c r="D14" s="55"/>
      <c r="E14" s="55"/>
      <c r="F14" s="55"/>
      <c r="G14" s="60"/>
      <c r="H14" s="10"/>
      <c r="I14" s="61"/>
      <c r="J14" s="10"/>
      <c r="K14" s="10"/>
      <c r="L14" s="10"/>
      <c r="M14" s="10"/>
      <c r="N14" s="10"/>
    </row>
    <row r="15" spans="2:14" x14ac:dyDescent="0.25">
      <c r="B15" s="25" t="s">
        <v>202</v>
      </c>
      <c r="C15" s="25"/>
      <c r="D15" s="25"/>
      <c r="E15" s="25"/>
      <c r="F15" s="55"/>
      <c r="G15" s="55"/>
      <c r="H15" s="10"/>
      <c r="I15" s="10"/>
      <c r="J15" s="10"/>
      <c r="K15" s="10"/>
      <c r="L15" s="10"/>
      <c r="M15" s="10"/>
      <c r="N15" s="10"/>
    </row>
    <row r="16" spans="2:14" x14ac:dyDescent="0.25">
      <c r="B16" s="23"/>
      <c r="C16" s="23"/>
      <c r="D16" s="23"/>
      <c r="E16" s="23"/>
      <c r="F16" s="53"/>
    </row>
    <row r="17" spans="2:14" x14ac:dyDescent="0.25">
      <c r="B17" s="25"/>
      <c r="C17" s="25" t="s">
        <v>33</v>
      </c>
      <c r="D17" s="25" t="s">
        <v>29</v>
      </c>
      <c r="E17" s="25" t="s">
        <v>31</v>
      </c>
      <c r="F17" s="25" t="s">
        <v>27</v>
      </c>
      <c r="G17" s="25" t="s">
        <v>118</v>
      </c>
      <c r="H17" s="25" t="s">
        <v>119</v>
      </c>
      <c r="I17" s="25" t="s">
        <v>120</v>
      </c>
      <c r="J17" s="25" t="s">
        <v>121</v>
      </c>
      <c r="K17" s="25" t="s">
        <v>122</v>
      </c>
      <c r="L17" s="25" t="s">
        <v>123</v>
      </c>
      <c r="M17" s="25" t="s">
        <v>124</v>
      </c>
      <c r="N17" s="25" t="s">
        <v>125</v>
      </c>
    </row>
    <row r="18" spans="2:14" ht="30" x14ac:dyDescent="0.25">
      <c r="B18" s="9" t="s">
        <v>126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</row>
    <row r="19" spans="2:14" ht="30" x14ac:dyDescent="0.25">
      <c r="B19" s="9" t="s">
        <v>127</v>
      </c>
      <c r="C19" s="25"/>
      <c r="D19" s="25"/>
      <c r="E19" s="25"/>
      <c r="F19" s="25"/>
      <c r="G19" s="25"/>
      <c r="H19" s="25"/>
      <c r="I19" s="10"/>
      <c r="J19" s="10"/>
      <c r="K19" s="10"/>
      <c r="L19" s="10"/>
      <c r="M19" s="10"/>
      <c r="N19" s="10"/>
    </row>
    <row r="20" spans="2:14" ht="30" x14ac:dyDescent="0.25">
      <c r="B20" s="9" t="s">
        <v>128</v>
      </c>
      <c r="C20" s="25"/>
      <c r="D20" s="25"/>
      <c r="E20" s="25"/>
      <c r="F20" s="25"/>
      <c r="G20" s="25"/>
      <c r="H20" s="25"/>
      <c r="I20" s="10"/>
      <c r="J20" s="10"/>
      <c r="K20" s="10"/>
      <c r="L20" s="10"/>
      <c r="M20" s="10"/>
      <c r="N20" s="10"/>
    </row>
    <row r="21" spans="2:14" ht="30" x14ac:dyDescent="0.25">
      <c r="B21" s="9" t="s">
        <v>129</v>
      </c>
      <c r="C21" s="25"/>
      <c r="D21" s="25"/>
      <c r="E21" s="25"/>
      <c r="F21" s="25"/>
      <c r="G21" s="25"/>
      <c r="H21" s="25"/>
      <c r="I21" s="10"/>
      <c r="J21" s="10"/>
      <c r="K21" s="10"/>
      <c r="L21" s="10"/>
      <c r="M21" s="10"/>
      <c r="N21" s="10"/>
    </row>
    <row r="22" spans="2:14" ht="30" x14ac:dyDescent="0.25">
      <c r="B22" s="9" t="s">
        <v>130</v>
      </c>
      <c r="C22" s="25"/>
      <c r="D22" s="25"/>
      <c r="E22" s="25"/>
      <c r="F22" s="25"/>
      <c r="G22" s="25"/>
      <c r="H22" s="25"/>
      <c r="I22" s="10"/>
      <c r="J22" s="10"/>
      <c r="K22" s="10"/>
      <c r="L22" s="10"/>
      <c r="M22" s="10"/>
      <c r="N22" s="10"/>
    </row>
  </sheetData>
  <mergeCells count="7">
    <mergeCell ref="C2:G2"/>
    <mergeCell ref="B11:E11"/>
    <mergeCell ref="C3:G3"/>
    <mergeCell ref="C4:G4"/>
    <mergeCell ref="B8:G8"/>
    <mergeCell ref="B9:E9"/>
    <mergeCell ref="B10:E1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view="pageBreakPreview" zoomScale="60" zoomScaleNormal="100" workbookViewId="0">
      <selection activeCell="C3" sqref="C3:G3"/>
    </sheetView>
  </sheetViews>
  <sheetFormatPr defaultRowHeight="15" x14ac:dyDescent="0.25"/>
  <cols>
    <col min="1" max="1" width="9" customWidth="1"/>
    <col min="2" max="2" width="18.140625" bestFit="1" customWidth="1"/>
    <col min="3" max="3" width="8.5703125" customWidth="1"/>
    <col min="4" max="4" width="11.7109375" customWidth="1"/>
    <col min="5" max="5" width="9.28515625" customWidth="1"/>
    <col min="6" max="6" width="11.7109375" customWidth="1"/>
    <col min="7" max="7" width="10.5703125" customWidth="1"/>
    <col min="8" max="8" width="10.85546875" bestFit="1" customWidth="1"/>
    <col min="10" max="10" width="10.42578125" bestFit="1" customWidth="1"/>
    <col min="11" max="11" width="10.140625" bestFit="1" customWidth="1"/>
  </cols>
  <sheetData>
    <row r="2" spans="2:14" x14ac:dyDescent="0.25">
      <c r="B2" s="12" t="s">
        <v>72</v>
      </c>
      <c r="C2" s="274" t="s">
        <v>192</v>
      </c>
      <c r="D2" s="275"/>
      <c r="E2" s="275"/>
      <c r="F2" s="275"/>
      <c r="G2" s="275"/>
    </row>
    <row r="3" spans="2:14" x14ac:dyDescent="0.25">
      <c r="B3" s="12" t="s">
        <v>73</v>
      </c>
      <c r="C3" s="296" t="s">
        <v>52</v>
      </c>
      <c r="D3" s="297"/>
      <c r="E3" s="297"/>
      <c r="F3" s="297"/>
      <c r="G3" s="298"/>
    </row>
    <row r="4" spans="2:14" x14ac:dyDescent="0.25">
      <c r="B4" s="12" t="s">
        <v>74</v>
      </c>
      <c r="C4" s="296" t="s">
        <v>49</v>
      </c>
      <c r="D4" s="297"/>
      <c r="E4" s="297"/>
      <c r="F4" s="297"/>
      <c r="G4" s="298"/>
    </row>
    <row r="5" spans="2:14" ht="43.5" customHeight="1" x14ac:dyDescent="0.25">
      <c r="B5" s="15" t="s">
        <v>76</v>
      </c>
      <c r="C5" s="58">
        <f>F11/100000</f>
        <v>12.432</v>
      </c>
      <c r="D5" s="17" t="s">
        <v>77</v>
      </c>
      <c r="E5" s="18">
        <v>0</v>
      </c>
      <c r="F5" s="19" t="s">
        <v>78</v>
      </c>
      <c r="G5" s="20">
        <f>C5*9/12</f>
        <v>9.3239999999999998</v>
      </c>
    </row>
    <row r="8" spans="2:14" x14ac:dyDescent="0.25">
      <c r="B8" s="273" t="s">
        <v>186</v>
      </c>
      <c r="C8" s="273"/>
      <c r="D8" s="273"/>
      <c r="E8" s="273"/>
      <c r="F8" s="273"/>
      <c r="G8" s="273"/>
    </row>
    <row r="9" spans="2:14" x14ac:dyDescent="0.25">
      <c r="B9" s="292" t="s">
        <v>444</v>
      </c>
      <c r="C9" s="293"/>
      <c r="D9" s="293"/>
      <c r="E9" s="294"/>
      <c r="F9" s="59">
        <v>17.760000000000002</v>
      </c>
      <c r="G9" s="10" t="s">
        <v>211</v>
      </c>
    </row>
    <row r="10" spans="2:14" x14ac:dyDescent="0.25">
      <c r="B10" s="292" t="s">
        <v>447</v>
      </c>
      <c r="C10" s="293"/>
      <c r="D10" s="293"/>
      <c r="E10" s="294"/>
      <c r="F10" s="63">
        <v>70000</v>
      </c>
      <c r="G10" s="10" t="s">
        <v>445</v>
      </c>
    </row>
    <row r="11" spans="2:14" x14ac:dyDescent="0.25">
      <c r="B11" s="292" t="s">
        <v>200</v>
      </c>
      <c r="C11" s="293"/>
      <c r="D11" s="293"/>
      <c r="E11" s="294"/>
      <c r="F11" s="59">
        <f>F9*F10</f>
        <v>1243200</v>
      </c>
      <c r="G11" s="10" t="s">
        <v>201</v>
      </c>
    </row>
    <row r="13" spans="2:14" x14ac:dyDescent="0.25">
      <c r="B13" s="23"/>
      <c r="C13" s="23"/>
      <c r="D13" s="23"/>
      <c r="E13" s="23"/>
      <c r="F13" s="53"/>
    </row>
    <row r="14" spans="2:14" x14ac:dyDescent="0.25">
      <c r="B14" s="25"/>
      <c r="C14" s="25" t="s">
        <v>33</v>
      </c>
      <c r="D14" s="25" t="s">
        <v>29</v>
      </c>
      <c r="E14" s="25" t="s">
        <v>31</v>
      </c>
      <c r="F14" s="25" t="s">
        <v>27</v>
      </c>
      <c r="G14" s="25" t="s">
        <v>118</v>
      </c>
      <c r="H14" s="25" t="s">
        <v>119</v>
      </c>
      <c r="I14" s="25" t="s">
        <v>120</v>
      </c>
      <c r="J14" s="25" t="s">
        <v>121</v>
      </c>
      <c r="K14" s="25" t="s">
        <v>122</v>
      </c>
      <c r="L14" s="25" t="s">
        <v>123</v>
      </c>
      <c r="M14" s="25" t="s">
        <v>124</v>
      </c>
      <c r="N14" s="25" t="s">
        <v>125</v>
      </c>
    </row>
    <row r="15" spans="2:14" ht="30" x14ac:dyDescent="0.25">
      <c r="B15" s="9" t="s">
        <v>126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2:14" ht="30" x14ac:dyDescent="0.25">
      <c r="B16" s="9" t="s">
        <v>127</v>
      </c>
      <c r="C16" s="25"/>
      <c r="D16" s="25"/>
      <c r="E16" s="25"/>
      <c r="F16" s="25"/>
      <c r="G16" s="25"/>
      <c r="H16" s="25"/>
      <c r="I16" s="10"/>
      <c r="J16" s="10"/>
      <c r="K16" s="10"/>
      <c r="L16" s="10"/>
      <c r="M16" s="10"/>
      <c r="N16" s="10"/>
    </row>
    <row r="17" spans="2:14" ht="30" x14ac:dyDescent="0.25">
      <c r="B17" s="9" t="s">
        <v>128</v>
      </c>
      <c r="C17" s="25"/>
      <c r="D17" s="25"/>
      <c r="E17" s="25"/>
      <c r="F17" s="25"/>
      <c r="G17" s="25"/>
      <c r="H17" s="25"/>
      <c r="I17" s="10"/>
      <c r="J17" s="10"/>
      <c r="K17" s="10"/>
      <c r="L17" s="10"/>
      <c r="M17" s="10"/>
      <c r="N17" s="10"/>
    </row>
    <row r="18" spans="2:14" ht="30" x14ac:dyDescent="0.25">
      <c r="B18" s="9" t="s">
        <v>129</v>
      </c>
      <c r="C18" s="25"/>
      <c r="D18" s="25"/>
      <c r="E18" s="25"/>
      <c r="F18" s="25"/>
      <c r="G18" s="25"/>
      <c r="H18" s="25"/>
      <c r="I18" s="10"/>
      <c r="J18" s="10"/>
      <c r="K18" s="10"/>
      <c r="L18" s="10"/>
      <c r="M18" s="10"/>
      <c r="N18" s="10"/>
    </row>
    <row r="19" spans="2:14" ht="30" x14ac:dyDescent="0.25">
      <c r="B19" s="9" t="s">
        <v>130</v>
      </c>
      <c r="C19" s="25"/>
      <c r="D19" s="25"/>
      <c r="E19" s="25"/>
      <c r="F19" s="25"/>
      <c r="G19" s="25"/>
      <c r="H19" s="25"/>
      <c r="I19" s="10"/>
      <c r="J19" s="10"/>
      <c r="K19" s="10"/>
      <c r="L19" s="10"/>
      <c r="M19" s="10"/>
      <c r="N19" s="10"/>
    </row>
  </sheetData>
  <mergeCells count="7">
    <mergeCell ref="C2:G2"/>
    <mergeCell ref="B11:E11"/>
    <mergeCell ref="C3:G3"/>
    <mergeCell ref="C4:G4"/>
    <mergeCell ref="B8:G8"/>
    <mergeCell ref="B9:E9"/>
    <mergeCell ref="B10:E10"/>
  </mergeCells>
  <pageMargins left="0.7" right="0.7" top="0.75" bottom="0.75" header="0.3" footer="0.3"/>
  <pageSetup paperSize="9" scale="9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view="pageBreakPreview" zoomScale="60" zoomScaleNormal="100" workbookViewId="0">
      <selection activeCell="C3" sqref="C3:G3"/>
    </sheetView>
  </sheetViews>
  <sheetFormatPr defaultRowHeight="15" x14ac:dyDescent="0.25"/>
  <cols>
    <col min="2" max="2" width="18.140625" bestFit="1" customWidth="1"/>
    <col min="3" max="3" width="7.28515625" customWidth="1"/>
    <col min="4" max="4" width="12" customWidth="1"/>
    <col min="5" max="5" width="8.5703125" customWidth="1"/>
    <col min="6" max="6" width="11.140625" customWidth="1"/>
    <col min="7" max="7" width="7.7109375" customWidth="1"/>
    <col min="8" max="8" width="10.85546875" bestFit="1" customWidth="1"/>
    <col min="10" max="10" width="10.42578125" bestFit="1" customWidth="1"/>
  </cols>
  <sheetData>
    <row r="2" spans="2:14" x14ac:dyDescent="0.25">
      <c r="B2" s="12" t="s">
        <v>72</v>
      </c>
      <c r="C2" s="274" t="s">
        <v>193</v>
      </c>
      <c r="D2" s="275"/>
      <c r="E2" s="275"/>
      <c r="F2" s="275"/>
      <c r="G2" s="275"/>
    </row>
    <row r="3" spans="2:14" x14ac:dyDescent="0.25">
      <c r="B3" s="12" t="s">
        <v>73</v>
      </c>
      <c r="C3" s="296" t="s">
        <v>53</v>
      </c>
      <c r="D3" s="297"/>
      <c r="E3" s="297"/>
      <c r="F3" s="297"/>
      <c r="G3" s="298"/>
    </row>
    <row r="4" spans="2:14" x14ac:dyDescent="0.25">
      <c r="B4" s="12" t="s">
        <v>74</v>
      </c>
      <c r="C4" s="296" t="s">
        <v>49</v>
      </c>
      <c r="D4" s="297"/>
      <c r="E4" s="297"/>
      <c r="F4" s="297"/>
      <c r="G4" s="298"/>
    </row>
    <row r="5" spans="2:14" ht="45.75" customHeight="1" x14ac:dyDescent="0.25">
      <c r="B5" s="15" t="s">
        <v>76</v>
      </c>
      <c r="C5" s="58">
        <f>F11/100000</f>
        <v>25.08</v>
      </c>
      <c r="D5" s="17" t="s">
        <v>77</v>
      </c>
      <c r="E5" s="18">
        <v>0</v>
      </c>
      <c r="F5" s="19" t="s">
        <v>78</v>
      </c>
      <c r="G5" s="20">
        <f>C5*9/12</f>
        <v>18.809999999999999</v>
      </c>
    </row>
    <row r="8" spans="2:14" x14ac:dyDescent="0.25">
      <c r="B8" s="273" t="s">
        <v>186</v>
      </c>
      <c r="C8" s="273"/>
      <c r="D8" s="273"/>
      <c r="E8" s="273"/>
      <c r="F8" s="273"/>
      <c r="G8" s="273"/>
    </row>
    <row r="9" spans="2:14" x14ac:dyDescent="0.25">
      <c r="B9" s="292" t="s">
        <v>446</v>
      </c>
      <c r="C9" s="293"/>
      <c r="D9" s="293"/>
      <c r="E9" s="294"/>
      <c r="F9" s="59">
        <v>209</v>
      </c>
      <c r="G9" s="10" t="s">
        <v>211</v>
      </c>
    </row>
    <row r="10" spans="2:14" x14ac:dyDescent="0.25">
      <c r="B10" s="292" t="s">
        <v>447</v>
      </c>
      <c r="C10" s="293"/>
      <c r="D10" s="293"/>
      <c r="E10" s="294"/>
      <c r="F10" s="63">
        <v>12000</v>
      </c>
      <c r="G10" s="10" t="s">
        <v>210</v>
      </c>
    </row>
    <row r="11" spans="2:14" x14ac:dyDescent="0.25">
      <c r="B11" s="292" t="s">
        <v>200</v>
      </c>
      <c r="C11" s="293"/>
      <c r="D11" s="293"/>
      <c r="E11" s="294"/>
      <c r="F11" s="59">
        <f>F9*F10</f>
        <v>2508000</v>
      </c>
      <c r="G11" s="10" t="s">
        <v>201</v>
      </c>
    </row>
    <row r="13" spans="2:14" x14ac:dyDescent="0.25">
      <c r="B13" s="23"/>
      <c r="C13" s="23"/>
      <c r="D13" s="23"/>
      <c r="E13" s="23"/>
      <c r="F13" s="53"/>
    </row>
    <row r="14" spans="2:14" x14ac:dyDescent="0.25">
      <c r="B14" s="25"/>
      <c r="C14" s="25" t="s">
        <v>33</v>
      </c>
      <c r="D14" s="25" t="s">
        <v>29</v>
      </c>
      <c r="E14" s="25" t="s">
        <v>31</v>
      </c>
      <c r="F14" s="25" t="s">
        <v>27</v>
      </c>
      <c r="G14" s="25" t="s">
        <v>118</v>
      </c>
      <c r="H14" s="25" t="s">
        <v>119</v>
      </c>
      <c r="I14" s="25" t="s">
        <v>120</v>
      </c>
      <c r="J14" s="25" t="s">
        <v>121</v>
      </c>
      <c r="K14" s="25" t="s">
        <v>122</v>
      </c>
      <c r="L14" s="25" t="s">
        <v>123</v>
      </c>
      <c r="M14" s="25" t="s">
        <v>124</v>
      </c>
      <c r="N14" s="25" t="s">
        <v>125</v>
      </c>
    </row>
    <row r="15" spans="2:14" ht="30" x14ac:dyDescent="0.25">
      <c r="B15" s="9" t="s">
        <v>126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2:14" ht="30" x14ac:dyDescent="0.25">
      <c r="B16" s="9" t="s">
        <v>127</v>
      </c>
      <c r="C16" s="25"/>
      <c r="D16" s="25"/>
      <c r="E16" s="25"/>
      <c r="F16" s="25"/>
      <c r="G16" s="25"/>
      <c r="H16" s="25"/>
      <c r="I16" s="10"/>
      <c r="J16" s="10"/>
      <c r="K16" s="10"/>
      <c r="L16" s="10"/>
      <c r="M16" s="10"/>
      <c r="N16" s="10"/>
    </row>
    <row r="17" spans="2:14" ht="30" x14ac:dyDescent="0.25">
      <c r="B17" s="9" t="s">
        <v>128</v>
      </c>
      <c r="C17" s="25"/>
      <c r="D17" s="25"/>
      <c r="E17" s="25"/>
      <c r="F17" s="25"/>
      <c r="G17" s="25"/>
      <c r="H17" s="25"/>
      <c r="I17" s="10"/>
      <c r="J17" s="10"/>
      <c r="K17" s="10"/>
      <c r="L17" s="10"/>
      <c r="M17" s="10"/>
      <c r="N17" s="10"/>
    </row>
    <row r="18" spans="2:14" ht="30" x14ac:dyDescent="0.25">
      <c r="B18" s="9" t="s">
        <v>129</v>
      </c>
      <c r="C18" s="25"/>
      <c r="D18" s="25"/>
      <c r="E18" s="25"/>
      <c r="F18" s="25"/>
      <c r="G18" s="25"/>
      <c r="H18" s="25"/>
      <c r="I18" s="10"/>
      <c r="J18" s="10"/>
      <c r="K18" s="10"/>
      <c r="L18" s="10"/>
      <c r="M18" s="10"/>
      <c r="N18" s="10"/>
    </row>
    <row r="19" spans="2:14" ht="30" x14ac:dyDescent="0.25">
      <c r="B19" s="9" t="s">
        <v>130</v>
      </c>
      <c r="C19" s="25"/>
      <c r="D19" s="25"/>
      <c r="E19" s="25"/>
      <c r="F19" s="25"/>
      <c r="G19" s="25"/>
      <c r="H19" s="25"/>
      <c r="I19" s="10"/>
      <c r="J19" s="10"/>
      <c r="K19" s="10"/>
      <c r="L19" s="10"/>
      <c r="M19" s="10"/>
      <c r="N19" s="10"/>
    </row>
  </sheetData>
  <mergeCells count="7">
    <mergeCell ref="C2:G2"/>
    <mergeCell ref="B11:E11"/>
    <mergeCell ref="C3:G3"/>
    <mergeCell ref="C4:G4"/>
    <mergeCell ref="B8:G8"/>
    <mergeCell ref="B9:E9"/>
    <mergeCell ref="B10:E10"/>
  </mergeCells>
  <pageMargins left="0.7" right="0.7" top="0.75" bottom="0.75" header="0.3" footer="0.3"/>
  <pageSetup paperSize="9" scale="9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view="pageBreakPreview" zoomScale="60" zoomScaleNormal="100" workbookViewId="0">
      <selection activeCell="C3" sqref="C3:G3"/>
    </sheetView>
  </sheetViews>
  <sheetFormatPr defaultRowHeight="15" x14ac:dyDescent="0.25"/>
  <cols>
    <col min="2" max="2" width="18.140625" bestFit="1" customWidth="1"/>
    <col min="3" max="3" width="7.28515625" customWidth="1"/>
    <col min="4" max="4" width="11.85546875" customWidth="1"/>
    <col min="5" max="5" width="8.5703125" customWidth="1"/>
    <col min="6" max="6" width="10.7109375" customWidth="1"/>
    <col min="7" max="7" width="7.7109375" customWidth="1"/>
    <col min="8" max="8" width="10.85546875" bestFit="1" customWidth="1"/>
    <col min="9" max="9" width="8.140625" bestFit="1" customWidth="1"/>
    <col min="10" max="10" width="10.42578125" bestFit="1" customWidth="1"/>
    <col min="11" max="11" width="10.140625" bestFit="1" customWidth="1"/>
    <col min="12" max="12" width="7.7109375" bestFit="1" customWidth="1"/>
    <col min="13" max="13" width="10.140625" bestFit="1" customWidth="1"/>
  </cols>
  <sheetData>
    <row r="2" spans="2:14" x14ac:dyDescent="0.25">
      <c r="B2" s="12" t="s">
        <v>72</v>
      </c>
      <c r="C2" s="274" t="s">
        <v>194</v>
      </c>
      <c r="D2" s="275"/>
      <c r="E2" s="275"/>
      <c r="F2" s="275"/>
      <c r="G2" s="275"/>
    </row>
    <row r="3" spans="2:14" x14ac:dyDescent="0.25">
      <c r="B3" s="12" t="s">
        <v>73</v>
      </c>
      <c r="C3" s="296" t="s">
        <v>54</v>
      </c>
      <c r="D3" s="297"/>
      <c r="E3" s="297"/>
      <c r="F3" s="297"/>
      <c r="G3" s="298"/>
    </row>
    <row r="4" spans="2:14" x14ac:dyDescent="0.25">
      <c r="B4" s="12" t="s">
        <v>74</v>
      </c>
      <c r="C4" s="296" t="s">
        <v>49</v>
      </c>
      <c r="D4" s="297"/>
      <c r="E4" s="297"/>
      <c r="F4" s="297"/>
      <c r="G4" s="298"/>
    </row>
    <row r="5" spans="2:14" ht="49.5" customHeight="1" x14ac:dyDescent="0.25">
      <c r="B5" s="15" t="s">
        <v>76</v>
      </c>
      <c r="C5" s="58">
        <f>F10/100000</f>
        <v>0.26400000000000001</v>
      </c>
      <c r="D5" s="17" t="s">
        <v>77</v>
      </c>
      <c r="E5" s="18">
        <v>0</v>
      </c>
      <c r="F5" s="19" t="s">
        <v>78</v>
      </c>
      <c r="G5" s="20">
        <f>C5*9/12</f>
        <v>0.19800000000000004</v>
      </c>
    </row>
    <row r="7" spans="2:14" x14ac:dyDescent="0.25">
      <c r="B7" s="273" t="s">
        <v>186</v>
      </c>
      <c r="C7" s="273"/>
      <c r="D7" s="273"/>
      <c r="E7" s="273"/>
      <c r="F7" s="273"/>
      <c r="G7" s="273"/>
    </row>
    <row r="8" spans="2:14" x14ac:dyDescent="0.25">
      <c r="B8" s="292" t="s">
        <v>448</v>
      </c>
      <c r="C8" s="293"/>
      <c r="D8" s="293"/>
      <c r="E8" s="294"/>
      <c r="F8" s="59">
        <v>2</v>
      </c>
      <c r="G8" s="10" t="s">
        <v>208</v>
      </c>
    </row>
    <row r="9" spans="2:14" x14ac:dyDescent="0.25">
      <c r="B9" s="292" t="s">
        <v>212</v>
      </c>
      <c r="C9" s="293"/>
      <c r="D9" s="293"/>
      <c r="E9" s="294"/>
      <c r="F9" s="64">
        <v>40</v>
      </c>
      <c r="G9" s="10" t="s">
        <v>210</v>
      </c>
    </row>
    <row r="10" spans="2:14" x14ac:dyDescent="0.25">
      <c r="B10" s="292" t="s">
        <v>200</v>
      </c>
      <c r="C10" s="293"/>
      <c r="D10" s="293"/>
      <c r="E10" s="294"/>
      <c r="F10" s="59">
        <f>F8*F9*330</f>
        <v>26400</v>
      </c>
      <c r="G10" s="10" t="s">
        <v>201</v>
      </c>
    </row>
    <row r="12" spans="2:14" x14ac:dyDescent="0.25">
      <c r="B12" s="55" t="s">
        <v>213</v>
      </c>
      <c r="C12" s="55"/>
      <c r="D12" s="55"/>
      <c r="E12" s="55"/>
      <c r="F12" s="55"/>
      <c r="G12" s="60"/>
      <c r="H12" s="10"/>
      <c r="I12" s="61"/>
      <c r="J12" s="10"/>
      <c r="K12" s="10"/>
      <c r="L12" s="10"/>
      <c r="M12" s="10"/>
      <c r="N12" s="10"/>
    </row>
    <row r="13" spans="2:14" x14ac:dyDescent="0.25">
      <c r="B13" s="25" t="s">
        <v>202</v>
      </c>
      <c r="C13" s="25"/>
      <c r="D13" s="25"/>
      <c r="E13" s="25"/>
      <c r="F13" s="55"/>
      <c r="G13" s="55"/>
      <c r="H13" s="10"/>
      <c r="I13" s="10"/>
      <c r="J13" s="10"/>
      <c r="K13" s="10"/>
      <c r="L13" s="10"/>
      <c r="M13" s="10"/>
      <c r="N13" s="10"/>
    </row>
    <row r="14" spans="2:14" x14ac:dyDescent="0.25">
      <c r="B14" s="23"/>
      <c r="C14" s="23"/>
      <c r="D14" s="23"/>
      <c r="E14" s="23"/>
      <c r="F14" s="53"/>
    </row>
    <row r="15" spans="2:14" x14ac:dyDescent="0.25">
      <c r="B15" s="25"/>
      <c r="C15" s="25" t="s">
        <v>33</v>
      </c>
      <c r="D15" s="25" t="s">
        <v>29</v>
      </c>
      <c r="E15" s="25" t="s">
        <v>31</v>
      </c>
      <c r="F15" s="25" t="s">
        <v>27</v>
      </c>
      <c r="G15" s="25" t="s">
        <v>118</v>
      </c>
      <c r="H15" s="25" t="s">
        <v>119</v>
      </c>
      <c r="I15" s="25" t="s">
        <v>120</v>
      </c>
      <c r="J15" s="25" t="s">
        <v>121</v>
      </c>
      <c r="K15" s="25" t="s">
        <v>122</v>
      </c>
      <c r="L15" s="25" t="s">
        <v>123</v>
      </c>
      <c r="M15" s="25" t="s">
        <v>124</v>
      </c>
      <c r="N15" s="25" t="s">
        <v>125</v>
      </c>
    </row>
    <row r="16" spans="2:14" ht="30" x14ac:dyDescent="0.25">
      <c r="B16" s="9" t="s">
        <v>126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2:14" ht="30" x14ac:dyDescent="0.25">
      <c r="B17" s="9" t="s">
        <v>127</v>
      </c>
      <c r="C17" s="25"/>
      <c r="D17" s="25"/>
      <c r="E17" s="25"/>
      <c r="F17" s="25"/>
      <c r="G17" s="25"/>
      <c r="H17" s="25"/>
      <c r="I17" s="10"/>
      <c r="J17" s="10"/>
      <c r="K17" s="10"/>
      <c r="L17" s="10"/>
      <c r="M17" s="10"/>
      <c r="N17" s="10"/>
    </row>
    <row r="18" spans="2:14" ht="30" x14ac:dyDescent="0.25">
      <c r="B18" s="9" t="s">
        <v>128</v>
      </c>
      <c r="C18" s="25"/>
      <c r="D18" s="25"/>
      <c r="E18" s="25"/>
      <c r="F18" s="25"/>
      <c r="G18" s="25"/>
      <c r="H18" s="25"/>
      <c r="I18" s="10"/>
      <c r="J18" s="10"/>
      <c r="K18" s="10"/>
      <c r="L18" s="10"/>
      <c r="M18" s="10"/>
      <c r="N18" s="10"/>
    </row>
    <row r="19" spans="2:14" ht="30" x14ac:dyDescent="0.25">
      <c r="B19" s="9" t="s">
        <v>129</v>
      </c>
      <c r="C19" s="25"/>
      <c r="D19" s="25"/>
      <c r="E19" s="25"/>
      <c r="F19" s="25"/>
      <c r="G19" s="25"/>
      <c r="H19" s="25"/>
      <c r="I19" s="10"/>
      <c r="J19" s="10"/>
      <c r="K19" s="10"/>
      <c r="L19" s="10"/>
      <c r="M19" s="10"/>
      <c r="N19" s="10"/>
    </row>
    <row r="20" spans="2:14" ht="30" x14ac:dyDescent="0.25">
      <c r="B20" s="9" t="s">
        <v>130</v>
      </c>
      <c r="C20" s="25"/>
      <c r="D20" s="25"/>
      <c r="E20" s="25"/>
      <c r="F20" s="25"/>
      <c r="G20" s="25"/>
      <c r="H20" s="25"/>
      <c r="I20" s="10"/>
      <c r="J20" s="10"/>
      <c r="K20" s="10"/>
      <c r="L20" s="10"/>
      <c r="M20" s="10"/>
      <c r="N20" s="10"/>
    </row>
  </sheetData>
  <mergeCells count="7">
    <mergeCell ref="C2:G2"/>
    <mergeCell ref="B10:E10"/>
    <mergeCell ref="C3:G3"/>
    <mergeCell ref="C4:G4"/>
    <mergeCell ref="B7:G7"/>
    <mergeCell ref="B8:E8"/>
    <mergeCell ref="B9:E9"/>
  </mergeCells>
  <pageMargins left="0.7" right="0.7" top="0.75" bottom="0.75" header="0.3" footer="0.3"/>
  <pageSetup paperSize="9" scale="96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view="pageBreakPreview" zoomScale="60" zoomScaleNormal="100" workbookViewId="0">
      <selection activeCell="C3" sqref="C3:G3"/>
    </sheetView>
  </sheetViews>
  <sheetFormatPr defaultRowHeight="15" x14ac:dyDescent="0.25"/>
  <cols>
    <col min="1" max="1" width="4.5703125" customWidth="1"/>
    <col min="2" max="2" width="15.5703125" customWidth="1"/>
    <col min="3" max="3" width="15.85546875" bestFit="1" customWidth="1"/>
    <col min="4" max="4" width="16.85546875" bestFit="1" customWidth="1"/>
    <col min="5" max="5" width="11.5703125" bestFit="1" customWidth="1"/>
    <col min="6" max="6" width="17.42578125" customWidth="1"/>
    <col min="7" max="7" width="16" bestFit="1" customWidth="1"/>
    <col min="8" max="8" width="10.85546875" bestFit="1" customWidth="1"/>
    <col min="9" max="9" width="8.140625" bestFit="1" customWidth="1"/>
    <col min="10" max="10" width="10.42578125" bestFit="1" customWidth="1"/>
    <col min="11" max="11" width="10.140625" bestFit="1" customWidth="1"/>
  </cols>
  <sheetData>
    <row r="2" spans="2:9" x14ac:dyDescent="0.25">
      <c r="B2" s="12" t="s">
        <v>72</v>
      </c>
      <c r="C2" s="274" t="s">
        <v>215</v>
      </c>
      <c r="D2" s="275"/>
      <c r="E2" s="275"/>
      <c r="F2" s="275"/>
      <c r="G2" s="275"/>
    </row>
    <row r="3" spans="2:9" x14ac:dyDescent="0.25">
      <c r="B3" s="12" t="s">
        <v>73</v>
      </c>
      <c r="C3" s="296" t="s">
        <v>223</v>
      </c>
      <c r="D3" s="297"/>
      <c r="E3" s="297"/>
      <c r="F3" s="297"/>
      <c r="G3" s="298"/>
    </row>
    <row r="4" spans="2:9" x14ac:dyDescent="0.25">
      <c r="B4" s="12" t="s">
        <v>74</v>
      </c>
      <c r="C4" s="296" t="s">
        <v>224</v>
      </c>
      <c r="D4" s="297"/>
      <c r="E4" s="297"/>
      <c r="F4" s="297"/>
      <c r="G4" s="298"/>
    </row>
    <row r="5" spans="2:9" x14ac:dyDescent="0.25">
      <c r="B5" s="15" t="s">
        <v>76</v>
      </c>
      <c r="C5" s="66">
        <f>H34/100000</f>
        <v>82.695599999999956</v>
      </c>
      <c r="D5" s="17" t="s">
        <v>77</v>
      </c>
      <c r="E5" s="18">
        <v>0</v>
      </c>
      <c r="F5" s="19" t="s">
        <v>78</v>
      </c>
      <c r="G5" s="67">
        <f>C5*8/12</f>
        <v>55.130399999999973</v>
      </c>
    </row>
    <row r="7" spans="2:9" x14ac:dyDescent="0.25">
      <c r="B7" s="190" t="s">
        <v>225</v>
      </c>
      <c r="C7" s="190" t="s">
        <v>226</v>
      </c>
      <c r="D7" s="190" t="s">
        <v>227</v>
      </c>
      <c r="E7" s="190" t="s">
        <v>228</v>
      </c>
      <c r="F7" s="190" t="s">
        <v>229</v>
      </c>
      <c r="G7" s="190" t="s">
        <v>230</v>
      </c>
      <c r="H7" s="190" t="s">
        <v>231</v>
      </c>
    </row>
    <row r="8" spans="2:9" x14ac:dyDescent="0.25">
      <c r="B8" s="190"/>
      <c r="C8" s="191" t="s">
        <v>232</v>
      </c>
      <c r="D8" s="191" t="s">
        <v>111</v>
      </c>
      <c r="E8" s="191" t="s">
        <v>111</v>
      </c>
      <c r="F8" s="191" t="s">
        <v>111</v>
      </c>
      <c r="G8" s="191" t="s">
        <v>111</v>
      </c>
      <c r="H8" s="60" t="s">
        <v>111</v>
      </c>
    </row>
    <row r="9" spans="2:9" x14ac:dyDescent="0.25">
      <c r="B9" s="10" t="s">
        <v>233</v>
      </c>
      <c r="C9" s="10">
        <v>3009550</v>
      </c>
      <c r="D9" s="10">
        <v>33164840</v>
      </c>
      <c r="E9" s="10">
        <v>11943780</v>
      </c>
      <c r="F9" s="10">
        <f>+D9-E9</f>
        <v>21221060</v>
      </c>
      <c r="G9" s="57">
        <f>+C9*E27*20</f>
        <v>19592170.5</v>
      </c>
      <c r="H9" s="57">
        <f>+F9-G9</f>
        <v>1628889.5</v>
      </c>
    </row>
    <row r="10" spans="2:9" x14ac:dyDescent="0.25">
      <c r="B10" s="10" t="s">
        <v>234</v>
      </c>
      <c r="C10" s="10">
        <v>4891500</v>
      </c>
      <c r="D10" s="10">
        <v>52805544</v>
      </c>
      <c r="E10" s="10">
        <v>13637300</v>
      </c>
      <c r="F10" s="10">
        <f>+D10-E10</f>
        <v>39168244</v>
      </c>
      <c r="G10" s="57">
        <f>+C10*E28*20</f>
        <v>32098023</v>
      </c>
      <c r="H10" s="57">
        <f>+F10-G10</f>
        <v>7070221</v>
      </c>
    </row>
    <row r="11" spans="2:9" x14ac:dyDescent="0.25">
      <c r="B11" s="61" t="s">
        <v>235</v>
      </c>
      <c r="C11" s="10">
        <f>365*24*300</f>
        <v>2628000</v>
      </c>
      <c r="D11" s="10">
        <f>+C11*12.54</f>
        <v>32955119.999999996</v>
      </c>
      <c r="E11" s="10">
        <f>5100*220*12</f>
        <v>13464000</v>
      </c>
      <c r="F11" s="10">
        <f>+D11-E11</f>
        <v>19491119.999999996</v>
      </c>
      <c r="G11" s="57">
        <f>+C11*E29*20</f>
        <v>16898040</v>
      </c>
      <c r="H11" s="57">
        <f>+F11-G11</f>
        <v>2593079.9999999963</v>
      </c>
    </row>
    <row r="13" spans="2:9" x14ac:dyDescent="0.25">
      <c r="B13" s="190" t="s">
        <v>225</v>
      </c>
      <c r="C13" s="190" t="s">
        <v>236</v>
      </c>
      <c r="D13" s="190" t="s">
        <v>237</v>
      </c>
      <c r="E13" s="190" t="s">
        <v>238</v>
      </c>
      <c r="F13" s="190" t="s">
        <v>239</v>
      </c>
      <c r="G13" s="190" t="s">
        <v>240</v>
      </c>
      <c r="H13" s="190"/>
      <c r="I13" s="65"/>
    </row>
    <row r="14" spans="2:9" x14ac:dyDescent="0.25">
      <c r="B14" s="191"/>
      <c r="C14" s="191" t="s">
        <v>232</v>
      </c>
      <c r="D14" s="191" t="s">
        <v>241</v>
      </c>
      <c r="E14" s="191" t="s">
        <v>242</v>
      </c>
      <c r="F14" s="191" t="s">
        <v>243</v>
      </c>
      <c r="G14" s="191"/>
      <c r="H14" s="191"/>
      <c r="I14" s="68"/>
    </row>
    <row r="15" spans="2:9" x14ac:dyDescent="0.25">
      <c r="B15" s="10" t="s">
        <v>233</v>
      </c>
      <c r="C15" s="10">
        <v>42501015</v>
      </c>
      <c r="D15" s="10">
        <v>14087178</v>
      </c>
      <c r="E15" s="26">
        <f>+D15/C15</f>
        <v>0.33145509583712296</v>
      </c>
      <c r="F15" s="11">
        <v>20</v>
      </c>
      <c r="G15" s="57">
        <f>+F15*D15</f>
        <v>281743560</v>
      </c>
      <c r="H15" s="57"/>
      <c r="I15" s="69"/>
    </row>
    <row r="16" spans="2:9" x14ac:dyDescent="0.25">
      <c r="B16" s="10" t="s">
        <v>234</v>
      </c>
      <c r="C16" s="10">
        <v>40047122</v>
      </c>
      <c r="D16" s="10">
        <v>13379655</v>
      </c>
      <c r="E16" s="26">
        <f>+D16/C16</f>
        <v>0.33409779109719795</v>
      </c>
      <c r="F16" s="11">
        <v>20</v>
      </c>
      <c r="G16" s="57">
        <f>+F16*D16</f>
        <v>267593100</v>
      </c>
      <c r="H16" s="57"/>
      <c r="I16" s="69"/>
    </row>
    <row r="17" spans="2:8" x14ac:dyDescent="0.25">
      <c r="B17" s="10" t="s">
        <v>235</v>
      </c>
      <c r="C17" s="10">
        <f>5.1*24*365*1000</f>
        <v>44676000</v>
      </c>
      <c r="D17" s="57">
        <f>+C17*E17</f>
        <v>14629383.861619305</v>
      </c>
      <c r="E17" s="26">
        <f>+E15-0.004</f>
        <v>0.32745509583712296</v>
      </c>
      <c r="F17" s="11">
        <v>20</v>
      </c>
      <c r="G17" s="57">
        <f>+F17*D17</f>
        <v>292587677.23238611</v>
      </c>
      <c r="H17" s="10"/>
    </row>
    <row r="19" spans="2:8" x14ac:dyDescent="0.25">
      <c r="B19" s="1" t="s">
        <v>244</v>
      </c>
    </row>
    <row r="20" spans="2:8" x14ac:dyDescent="0.25">
      <c r="B20" s="12" t="s">
        <v>225</v>
      </c>
      <c r="C20" s="12" t="s">
        <v>245</v>
      </c>
      <c r="D20" s="12" t="s">
        <v>246</v>
      </c>
      <c r="E20" s="190" t="s">
        <v>238</v>
      </c>
      <c r="F20" s="190" t="s">
        <v>239</v>
      </c>
      <c r="G20" s="190" t="s">
        <v>240</v>
      </c>
      <c r="H20" s="12"/>
    </row>
    <row r="21" spans="2:8" x14ac:dyDescent="0.25">
      <c r="B21" s="10" t="s">
        <v>233</v>
      </c>
      <c r="C21" s="10">
        <f>+C15+C9</f>
        <v>45510565</v>
      </c>
      <c r="D21" s="57">
        <f>+C21*E21</f>
        <v>15086752.297500001</v>
      </c>
      <c r="E21" s="26">
        <v>0.33150000000000002</v>
      </c>
      <c r="F21" s="11">
        <v>20</v>
      </c>
      <c r="G21" s="57">
        <f>+F21*D21</f>
        <v>301735045.95000005</v>
      </c>
      <c r="H21" s="57"/>
    </row>
    <row r="22" spans="2:8" x14ac:dyDescent="0.25">
      <c r="B22" s="10" t="s">
        <v>234</v>
      </c>
      <c r="C22" s="10">
        <f>+C16+C10</f>
        <v>44938622</v>
      </c>
      <c r="D22" s="57">
        <f>+C22*E22</f>
        <v>15013993.610200001</v>
      </c>
      <c r="E22" s="26">
        <v>0.33410000000000001</v>
      </c>
      <c r="F22" s="11">
        <v>20</v>
      </c>
      <c r="G22" s="57">
        <f>+F22*D22</f>
        <v>300279872.204</v>
      </c>
      <c r="H22" s="57"/>
    </row>
    <row r="23" spans="2:8" x14ac:dyDescent="0.25">
      <c r="B23" s="10" t="s">
        <v>235</v>
      </c>
      <c r="C23" s="10">
        <f>+C17+C11</f>
        <v>47304000</v>
      </c>
      <c r="D23" s="57">
        <f>+C23*E23</f>
        <v>15492060</v>
      </c>
      <c r="E23" s="10">
        <v>0.32750000000000001</v>
      </c>
      <c r="F23" s="11">
        <v>20</v>
      </c>
      <c r="G23" s="57">
        <f>+F23*D23</f>
        <v>309841200</v>
      </c>
      <c r="H23" s="10"/>
    </row>
    <row r="25" spans="2:8" x14ac:dyDescent="0.25">
      <c r="B25" s="1" t="s">
        <v>247</v>
      </c>
    </row>
    <row r="26" spans="2:8" x14ac:dyDescent="0.25">
      <c r="B26" s="12" t="s">
        <v>225</v>
      </c>
      <c r="C26" s="12" t="s">
        <v>245</v>
      </c>
      <c r="D26" s="12" t="s">
        <v>246</v>
      </c>
      <c r="E26" s="190" t="s">
        <v>238</v>
      </c>
      <c r="F26" s="190" t="s">
        <v>239</v>
      </c>
      <c r="G26" s="190" t="s">
        <v>240</v>
      </c>
      <c r="H26" s="190" t="s">
        <v>231</v>
      </c>
    </row>
    <row r="27" spans="2:8" x14ac:dyDescent="0.25">
      <c r="B27" s="10" t="s">
        <v>233</v>
      </c>
      <c r="C27" s="10">
        <f>+C21</f>
        <v>45510565</v>
      </c>
      <c r="D27" s="57">
        <f>+C27*E27</f>
        <v>14813688.907500001</v>
      </c>
      <c r="E27" s="26">
        <f>0.3315-0.006</f>
        <v>0.32550000000000001</v>
      </c>
      <c r="F27" s="11">
        <v>20</v>
      </c>
      <c r="G27" s="57">
        <f>+F27*D27</f>
        <v>296273778.15000004</v>
      </c>
      <c r="H27" s="57">
        <f>+G21-G27</f>
        <v>5461267.8000000119</v>
      </c>
    </row>
    <row r="28" spans="2:8" x14ac:dyDescent="0.25">
      <c r="B28" s="10" t="s">
        <v>234</v>
      </c>
      <c r="C28" s="10">
        <f>+C22</f>
        <v>44938622</v>
      </c>
      <c r="D28" s="57">
        <f>+C28*E28</f>
        <v>14744361.8782</v>
      </c>
      <c r="E28" s="26">
        <f>0.3341-0.006</f>
        <v>0.3281</v>
      </c>
      <c r="F28" s="11">
        <v>20</v>
      </c>
      <c r="G28" s="57">
        <f>+F28*D28</f>
        <v>294887237.56400001</v>
      </c>
      <c r="H28" s="57">
        <f>+G22-G28</f>
        <v>5392634.6399999857</v>
      </c>
    </row>
    <row r="29" spans="2:8" x14ac:dyDescent="0.25">
      <c r="B29" s="10" t="s">
        <v>235</v>
      </c>
      <c r="C29" s="10">
        <f>+C23</f>
        <v>47304000</v>
      </c>
      <c r="D29" s="57">
        <f>+C29*E29</f>
        <v>15208236</v>
      </c>
      <c r="E29" s="10">
        <f>+E23-0.006</f>
        <v>0.32150000000000001</v>
      </c>
      <c r="F29" s="11">
        <v>20</v>
      </c>
      <c r="G29" s="57">
        <f>+F29*D29</f>
        <v>304164720</v>
      </c>
      <c r="H29" s="57">
        <f>+G23-G29</f>
        <v>5676480</v>
      </c>
    </row>
    <row r="31" spans="2:8" ht="15.75" x14ac:dyDescent="0.25">
      <c r="B31" s="326" t="s">
        <v>248</v>
      </c>
      <c r="C31" s="326"/>
      <c r="D31" s="326"/>
      <c r="E31" s="326"/>
      <c r="F31" s="30" t="s">
        <v>233</v>
      </c>
      <c r="G31" s="30" t="s">
        <v>234</v>
      </c>
      <c r="H31" s="30" t="s">
        <v>235</v>
      </c>
    </row>
    <row r="32" spans="2:8" ht="15.75" x14ac:dyDescent="0.25">
      <c r="B32" s="70">
        <v>1</v>
      </c>
      <c r="C32" s="325" t="s">
        <v>249</v>
      </c>
      <c r="D32" s="325"/>
      <c r="E32" s="325"/>
      <c r="F32" s="71">
        <f>+H9</f>
        <v>1628889.5</v>
      </c>
      <c r="G32" s="71">
        <f>+H10</f>
        <v>7070221</v>
      </c>
      <c r="H32" s="71">
        <f>+H11</f>
        <v>2593079.9999999963</v>
      </c>
    </row>
    <row r="33" spans="2:14" ht="15.75" x14ac:dyDescent="0.25">
      <c r="B33" s="70">
        <v>2</v>
      </c>
      <c r="C33" s="325" t="s">
        <v>250</v>
      </c>
      <c r="D33" s="325"/>
      <c r="E33" s="325"/>
      <c r="F33" s="71">
        <f>+H27</f>
        <v>5461267.8000000119</v>
      </c>
      <c r="G33" s="71">
        <f>+H28</f>
        <v>5392634.6399999857</v>
      </c>
      <c r="H33" s="71">
        <f>+H29</f>
        <v>5676480</v>
      </c>
    </row>
    <row r="34" spans="2:14" ht="15.75" x14ac:dyDescent="0.25">
      <c r="B34" s="29"/>
      <c r="C34" s="29"/>
      <c r="D34" s="29"/>
      <c r="E34" s="56" t="s">
        <v>22</v>
      </c>
      <c r="F34" s="72">
        <f>+F33+F32</f>
        <v>7090157.3000000119</v>
      </c>
      <c r="G34" s="72">
        <f>+G33+G32</f>
        <v>12462855.639999986</v>
      </c>
      <c r="H34" s="72">
        <f>+H33+H32</f>
        <v>8269559.9999999963</v>
      </c>
    </row>
    <row r="36" spans="2:14" x14ac:dyDescent="0.25">
      <c r="B36" s="25"/>
      <c r="C36" s="25" t="s">
        <v>33</v>
      </c>
      <c r="D36" s="25" t="s">
        <v>29</v>
      </c>
      <c r="E36" s="25" t="s">
        <v>31</v>
      </c>
      <c r="F36" s="25" t="s">
        <v>27</v>
      </c>
      <c r="G36" s="25" t="s">
        <v>118</v>
      </c>
      <c r="H36" s="25" t="s">
        <v>119</v>
      </c>
      <c r="I36" s="25" t="s">
        <v>120</v>
      </c>
      <c r="J36" s="25" t="s">
        <v>121</v>
      </c>
      <c r="K36" s="25" t="s">
        <v>122</v>
      </c>
      <c r="L36" s="25" t="s">
        <v>123</v>
      </c>
      <c r="M36" s="25" t="s">
        <v>124</v>
      </c>
      <c r="N36" s="25" t="s">
        <v>125</v>
      </c>
    </row>
    <row r="37" spans="2:14" ht="30" x14ac:dyDescent="0.25">
      <c r="B37" s="9" t="s">
        <v>126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 spans="2:14" ht="30" x14ac:dyDescent="0.25">
      <c r="B38" s="9" t="s">
        <v>127</v>
      </c>
      <c r="C38" s="25"/>
      <c r="D38" s="25"/>
      <c r="E38" s="25"/>
      <c r="F38" s="25"/>
      <c r="G38" s="25"/>
      <c r="H38" s="25"/>
      <c r="I38" s="10"/>
      <c r="J38" s="10"/>
      <c r="K38" s="10"/>
      <c r="L38" s="10"/>
      <c r="M38" s="10"/>
      <c r="N38" s="10"/>
    </row>
    <row r="39" spans="2:14" ht="30" x14ac:dyDescent="0.25">
      <c r="B39" s="9" t="s">
        <v>128</v>
      </c>
      <c r="C39" s="25"/>
      <c r="D39" s="25"/>
      <c r="E39" s="25"/>
      <c r="F39" s="25"/>
      <c r="G39" s="25"/>
      <c r="H39" s="25"/>
      <c r="I39" s="10"/>
      <c r="J39" s="10"/>
      <c r="K39" s="10"/>
      <c r="L39" s="10"/>
      <c r="M39" s="10"/>
      <c r="N39" s="10"/>
    </row>
    <row r="40" spans="2:14" ht="30" x14ac:dyDescent="0.25">
      <c r="B40" s="9" t="s">
        <v>130</v>
      </c>
      <c r="C40" s="25"/>
      <c r="D40" s="25"/>
      <c r="E40" s="25"/>
      <c r="F40" s="25"/>
      <c r="G40" s="25"/>
      <c r="H40" s="25"/>
      <c r="I40" s="10"/>
      <c r="J40" s="10"/>
      <c r="K40" s="10"/>
      <c r="L40" s="10"/>
      <c r="M40" s="10"/>
      <c r="N40" s="10"/>
    </row>
  </sheetData>
  <mergeCells count="6">
    <mergeCell ref="C33:E33"/>
    <mergeCell ref="C2:G2"/>
    <mergeCell ref="C3:G3"/>
    <mergeCell ref="C4:G4"/>
    <mergeCell ref="B31:E31"/>
    <mergeCell ref="C32:E32"/>
  </mergeCells>
  <pageMargins left="0.7" right="0.7" top="0.75" bottom="0.75" header="0.3" footer="0.3"/>
  <pageSetup paperSize="9" scale="7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3"/>
  <sheetViews>
    <sheetView topLeftCell="A4" zoomScaleNormal="100" workbookViewId="0">
      <selection activeCell="V11" sqref="V11"/>
    </sheetView>
  </sheetViews>
  <sheetFormatPr defaultRowHeight="15" x14ac:dyDescent="0.25"/>
  <cols>
    <col min="1" max="1" width="4.5703125" customWidth="1"/>
    <col min="2" max="2" width="15.5703125" customWidth="1"/>
    <col min="3" max="3" width="11.85546875" customWidth="1"/>
    <col min="4" max="4" width="11.7109375" customWidth="1"/>
    <col min="5" max="5" width="10.85546875" customWidth="1"/>
    <col min="6" max="6" width="10.140625" customWidth="1"/>
    <col min="7" max="7" width="9.7109375" customWidth="1"/>
    <col min="8" max="8" width="10.85546875" bestFit="1" customWidth="1"/>
    <col min="9" max="9" width="8.140625" bestFit="1" customWidth="1"/>
    <col min="10" max="10" width="11.7109375" bestFit="1" customWidth="1"/>
    <col min="11" max="11" width="10.140625" bestFit="1" customWidth="1"/>
  </cols>
  <sheetData>
    <row r="2" spans="2:14" x14ac:dyDescent="0.25">
      <c r="B2" s="12" t="s">
        <v>72</v>
      </c>
      <c r="C2" s="274" t="s">
        <v>453</v>
      </c>
      <c r="D2" s="275"/>
      <c r="E2" s="275"/>
      <c r="F2" s="275"/>
      <c r="G2" s="275"/>
    </row>
    <row r="3" spans="2:14" x14ac:dyDescent="0.25">
      <c r="B3" s="12" t="s">
        <v>73</v>
      </c>
      <c r="C3" s="250" t="s">
        <v>477</v>
      </c>
      <c r="D3" s="251"/>
      <c r="E3" s="251"/>
      <c r="F3" s="251"/>
      <c r="G3" s="252"/>
    </row>
    <row r="4" spans="2:14" x14ac:dyDescent="0.25">
      <c r="B4" s="12" t="s">
        <v>74</v>
      </c>
      <c r="C4" s="296" t="s">
        <v>224</v>
      </c>
      <c r="D4" s="297"/>
      <c r="E4" s="297"/>
      <c r="F4" s="297"/>
      <c r="G4" s="298"/>
    </row>
    <row r="5" spans="2:14" ht="45" x14ac:dyDescent="0.25">
      <c r="B5" s="15" t="s">
        <v>76</v>
      </c>
      <c r="C5" s="58">
        <f>K12</f>
        <v>17.947512</v>
      </c>
      <c r="D5" s="17" t="s">
        <v>77</v>
      </c>
      <c r="E5" s="18">
        <v>0</v>
      </c>
      <c r="F5" s="19" t="s">
        <v>78</v>
      </c>
      <c r="G5" s="73">
        <f>C5*7.5/12</f>
        <v>11.217194999999998</v>
      </c>
    </row>
    <row r="6" spans="2:14" ht="15.75" thickBot="1" x14ac:dyDescent="0.3"/>
    <row r="7" spans="2:14" x14ac:dyDescent="0.25">
      <c r="B7" s="329" t="s">
        <v>436</v>
      </c>
      <c r="C7" s="330"/>
      <c r="D7" s="330"/>
      <c r="E7" s="330"/>
      <c r="F7" s="331"/>
    </row>
    <row r="8" spans="2:14" ht="30" x14ac:dyDescent="0.25">
      <c r="B8" s="248"/>
      <c r="C8" s="10" t="s">
        <v>467</v>
      </c>
      <c r="D8" s="247" t="s">
        <v>468</v>
      </c>
      <c r="E8" s="247" t="s">
        <v>469</v>
      </c>
      <c r="F8" s="249" t="s">
        <v>470</v>
      </c>
    </row>
    <row r="9" spans="2:14" x14ac:dyDescent="0.25">
      <c r="B9" s="248" t="s">
        <v>465</v>
      </c>
      <c r="C9" s="10">
        <v>50</v>
      </c>
      <c r="D9" s="10">
        <v>633</v>
      </c>
      <c r="E9" s="10">
        <v>8.6</v>
      </c>
      <c r="F9" s="41">
        <v>130</v>
      </c>
      <c r="H9" s="305" t="s">
        <v>471</v>
      </c>
      <c r="I9" s="305"/>
      <c r="J9" s="10" t="s">
        <v>475</v>
      </c>
      <c r="K9" s="10">
        <f>F9-F13</f>
        <v>43</v>
      </c>
    </row>
    <row r="10" spans="2:14" x14ac:dyDescent="0.25">
      <c r="B10" s="327" t="s">
        <v>466</v>
      </c>
      <c r="C10" s="10">
        <v>48.9</v>
      </c>
      <c r="D10" s="10">
        <v>583</v>
      </c>
      <c r="E10" s="10">
        <v>8.5</v>
      </c>
      <c r="F10" s="41">
        <v>118</v>
      </c>
      <c r="H10" s="305" t="s">
        <v>472</v>
      </c>
      <c r="I10" s="305"/>
      <c r="J10" s="10" t="s">
        <v>473</v>
      </c>
      <c r="K10" s="10">
        <v>5.27</v>
      </c>
    </row>
    <row r="11" spans="2:14" x14ac:dyDescent="0.25">
      <c r="B11" s="327"/>
      <c r="C11" s="10">
        <v>47.1</v>
      </c>
      <c r="D11" s="10">
        <v>595</v>
      </c>
      <c r="E11" s="10">
        <v>8</v>
      </c>
      <c r="F11" s="41">
        <v>110</v>
      </c>
      <c r="H11" s="305" t="s">
        <v>474</v>
      </c>
      <c r="I11" s="305"/>
      <c r="J11" s="10" t="s">
        <v>307</v>
      </c>
      <c r="K11" s="10">
        <v>330</v>
      </c>
    </row>
    <row r="12" spans="2:14" x14ac:dyDescent="0.25">
      <c r="B12" s="327"/>
      <c r="C12" s="10">
        <v>45.4</v>
      </c>
      <c r="D12" s="10">
        <v>583</v>
      </c>
      <c r="E12" s="10">
        <v>7.8</v>
      </c>
      <c r="F12" s="41">
        <v>98</v>
      </c>
      <c r="H12" s="305" t="s">
        <v>200</v>
      </c>
      <c r="I12" s="305"/>
      <c r="J12" s="10" t="s">
        <v>476</v>
      </c>
      <c r="K12" s="11">
        <f>K9*24*K11*K10/100000</f>
        <v>17.947512</v>
      </c>
    </row>
    <row r="13" spans="2:14" ht="15.75" thickBot="1" x14ac:dyDescent="0.3">
      <c r="B13" s="328"/>
      <c r="C13" s="96">
        <v>43.7</v>
      </c>
      <c r="D13" s="96">
        <v>561</v>
      </c>
      <c r="E13" s="96">
        <v>7.4</v>
      </c>
      <c r="F13" s="108">
        <v>87</v>
      </c>
    </row>
    <row r="15" spans="2:14" x14ac:dyDescent="0.25">
      <c r="B15" s="246" t="s">
        <v>286</v>
      </c>
      <c r="C15" s="245"/>
      <c r="D15" s="245"/>
      <c r="E15" s="28"/>
      <c r="F15" s="28"/>
      <c r="G15" s="28">
        <v>5.27</v>
      </c>
      <c r="H15" s="28">
        <v>5.32</v>
      </c>
      <c r="I15" s="99">
        <v>5.34</v>
      </c>
      <c r="J15" s="99">
        <v>5.34</v>
      </c>
      <c r="K15" s="28">
        <v>6.18</v>
      </c>
      <c r="L15" s="28">
        <v>6.08</v>
      </c>
      <c r="M15" s="28">
        <v>5.99</v>
      </c>
      <c r="N15" s="28">
        <v>5.9</v>
      </c>
    </row>
    <row r="16" spans="2:14" x14ac:dyDescent="0.25">
      <c r="B16" s="246" t="s">
        <v>287</v>
      </c>
      <c r="C16" s="25">
        <v>0</v>
      </c>
      <c r="D16" s="25">
        <v>0</v>
      </c>
      <c r="E16" s="28">
        <v>0</v>
      </c>
      <c r="F16" s="28">
        <v>0</v>
      </c>
      <c r="G16" s="28">
        <v>16</v>
      </c>
      <c r="H16" s="28">
        <v>29.5</v>
      </c>
      <c r="I16" s="28">
        <v>30.04</v>
      </c>
      <c r="J16" s="28">
        <v>30</v>
      </c>
      <c r="K16" s="127">
        <f>615/24</f>
        <v>25.625</v>
      </c>
      <c r="L16" s="127">
        <f>668/24</f>
        <v>27.833333333333332</v>
      </c>
      <c r="M16" s="28">
        <f>618/24</f>
        <v>25.75</v>
      </c>
      <c r="N16" s="28">
        <f>552/24</f>
        <v>23</v>
      </c>
    </row>
    <row r="18" spans="2:14" x14ac:dyDescent="0.25">
      <c r="B18" s="25"/>
      <c r="C18" s="25" t="s">
        <v>33</v>
      </c>
      <c r="D18" s="25" t="s">
        <v>29</v>
      </c>
      <c r="E18" s="25" t="s">
        <v>31</v>
      </c>
      <c r="F18" s="25" t="s">
        <v>27</v>
      </c>
      <c r="G18" s="25" t="s">
        <v>118</v>
      </c>
      <c r="H18" s="25" t="s">
        <v>119</v>
      </c>
      <c r="I18" s="25" t="s">
        <v>120</v>
      </c>
      <c r="J18" s="25" t="s">
        <v>121</v>
      </c>
      <c r="K18" s="25" t="s">
        <v>122</v>
      </c>
      <c r="L18" s="25" t="s">
        <v>123</v>
      </c>
      <c r="M18" s="25" t="s">
        <v>124</v>
      </c>
      <c r="N18" s="25" t="s">
        <v>125</v>
      </c>
    </row>
    <row r="19" spans="2:14" ht="30" x14ac:dyDescent="0.25">
      <c r="B19" s="9" t="s">
        <v>126</v>
      </c>
      <c r="C19" s="27">
        <v>0</v>
      </c>
      <c r="D19" s="27">
        <v>0</v>
      </c>
      <c r="E19" s="27">
        <v>0</v>
      </c>
      <c r="F19" s="27">
        <v>0</v>
      </c>
      <c r="G19" s="27">
        <f>K9*24*G16*G15/100000</f>
        <v>0.87018239999999991</v>
      </c>
      <c r="H19" s="27">
        <f>K9*24*H16*H15/100000</f>
        <v>1.6196208000000001</v>
      </c>
      <c r="I19" s="27">
        <f>K9*24*I16*I15/100000</f>
        <v>1.655468352</v>
      </c>
      <c r="J19" s="27">
        <f>K9*24*J16*J15/100000</f>
        <v>1.6532639999999998</v>
      </c>
      <c r="K19" s="27">
        <f>K9*24*K16*K15/100000</f>
        <v>1.634301</v>
      </c>
      <c r="L19" s="27">
        <f>K9*24*L16*L15/100000</f>
        <v>1.7464192000000001</v>
      </c>
      <c r="M19" s="27">
        <f>K9*24*M16*M15/100000</f>
        <v>1.5917826000000002</v>
      </c>
      <c r="N19" s="27">
        <f>K9*24*N16*N15/100000</f>
        <v>1.4004239999999999</v>
      </c>
    </row>
    <row r="20" spans="2:14" ht="30" x14ac:dyDescent="0.25">
      <c r="B20" s="9" t="s">
        <v>127</v>
      </c>
      <c r="C20" s="25"/>
      <c r="D20" s="25"/>
      <c r="E20" s="25"/>
      <c r="F20" s="25"/>
      <c r="G20" s="25"/>
      <c r="H20" s="25"/>
      <c r="I20" s="10"/>
      <c r="J20" s="10"/>
      <c r="K20" s="10"/>
      <c r="L20" s="10"/>
      <c r="M20" s="10"/>
      <c r="N20" s="10"/>
    </row>
    <row r="21" spans="2:14" ht="30" x14ac:dyDescent="0.25">
      <c r="B21" s="9" t="s">
        <v>128</v>
      </c>
      <c r="C21" s="25"/>
      <c r="D21" s="25"/>
      <c r="E21" s="25"/>
      <c r="F21" s="25"/>
      <c r="G21" s="25"/>
      <c r="H21" s="25"/>
      <c r="I21" s="10"/>
      <c r="J21" s="10"/>
      <c r="K21" s="10"/>
      <c r="L21" s="10"/>
      <c r="M21" s="10"/>
      <c r="N21" s="10"/>
    </row>
    <row r="22" spans="2:14" ht="30" x14ac:dyDescent="0.25">
      <c r="B22" s="9" t="s">
        <v>129</v>
      </c>
      <c r="C22" s="25"/>
      <c r="D22" s="25"/>
      <c r="E22" s="25"/>
      <c r="F22" s="25"/>
      <c r="G22" s="25"/>
      <c r="H22" s="25"/>
      <c r="I22" s="10"/>
      <c r="J22" s="10"/>
      <c r="K22" s="10"/>
      <c r="L22" s="10"/>
      <c r="M22" s="10"/>
      <c r="N22" s="10"/>
    </row>
    <row r="23" spans="2:14" ht="30" x14ac:dyDescent="0.25">
      <c r="B23" s="9" t="s">
        <v>130</v>
      </c>
      <c r="C23" s="25"/>
      <c r="D23" s="25"/>
      <c r="E23" s="25"/>
      <c r="F23" s="25"/>
      <c r="G23" s="25"/>
      <c r="H23" s="25"/>
      <c r="I23" s="10"/>
      <c r="J23" s="10"/>
      <c r="K23" s="10"/>
      <c r="L23" s="10"/>
      <c r="M23" s="10"/>
      <c r="N23" s="10"/>
    </row>
  </sheetData>
  <mergeCells count="8">
    <mergeCell ref="C2:G2"/>
    <mergeCell ref="C4:G4"/>
    <mergeCell ref="B10:B13"/>
    <mergeCell ref="B7:F7"/>
    <mergeCell ref="H9:I9"/>
    <mergeCell ref="H10:I10"/>
    <mergeCell ref="H11:I11"/>
    <mergeCell ref="H12:I12"/>
  </mergeCells>
  <pageMargins left="0.7" right="0.7" top="0.75" bottom="0.75" header="0.3" footer="0.3"/>
  <pageSetup paperSize="9" scale="94" orientation="landscape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view="pageBreakPreview" zoomScale="60" zoomScaleNormal="100" workbookViewId="0">
      <selection activeCell="C3" sqref="C3:G3"/>
    </sheetView>
  </sheetViews>
  <sheetFormatPr defaultRowHeight="15" x14ac:dyDescent="0.25"/>
  <cols>
    <col min="2" max="2" width="7.5703125" bestFit="1" customWidth="1"/>
    <col min="3" max="3" width="15" bestFit="1" customWidth="1"/>
    <col min="4" max="4" width="14.28515625" bestFit="1" customWidth="1"/>
    <col min="5" max="5" width="12.85546875" bestFit="1" customWidth="1"/>
    <col min="6" max="6" width="12.7109375" customWidth="1"/>
    <col min="7" max="7" width="12.85546875" bestFit="1" customWidth="1"/>
    <col min="8" max="8" width="12.5703125" bestFit="1" customWidth="1"/>
    <col min="9" max="9" width="10.5703125" bestFit="1" customWidth="1"/>
    <col min="10" max="10" width="10.7109375" bestFit="1" customWidth="1"/>
    <col min="11" max="11" width="12.42578125" bestFit="1" customWidth="1"/>
    <col min="12" max="12" width="10.140625" bestFit="1" customWidth="1"/>
    <col min="13" max="13" width="7.7109375" bestFit="1" customWidth="1"/>
    <col min="14" max="14" width="8.85546875" bestFit="1" customWidth="1"/>
    <col min="15" max="15" width="6.42578125" bestFit="1" customWidth="1"/>
  </cols>
  <sheetData>
    <row r="2" spans="2:11" x14ac:dyDescent="0.25">
      <c r="C2" s="12" t="s">
        <v>72</v>
      </c>
      <c r="D2" s="274" t="s">
        <v>358</v>
      </c>
      <c r="E2" s="275"/>
      <c r="F2" s="275"/>
      <c r="G2" s="275"/>
      <c r="H2" s="275"/>
    </row>
    <row r="3" spans="2:11" x14ac:dyDescent="0.25">
      <c r="C3" s="12" t="s">
        <v>73</v>
      </c>
      <c r="D3" s="296" t="s">
        <v>58</v>
      </c>
      <c r="E3" s="297"/>
      <c r="F3" s="297"/>
      <c r="G3" s="297"/>
      <c r="H3" s="298"/>
    </row>
    <row r="4" spans="2:11" x14ac:dyDescent="0.25">
      <c r="C4" s="12" t="s">
        <v>74</v>
      </c>
      <c r="D4" s="296" t="s">
        <v>361</v>
      </c>
      <c r="E4" s="297"/>
      <c r="F4" s="297"/>
      <c r="G4" s="297"/>
      <c r="H4" s="298"/>
    </row>
    <row r="5" spans="2:11" ht="45" x14ac:dyDescent="0.25">
      <c r="C5" s="15" t="s">
        <v>76</v>
      </c>
      <c r="D5" s="58">
        <f>I21/100000</f>
        <v>17.024805000000001</v>
      </c>
      <c r="E5" s="17" t="s">
        <v>77</v>
      </c>
      <c r="F5" s="18">
        <v>4</v>
      </c>
      <c r="G5" s="19" t="s">
        <v>78</v>
      </c>
      <c r="H5" s="73">
        <f>(D5-F5)*8/12</f>
        <v>8.6832033333333332</v>
      </c>
    </row>
    <row r="6" spans="2:11" ht="15.75" thickBot="1" x14ac:dyDescent="0.3"/>
    <row r="7" spans="2:11" ht="15.75" thickBot="1" x14ac:dyDescent="0.3">
      <c r="B7" s="282" t="s">
        <v>169</v>
      </c>
      <c r="C7" s="283"/>
      <c r="D7" s="283"/>
      <c r="E7" s="283"/>
      <c r="F7" s="283"/>
      <c r="G7" s="283"/>
      <c r="H7" s="283"/>
      <c r="I7" s="283"/>
      <c r="J7" s="283"/>
      <c r="K7" s="284"/>
    </row>
    <row r="8" spans="2:11" x14ac:dyDescent="0.25">
      <c r="B8" s="39"/>
      <c r="C8" s="21"/>
      <c r="D8" s="21"/>
      <c r="E8" s="21"/>
      <c r="F8" s="21"/>
      <c r="G8" s="21"/>
      <c r="H8" s="21"/>
      <c r="I8" s="21"/>
      <c r="J8" s="21"/>
      <c r="K8" s="40"/>
    </row>
    <row r="9" spans="2:11" x14ac:dyDescent="0.25">
      <c r="B9" s="74"/>
      <c r="C9" s="7" t="s">
        <v>251</v>
      </c>
      <c r="D9" s="75"/>
      <c r="E9" s="75"/>
      <c r="F9" s="76"/>
      <c r="G9" s="76"/>
      <c r="H9" s="76"/>
      <c r="I9" s="76"/>
      <c r="J9" s="76"/>
      <c r="K9" s="77"/>
    </row>
    <row r="10" spans="2:11" ht="45" x14ac:dyDescent="0.25">
      <c r="B10" s="78" t="s">
        <v>252</v>
      </c>
      <c r="C10" s="75" t="s">
        <v>253</v>
      </c>
      <c r="D10" s="75" t="s">
        <v>254</v>
      </c>
      <c r="E10" s="75" t="s">
        <v>255</v>
      </c>
      <c r="F10" s="79" t="s">
        <v>256</v>
      </c>
      <c r="G10" s="76" t="s">
        <v>257</v>
      </c>
      <c r="H10" s="75" t="s">
        <v>258</v>
      </c>
      <c r="I10" s="80" t="s">
        <v>259</v>
      </c>
      <c r="J10" s="80" t="s">
        <v>260</v>
      </c>
      <c r="K10" s="81" t="s">
        <v>261</v>
      </c>
    </row>
    <row r="11" spans="2:11" x14ac:dyDescent="0.25">
      <c r="B11" s="78">
        <v>1</v>
      </c>
      <c r="C11" s="76" t="s">
        <v>262</v>
      </c>
      <c r="D11" s="75">
        <v>131.75</v>
      </c>
      <c r="E11" s="75" t="s">
        <v>263</v>
      </c>
      <c r="F11" s="75">
        <v>101.8</v>
      </c>
      <c r="G11" s="75">
        <v>1687.2</v>
      </c>
      <c r="H11" s="75">
        <f>G11*5</f>
        <v>8436</v>
      </c>
      <c r="I11" s="75">
        <f>0.2*H11</f>
        <v>1687.2</v>
      </c>
      <c r="J11" s="75">
        <v>337.44</v>
      </c>
      <c r="K11" s="82">
        <v>205691</v>
      </c>
    </row>
    <row r="12" spans="2:11" x14ac:dyDescent="0.25">
      <c r="B12" s="78">
        <v>2</v>
      </c>
      <c r="C12" s="76" t="s">
        <v>264</v>
      </c>
      <c r="D12" s="75">
        <v>90.25</v>
      </c>
      <c r="E12" s="75" t="s">
        <v>263</v>
      </c>
      <c r="F12" s="75">
        <v>78.849999999999994</v>
      </c>
      <c r="G12" s="75">
        <v>1615.2</v>
      </c>
      <c r="H12" s="75">
        <f t="shared" ref="H12:H14" si="0">G12*5</f>
        <v>8076</v>
      </c>
      <c r="I12" s="75">
        <f t="shared" ref="I12:I14" si="1">0.2*H12</f>
        <v>1615.2</v>
      </c>
      <c r="J12" s="75">
        <v>331.2</v>
      </c>
      <c r="K12" s="82">
        <v>179035</v>
      </c>
    </row>
    <row r="13" spans="2:11" x14ac:dyDescent="0.25">
      <c r="B13" s="78">
        <v>3</v>
      </c>
      <c r="C13" s="76" t="s">
        <v>265</v>
      </c>
      <c r="D13" s="75">
        <v>55.75</v>
      </c>
      <c r="E13" s="75" t="s">
        <v>263</v>
      </c>
      <c r="F13" s="75">
        <v>57.2</v>
      </c>
      <c r="G13" s="75">
        <v>1263.5999999999999</v>
      </c>
      <c r="H13" s="75">
        <f t="shared" si="0"/>
        <v>6318</v>
      </c>
      <c r="I13" s="75">
        <f t="shared" si="1"/>
        <v>1263.6000000000001</v>
      </c>
      <c r="J13" s="75">
        <v>252.72</v>
      </c>
      <c r="K13" s="82">
        <v>128548</v>
      </c>
    </row>
    <row r="14" spans="2:11" x14ac:dyDescent="0.25">
      <c r="B14" s="78">
        <v>4</v>
      </c>
      <c r="C14" s="76" t="s">
        <v>266</v>
      </c>
      <c r="D14" s="75">
        <v>20.25</v>
      </c>
      <c r="E14" s="75" t="s">
        <v>263</v>
      </c>
      <c r="F14" s="75">
        <v>19.100000000000001</v>
      </c>
      <c r="G14" s="75">
        <v>429</v>
      </c>
      <c r="H14" s="75">
        <f t="shared" si="0"/>
        <v>2145</v>
      </c>
      <c r="I14" s="75">
        <f t="shared" si="1"/>
        <v>429</v>
      </c>
      <c r="J14" s="75">
        <v>85.8</v>
      </c>
      <c r="K14" s="82">
        <v>44932</v>
      </c>
    </row>
    <row r="15" spans="2:11" x14ac:dyDescent="0.25">
      <c r="B15" s="83"/>
      <c r="C15" s="84"/>
      <c r="D15" s="84"/>
      <c r="E15" s="84"/>
      <c r="F15" s="84"/>
      <c r="G15" s="84"/>
      <c r="H15" s="84"/>
      <c r="I15" s="75">
        <v>5034.6000000000004</v>
      </c>
      <c r="J15" s="84"/>
      <c r="K15" s="82">
        <v>558206</v>
      </c>
    </row>
    <row r="16" spans="2:11" x14ac:dyDescent="0.25">
      <c r="B16" s="39"/>
      <c r="C16" s="21"/>
      <c r="D16" s="21"/>
      <c r="E16" s="21"/>
      <c r="F16" s="21"/>
      <c r="G16" s="21"/>
      <c r="H16" s="21"/>
      <c r="I16" s="21"/>
      <c r="J16" s="21"/>
      <c r="K16" s="40"/>
    </row>
    <row r="17" spans="2:15" x14ac:dyDescent="0.25">
      <c r="B17" s="83"/>
      <c r="C17" s="7" t="s">
        <v>267</v>
      </c>
      <c r="D17" s="84"/>
      <c r="E17" s="84"/>
      <c r="F17" s="84"/>
      <c r="G17" s="84"/>
      <c r="H17" s="84"/>
      <c r="I17" s="84"/>
      <c r="J17" s="84"/>
      <c r="K17" s="85"/>
    </row>
    <row r="18" spans="2:15" ht="30" x14ac:dyDescent="0.25">
      <c r="B18" s="74"/>
      <c r="C18" s="75" t="s">
        <v>268</v>
      </c>
      <c r="D18" s="79" t="s">
        <v>269</v>
      </c>
      <c r="E18" s="79" t="s">
        <v>270</v>
      </c>
      <c r="F18" s="79" t="s">
        <v>271</v>
      </c>
      <c r="G18" s="75" t="s">
        <v>272</v>
      </c>
      <c r="H18" s="75" t="s">
        <v>113</v>
      </c>
      <c r="I18" s="79" t="s">
        <v>273</v>
      </c>
      <c r="J18" s="79" t="s">
        <v>274</v>
      </c>
      <c r="K18" s="77"/>
    </row>
    <row r="19" spans="2:15" ht="15.75" thickBot="1" x14ac:dyDescent="0.3">
      <c r="B19" s="86">
        <v>1</v>
      </c>
      <c r="C19" s="87">
        <v>25</v>
      </c>
      <c r="D19" s="87">
        <v>150</v>
      </c>
      <c r="E19" s="87">
        <v>60</v>
      </c>
      <c r="F19" s="87">
        <v>90</v>
      </c>
      <c r="G19" s="87">
        <v>10</v>
      </c>
      <c r="H19" s="87">
        <v>365</v>
      </c>
      <c r="I19" s="87">
        <v>5</v>
      </c>
      <c r="J19" s="87">
        <v>41062.5</v>
      </c>
      <c r="K19" s="88"/>
    </row>
    <row r="21" spans="2:15" x14ac:dyDescent="0.25">
      <c r="G21" s="333" t="s">
        <v>275</v>
      </c>
      <c r="H21" s="333"/>
      <c r="I21" s="89">
        <f>I15*330+J19</f>
        <v>1702480.5000000002</v>
      </c>
    </row>
    <row r="23" spans="2:15" x14ac:dyDescent="0.25">
      <c r="B23" s="278"/>
      <c r="C23" s="278"/>
      <c r="D23" s="25" t="s">
        <v>33</v>
      </c>
      <c r="E23" s="25" t="s">
        <v>29</v>
      </c>
      <c r="F23" s="25" t="s">
        <v>31</v>
      </c>
      <c r="G23" s="25" t="s">
        <v>27</v>
      </c>
      <c r="H23" s="25" t="s">
        <v>118</v>
      </c>
      <c r="I23" s="25" t="s">
        <v>119</v>
      </c>
      <c r="J23" s="25" t="s">
        <v>120</v>
      </c>
      <c r="K23" s="25" t="s">
        <v>121</v>
      </c>
      <c r="L23" s="25" t="s">
        <v>122</v>
      </c>
      <c r="M23" s="25" t="s">
        <v>123</v>
      </c>
      <c r="N23" s="25" t="s">
        <v>124</v>
      </c>
      <c r="O23" s="25" t="s">
        <v>125</v>
      </c>
    </row>
    <row r="24" spans="2:15" s="4" customFormat="1" ht="30" customHeight="1" x14ac:dyDescent="0.25">
      <c r="B24" s="332" t="s">
        <v>126</v>
      </c>
      <c r="C24" s="33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</row>
    <row r="25" spans="2:15" s="4" customFormat="1" ht="30" customHeight="1" x14ac:dyDescent="0.25">
      <c r="B25" s="332" t="s">
        <v>127</v>
      </c>
      <c r="C25" s="332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s="4" customFormat="1" ht="30" customHeight="1" x14ac:dyDescent="0.25">
      <c r="B26" s="332" t="s">
        <v>128</v>
      </c>
      <c r="C26" s="332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s="4" customFormat="1" ht="30" customHeight="1" x14ac:dyDescent="0.25">
      <c r="B27" s="332" t="s">
        <v>130</v>
      </c>
      <c r="C27" s="332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</sheetData>
  <mergeCells count="10">
    <mergeCell ref="B27:C27"/>
    <mergeCell ref="D2:H2"/>
    <mergeCell ref="B25:C25"/>
    <mergeCell ref="B26:C26"/>
    <mergeCell ref="D3:H3"/>
    <mergeCell ref="D4:H4"/>
    <mergeCell ref="B7:K7"/>
    <mergeCell ref="G21:H21"/>
    <mergeCell ref="B23:C23"/>
    <mergeCell ref="B24:C24"/>
  </mergeCells>
  <pageMargins left="0.7" right="0.7" top="0.75" bottom="0.75" header="0.3" footer="0.3"/>
  <pageSetup paperSize="9" scale="84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workbookViewId="0">
      <selection activeCell="C3" sqref="C3:G3"/>
    </sheetView>
  </sheetViews>
  <sheetFormatPr defaultRowHeight="15" x14ac:dyDescent="0.25"/>
  <cols>
    <col min="2" max="2" width="14.42578125" bestFit="1" customWidth="1"/>
    <col min="4" max="4" width="14.42578125" customWidth="1"/>
    <col min="6" max="6" width="15.140625" customWidth="1"/>
  </cols>
  <sheetData>
    <row r="2" spans="2:7" x14ac:dyDescent="0.25">
      <c r="B2" s="12" t="s">
        <v>72</v>
      </c>
      <c r="C2" s="274" t="s">
        <v>360</v>
      </c>
      <c r="D2" s="275"/>
      <c r="E2" s="275"/>
      <c r="F2" s="275"/>
      <c r="G2" s="275"/>
    </row>
    <row r="3" spans="2:7" x14ac:dyDescent="0.25">
      <c r="B3" s="12" t="s">
        <v>73</v>
      </c>
      <c r="C3" s="296" t="s">
        <v>60</v>
      </c>
      <c r="D3" s="297"/>
      <c r="E3" s="297"/>
      <c r="F3" s="297"/>
      <c r="G3" s="298"/>
    </row>
    <row r="4" spans="2:7" x14ac:dyDescent="0.25">
      <c r="B4" s="12" t="s">
        <v>74</v>
      </c>
      <c r="C4" s="296" t="s">
        <v>359</v>
      </c>
      <c r="D4" s="297"/>
      <c r="E4" s="297"/>
      <c r="F4" s="297"/>
      <c r="G4" s="298"/>
    </row>
    <row r="5" spans="2:7" ht="45" x14ac:dyDescent="0.25">
      <c r="B5" s="15" t="s">
        <v>76</v>
      </c>
      <c r="C5" s="58">
        <f>H20/100000</f>
        <v>0</v>
      </c>
      <c r="D5" s="17" t="s">
        <v>77</v>
      </c>
      <c r="E5" s="18">
        <v>0</v>
      </c>
      <c r="F5" s="19" t="s">
        <v>78</v>
      </c>
      <c r="G5" s="73">
        <f>C5*8/12-E5</f>
        <v>0</v>
      </c>
    </row>
  </sheetData>
  <mergeCells count="3">
    <mergeCell ref="C3:G3"/>
    <mergeCell ref="C4:G4"/>
    <mergeCell ref="C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view="pageBreakPreview" zoomScale="60" zoomScaleNormal="85" workbookViewId="0">
      <selection sqref="A1:XFD1048576"/>
    </sheetView>
  </sheetViews>
  <sheetFormatPr defaultRowHeight="15" x14ac:dyDescent="0.25"/>
  <cols>
    <col min="2" max="2" width="24.85546875" bestFit="1" customWidth="1"/>
    <col min="3" max="3" width="18.7109375" customWidth="1"/>
    <col min="4" max="4" width="17.28515625" customWidth="1"/>
    <col min="5" max="5" width="11.42578125" bestFit="1" customWidth="1"/>
    <col min="6" max="6" width="29.140625" bestFit="1" customWidth="1"/>
    <col min="7" max="7" width="12.28515625" bestFit="1" customWidth="1"/>
    <col min="8" max="8" width="19.5703125" style="13" customWidth="1"/>
    <col min="9" max="9" width="8.140625" style="14" bestFit="1" customWidth="1"/>
    <col min="10" max="10" width="10.42578125" bestFit="1" customWidth="1"/>
    <col min="11" max="11" width="10.140625" bestFit="1" customWidth="1"/>
    <col min="12" max="12" width="7.7109375" bestFit="1" customWidth="1"/>
    <col min="13" max="13" width="8.85546875" bestFit="1" customWidth="1"/>
    <col min="14" max="14" width="6.42578125" bestFit="1" customWidth="1"/>
  </cols>
  <sheetData>
    <row r="1" spans="2:7" customFormat="1" x14ac:dyDescent="0.25"/>
    <row r="2" spans="2:7" customFormat="1" x14ac:dyDescent="0.25">
      <c r="B2" s="12" t="s">
        <v>72</v>
      </c>
      <c r="C2" s="274" t="s">
        <v>117</v>
      </c>
      <c r="D2" s="275"/>
      <c r="E2" s="275"/>
      <c r="F2" s="275"/>
      <c r="G2" s="275"/>
    </row>
    <row r="3" spans="2:7" customFormat="1" x14ac:dyDescent="0.25">
      <c r="B3" s="12" t="s">
        <v>73</v>
      </c>
      <c r="C3" s="274" t="s">
        <v>25</v>
      </c>
      <c r="D3" s="275"/>
      <c r="E3" s="275"/>
      <c r="F3" s="275"/>
      <c r="G3" s="275"/>
    </row>
    <row r="4" spans="2:7" customFormat="1" x14ac:dyDescent="0.25">
      <c r="B4" s="12" t="s">
        <v>74</v>
      </c>
      <c r="C4" s="274" t="s">
        <v>75</v>
      </c>
      <c r="D4" s="275"/>
      <c r="E4" s="275"/>
      <c r="F4" s="275"/>
      <c r="G4" s="275"/>
    </row>
    <row r="5" spans="2:7" customFormat="1" ht="45" x14ac:dyDescent="0.25">
      <c r="B5" s="15" t="s">
        <v>76</v>
      </c>
      <c r="C5" s="16">
        <f>F29/100000</f>
        <v>10.64080213644549</v>
      </c>
      <c r="D5" s="17" t="s">
        <v>77</v>
      </c>
      <c r="E5" s="18">
        <v>5</v>
      </c>
      <c r="F5" s="19" t="s">
        <v>78</v>
      </c>
      <c r="G5" s="20">
        <f>(C5-E5)*9/12</f>
        <v>4.2306016023341178</v>
      </c>
    </row>
    <row r="7" spans="2:7" customFormat="1" x14ac:dyDescent="0.25">
      <c r="B7" s="273" t="s">
        <v>169</v>
      </c>
      <c r="C7" s="273"/>
      <c r="D7" s="273"/>
      <c r="E7" s="273"/>
      <c r="F7" s="273"/>
      <c r="G7" s="273"/>
    </row>
    <row r="8" spans="2:7" customFormat="1" x14ac:dyDescent="0.25">
      <c r="B8" s="172" t="s">
        <v>79</v>
      </c>
      <c r="C8" s="172" t="s">
        <v>80</v>
      </c>
      <c r="D8" s="173"/>
      <c r="E8" s="174" t="s">
        <v>85</v>
      </c>
      <c r="F8" s="172" t="s">
        <v>100</v>
      </c>
      <c r="G8" s="172" t="s">
        <v>101</v>
      </c>
    </row>
    <row r="9" spans="2:7" customFormat="1" x14ac:dyDescent="0.25">
      <c r="B9" s="198" t="s">
        <v>87</v>
      </c>
      <c r="C9" s="199">
        <v>504</v>
      </c>
      <c r="D9" s="200"/>
      <c r="E9" s="201">
        <f>C9/38</f>
        <v>13.263157894736842</v>
      </c>
      <c r="F9" s="199">
        <f>E9*0.76</f>
        <v>10.08</v>
      </c>
      <c r="G9" s="202">
        <f>C9/50</f>
        <v>10.08</v>
      </c>
    </row>
    <row r="10" spans="2:7" customFormat="1" x14ac:dyDescent="0.25">
      <c r="B10" s="198" t="s">
        <v>88</v>
      </c>
      <c r="C10" s="199">
        <v>8151.2693656653055</v>
      </c>
      <c r="D10" s="200"/>
      <c r="E10" s="201">
        <f>C10/38</f>
        <v>214.50708857013962</v>
      </c>
      <c r="F10" s="199">
        <f t="shared" ref="F10:F13" si="0">E10*0.76</f>
        <v>163.02538731330611</v>
      </c>
      <c r="G10" s="199">
        <f t="shared" ref="G10:G13" si="1">C10/50</f>
        <v>163.02538731330611</v>
      </c>
    </row>
    <row r="11" spans="2:7" customFormat="1" x14ac:dyDescent="0.25">
      <c r="B11" s="198" t="s">
        <v>89</v>
      </c>
      <c r="C11" s="199">
        <v>1160</v>
      </c>
      <c r="D11" s="200"/>
      <c r="E11" s="201">
        <f>C11/38</f>
        <v>30.526315789473685</v>
      </c>
      <c r="F11" s="199">
        <f t="shared" si="0"/>
        <v>23.2</v>
      </c>
      <c r="G11" s="202">
        <f t="shared" si="1"/>
        <v>23.2</v>
      </c>
    </row>
    <row r="12" spans="2:7" customFormat="1" x14ac:dyDescent="0.25">
      <c r="B12" s="198" t="s">
        <v>90</v>
      </c>
      <c r="C12" s="199">
        <v>2460</v>
      </c>
      <c r="D12" s="200"/>
      <c r="E12" s="201">
        <f>C12/38</f>
        <v>64.736842105263165</v>
      </c>
      <c r="F12" s="199">
        <f t="shared" si="0"/>
        <v>49.2</v>
      </c>
      <c r="G12" s="202">
        <f t="shared" si="1"/>
        <v>49.2</v>
      </c>
    </row>
    <row r="13" spans="2:7" customFormat="1" x14ac:dyDescent="0.25">
      <c r="B13" s="32"/>
      <c r="C13" s="203">
        <v>12275.269365665306</v>
      </c>
      <c r="D13" s="84">
        <f>SUM(D9:D12)</f>
        <v>0</v>
      </c>
      <c r="E13" s="204">
        <f>SUM(E9:E12)</f>
        <v>323.03340435961331</v>
      </c>
      <c r="F13" s="199">
        <f t="shared" si="0"/>
        <v>245.50538731330613</v>
      </c>
      <c r="G13" s="199">
        <f t="shared" si="1"/>
        <v>245.50538731330613</v>
      </c>
    </row>
    <row r="14" spans="2:7" customFormat="1" x14ac:dyDescent="0.25">
      <c r="B14" s="202"/>
      <c r="C14" s="202"/>
      <c r="D14" s="200" t="s">
        <v>102</v>
      </c>
      <c r="E14" s="205"/>
      <c r="F14" s="199">
        <f>E13-F13</f>
        <v>77.528017046307184</v>
      </c>
      <c r="G14" s="202"/>
    </row>
    <row r="15" spans="2:7" customFormat="1" x14ac:dyDescent="0.25">
      <c r="B15" s="202"/>
      <c r="C15" s="202"/>
      <c r="D15" s="200" t="s">
        <v>103</v>
      </c>
      <c r="E15" s="205">
        <v>30</v>
      </c>
      <c r="F15" s="202"/>
      <c r="G15" s="202" t="s">
        <v>104</v>
      </c>
    </row>
    <row r="16" spans="2:7" customFormat="1" x14ac:dyDescent="0.25">
      <c r="B16" s="202"/>
      <c r="C16" s="202"/>
      <c r="D16" s="200" t="s">
        <v>411</v>
      </c>
      <c r="E16" s="205"/>
      <c r="F16" s="202"/>
      <c r="G16" s="202"/>
    </row>
    <row r="17" spans="2:14" x14ac:dyDescent="0.25">
      <c r="B17" s="202"/>
      <c r="C17" s="202"/>
      <c r="D17" s="206" t="s">
        <v>105</v>
      </c>
      <c r="E17" s="205">
        <v>750</v>
      </c>
      <c r="F17" s="202">
        <f>E17*77.53</f>
        <v>58147.5</v>
      </c>
      <c r="G17" s="202"/>
    </row>
    <row r="18" spans="2:14" x14ac:dyDescent="0.25">
      <c r="B18" s="202"/>
      <c r="C18" s="202"/>
      <c r="D18" s="200"/>
      <c r="E18" s="205"/>
      <c r="F18" s="202">
        <f>F17*5.5</f>
        <v>319811.25</v>
      </c>
      <c r="G18" s="202" t="s">
        <v>106</v>
      </c>
    </row>
    <row r="19" spans="2:14" x14ac:dyDescent="0.25">
      <c r="B19" s="202"/>
      <c r="C19" s="202"/>
      <c r="D19" s="206" t="s">
        <v>107</v>
      </c>
      <c r="E19" s="205"/>
      <c r="F19" s="202"/>
      <c r="G19" s="202"/>
    </row>
    <row r="20" spans="2:14" x14ac:dyDescent="0.25">
      <c r="B20" s="202"/>
      <c r="C20" s="202"/>
      <c r="D20" s="206" t="s">
        <v>412</v>
      </c>
      <c r="E20" s="205"/>
      <c r="F20" s="202">
        <f>F14*38</f>
        <v>2946.0646477596729</v>
      </c>
      <c r="G20" s="202"/>
    </row>
    <row r="21" spans="2:14" x14ac:dyDescent="0.25">
      <c r="B21" s="202"/>
      <c r="C21" s="202"/>
      <c r="D21" s="200" t="s">
        <v>103</v>
      </c>
      <c r="E21" s="205"/>
      <c r="F21" s="202">
        <v>30</v>
      </c>
      <c r="G21" s="202"/>
    </row>
    <row r="22" spans="2:14" x14ac:dyDescent="0.25">
      <c r="B22" s="202"/>
      <c r="C22" s="202"/>
      <c r="D22" s="206" t="s">
        <v>108</v>
      </c>
      <c r="E22" s="205"/>
      <c r="F22" s="202">
        <f>F20*F21</f>
        <v>88381.939432790183</v>
      </c>
      <c r="G22" s="202"/>
    </row>
    <row r="23" spans="2:14" x14ac:dyDescent="0.25">
      <c r="B23" s="202"/>
      <c r="C23" s="202"/>
      <c r="D23" s="200" t="s">
        <v>109</v>
      </c>
      <c r="E23" s="205"/>
      <c r="F23" s="207">
        <f>F22*5.5</f>
        <v>486100.66688034602</v>
      </c>
      <c r="G23" s="202" t="s">
        <v>106</v>
      </c>
    </row>
    <row r="24" spans="2:14" x14ac:dyDescent="0.25">
      <c r="B24" s="202"/>
      <c r="C24" s="202"/>
      <c r="D24" s="200"/>
      <c r="E24" s="205"/>
      <c r="F24" s="202"/>
      <c r="G24" s="202"/>
    </row>
    <row r="25" spans="2:14" x14ac:dyDescent="0.25">
      <c r="B25" s="202"/>
      <c r="C25" s="202"/>
      <c r="D25" s="206" t="s">
        <v>110</v>
      </c>
      <c r="E25" s="205">
        <v>400</v>
      </c>
      <c r="F25" s="202">
        <f>E25*E26*F14</f>
        <v>744268.96364454902</v>
      </c>
      <c r="G25" s="202" t="s">
        <v>111</v>
      </c>
    </row>
    <row r="26" spans="2:14" x14ac:dyDescent="0.25">
      <c r="B26" s="202"/>
      <c r="C26" s="202"/>
      <c r="D26" s="200" t="s">
        <v>112</v>
      </c>
      <c r="E26" s="205">
        <v>24</v>
      </c>
      <c r="F26" s="202"/>
      <c r="G26" s="202"/>
    </row>
    <row r="27" spans="2:14" x14ac:dyDescent="0.25">
      <c r="B27" s="202"/>
      <c r="C27" s="202"/>
      <c r="D27" s="206" t="s">
        <v>113</v>
      </c>
      <c r="E27" s="208">
        <f>F14</f>
        <v>77.528017046307184</v>
      </c>
      <c r="F27" s="202"/>
      <c r="G27" s="202"/>
    </row>
    <row r="28" spans="2:14" x14ac:dyDescent="0.25">
      <c r="B28" s="202"/>
      <c r="C28" s="202"/>
      <c r="D28" s="200"/>
      <c r="E28" s="205"/>
      <c r="F28" s="202"/>
      <c r="G28" s="202"/>
    </row>
    <row r="29" spans="2:14" x14ac:dyDescent="0.25">
      <c r="B29" s="202"/>
      <c r="C29" s="202"/>
      <c r="D29" s="206" t="s">
        <v>114</v>
      </c>
      <c r="E29" s="205"/>
      <c r="F29" s="199">
        <f>F18+F25</f>
        <v>1064080.213644549</v>
      </c>
      <c r="G29" s="202" t="s">
        <v>115</v>
      </c>
    </row>
    <row r="30" spans="2:14" x14ac:dyDescent="0.25">
      <c r="B30" s="202"/>
      <c r="C30" s="202"/>
      <c r="D30" s="206" t="s">
        <v>116</v>
      </c>
      <c r="E30" s="205"/>
      <c r="F30" s="202"/>
      <c r="G30" s="202"/>
    </row>
    <row r="32" spans="2:14" x14ac:dyDescent="0.25">
      <c r="B32" s="25"/>
      <c r="C32" s="25" t="s">
        <v>33</v>
      </c>
      <c r="D32" s="25" t="s">
        <v>29</v>
      </c>
      <c r="E32" s="25" t="s">
        <v>31</v>
      </c>
      <c r="F32" s="25" t="s">
        <v>27</v>
      </c>
      <c r="G32" s="25" t="s">
        <v>118</v>
      </c>
      <c r="H32" s="25" t="s">
        <v>119</v>
      </c>
      <c r="I32" s="25" t="s">
        <v>120</v>
      </c>
      <c r="J32" s="25" t="s">
        <v>121</v>
      </c>
      <c r="K32" s="25" t="s">
        <v>122</v>
      </c>
      <c r="L32" s="25" t="s">
        <v>123</v>
      </c>
      <c r="M32" s="25" t="s">
        <v>124</v>
      </c>
      <c r="N32" s="25" t="s">
        <v>125</v>
      </c>
    </row>
    <row r="33" spans="2:14" x14ac:dyDescent="0.25">
      <c r="B33" s="9" t="s">
        <v>126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 ht="30" x14ac:dyDescent="0.25">
      <c r="B34" s="9" t="s">
        <v>127</v>
      </c>
      <c r="C34" s="25"/>
      <c r="D34" s="25"/>
      <c r="E34" s="25"/>
      <c r="F34" s="25"/>
      <c r="G34" s="25"/>
      <c r="H34" s="25"/>
      <c r="I34" s="10"/>
      <c r="J34" s="10"/>
      <c r="K34" s="10"/>
      <c r="L34" s="10"/>
      <c r="M34" s="10"/>
      <c r="N34" s="10"/>
    </row>
    <row r="35" spans="2:14" ht="30" x14ac:dyDescent="0.25">
      <c r="B35" s="9" t="s">
        <v>128</v>
      </c>
      <c r="C35" s="25"/>
      <c r="D35" s="25"/>
      <c r="E35" s="25"/>
      <c r="F35" s="25"/>
      <c r="G35" s="25"/>
      <c r="H35" s="25"/>
      <c r="I35" s="10"/>
      <c r="J35" s="10"/>
      <c r="K35" s="10"/>
      <c r="L35" s="10"/>
      <c r="M35" s="10"/>
      <c r="N35" s="10"/>
    </row>
    <row r="36" spans="2:14" ht="26.25" customHeight="1" x14ac:dyDescent="0.25">
      <c r="B36" s="9" t="s">
        <v>129</v>
      </c>
      <c r="C36" s="25"/>
      <c r="D36" s="25"/>
      <c r="E36" s="25"/>
      <c r="F36" s="25"/>
      <c r="G36" s="25"/>
      <c r="H36" s="25"/>
      <c r="I36" s="10"/>
      <c r="J36" s="10"/>
      <c r="K36" s="10"/>
      <c r="L36" s="10"/>
      <c r="M36" s="10"/>
      <c r="N36" s="10"/>
    </row>
    <row r="37" spans="2:14" ht="27" customHeight="1" x14ac:dyDescent="0.25">
      <c r="B37" s="9" t="s">
        <v>130</v>
      </c>
      <c r="C37" s="25"/>
      <c r="D37" s="25"/>
      <c r="E37" s="25"/>
      <c r="F37" s="25"/>
      <c r="G37" s="25"/>
      <c r="H37" s="25"/>
      <c r="I37" s="10"/>
      <c r="J37" s="10"/>
      <c r="K37" s="10"/>
      <c r="L37" s="10"/>
      <c r="M37" s="10"/>
      <c r="N37" s="10"/>
    </row>
  </sheetData>
  <mergeCells count="4">
    <mergeCell ref="B7:G7"/>
    <mergeCell ref="C3:G3"/>
    <mergeCell ref="C4:G4"/>
    <mergeCell ref="C2:G2"/>
  </mergeCells>
  <pageMargins left="0.7" right="0.7" top="0.75" bottom="0.75" header="0.3" footer="0.3"/>
  <pageSetup paperSize="9" scale="6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3"/>
  <sheetViews>
    <sheetView view="pageBreakPreview" topLeftCell="A7" zoomScaleNormal="100" zoomScaleSheetLayoutView="100" workbookViewId="0">
      <selection activeCell="V11" sqref="V11"/>
    </sheetView>
  </sheetViews>
  <sheetFormatPr defaultRowHeight="15" x14ac:dyDescent="0.25"/>
  <cols>
    <col min="1" max="1" width="2.5703125" customWidth="1"/>
    <col min="2" max="2" width="19.7109375" customWidth="1"/>
    <col min="3" max="7" width="10" customWidth="1"/>
    <col min="8" max="8" width="10.85546875" bestFit="1" customWidth="1"/>
    <col min="9" max="9" width="11.5703125" bestFit="1" customWidth="1"/>
    <col min="10" max="10" width="10.42578125" bestFit="1" customWidth="1"/>
    <col min="11" max="14" width="10" customWidth="1"/>
    <col min="15" max="15" width="12" customWidth="1"/>
  </cols>
  <sheetData>
    <row r="2" spans="2:14" x14ac:dyDescent="0.25">
      <c r="B2" s="12" t="s">
        <v>72</v>
      </c>
      <c r="C2" s="274" t="s">
        <v>214</v>
      </c>
      <c r="D2" s="275"/>
      <c r="E2" s="275"/>
      <c r="F2" s="275"/>
      <c r="G2" s="275"/>
      <c r="H2" s="13"/>
      <c r="I2" s="14"/>
    </row>
    <row r="3" spans="2:14" x14ac:dyDescent="0.25">
      <c r="B3" s="12" t="s">
        <v>73</v>
      </c>
      <c r="C3" s="296" t="s">
        <v>276</v>
      </c>
      <c r="D3" s="297"/>
      <c r="E3" s="297"/>
      <c r="F3" s="297"/>
      <c r="G3" s="298"/>
    </row>
    <row r="4" spans="2:14" x14ac:dyDescent="0.25">
      <c r="B4" s="12" t="s">
        <v>74</v>
      </c>
      <c r="C4" s="296" t="s">
        <v>356</v>
      </c>
      <c r="D4" s="297"/>
      <c r="E4" s="297"/>
      <c r="F4" s="297"/>
      <c r="G4" s="298"/>
    </row>
    <row r="5" spans="2:14" ht="60" x14ac:dyDescent="0.25">
      <c r="B5" s="15" t="s">
        <v>76</v>
      </c>
      <c r="C5" s="58">
        <f>H14</f>
        <v>6.4151999999999996</v>
      </c>
      <c r="D5" s="17" t="s">
        <v>77</v>
      </c>
      <c r="E5" s="18">
        <v>0</v>
      </c>
      <c r="F5" s="19" t="s">
        <v>78</v>
      </c>
      <c r="G5" s="73">
        <f>C5*8/12</f>
        <v>4.2767999999999997</v>
      </c>
    </row>
    <row r="6" spans="2:14" ht="15.75" thickBot="1" x14ac:dyDescent="0.3">
      <c r="B6" s="295"/>
      <c r="C6" s="295"/>
      <c r="D6" s="295"/>
      <c r="E6" s="295"/>
      <c r="F6" s="53"/>
    </row>
    <row r="7" spans="2:14" ht="15.75" thickBot="1" x14ac:dyDescent="0.3">
      <c r="B7" s="337" t="s">
        <v>186</v>
      </c>
      <c r="C7" s="338"/>
      <c r="D7" s="338"/>
      <c r="E7" s="338"/>
      <c r="F7" s="338"/>
      <c r="G7" s="338"/>
      <c r="H7" s="91"/>
      <c r="I7" s="92"/>
    </row>
    <row r="8" spans="2:14" x14ac:dyDescent="0.25">
      <c r="B8" s="339" t="s">
        <v>277</v>
      </c>
      <c r="C8" s="340"/>
      <c r="D8" s="340"/>
      <c r="E8" s="340"/>
      <c r="F8" s="340"/>
      <c r="G8" s="340"/>
      <c r="H8" s="93">
        <v>42.61</v>
      </c>
      <c r="I8" s="94" t="s">
        <v>104</v>
      </c>
    </row>
    <row r="9" spans="2:14" x14ac:dyDescent="0.25">
      <c r="B9" s="334" t="s">
        <v>278</v>
      </c>
      <c r="C9" s="305"/>
      <c r="D9" s="305"/>
      <c r="E9" s="305"/>
      <c r="F9" s="305"/>
      <c r="G9" s="305"/>
      <c r="H9" s="10">
        <v>29.11</v>
      </c>
      <c r="I9" s="41" t="s">
        <v>104</v>
      </c>
    </row>
    <row r="10" spans="2:14" x14ac:dyDescent="0.25">
      <c r="B10" s="334" t="s">
        <v>279</v>
      </c>
      <c r="C10" s="305"/>
      <c r="D10" s="305"/>
      <c r="E10" s="305"/>
      <c r="F10" s="305"/>
      <c r="G10" s="305"/>
      <c r="H10" s="10">
        <v>13.5</v>
      </c>
      <c r="I10" s="41" t="s">
        <v>104</v>
      </c>
    </row>
    <row r="11" spans="2:14" x14ac:dyDescent="0.25">
      <c r="B11" s="334" t="s">
        <v>280</v>
      </c>
      <c r="C11" s="305"/>
      <c r="D11" s="305"/>
      <c r="E11" s="305"/>
      <c r="F11" s="305"/>
      <c r="G11" s="305"/>
      <c r="H11" s="10">
        <v>5.5</v>
      </c>
      <c r="I11" s="95" t="s">
        <v>281</v>
      </c>
    </row>
    <row r="12" spans="2:14" x14ac:dyDescent="0.25">
      <c r="B12" s="334" t="s">
        <v>282</v>
      </c>
      <c r="C12" s="305"/>
      <c r="D12" s="305"/>
      <c r="E12" s="305"/>
      <c r="F12" s="305"/>
      <c r="G12" s="305"/>
      <c r="H12" s="10">
        <f>H10*24*H11</f>
        <v>1782</v>
      </c>
      <c r="I12" s="95" t="s">
        <v>283</v>
      </c>
    </row>
    <row r="13" spans="2:14" x14ac:dyDescent="0.25">
      <c r="B13" s="334"/>
      <c r="C13" s="305"/>
      <c r="D13" s="305"/>
      <c r="E13" s="305"/>
      <c r="F13" s="305"/>
      <c r="G13" s="305"/>
      <c r="H13" s="10">
        <f>(H10*24*H11*30)/10^5</f>
        <v>0.53459999999999996</v>
      </c>
      <c r="I13" s="95" t="s">
        <v>284</v>
      </c>
    </row>
    <row r="14" spans="2:14" ht="15.75" thickBot="1" x14ac:dyDescent="0.3">
      <c r="B14" s="335"/>
      <c r="C14" s="336"/>
      <c r="D14" s="336"/>
      <c r="E14" s="336"/>
      <c r="F14" s="336"/>
      <c r="G14" s="336"/>
      <c r="H14" s="96">
        <f>(H13*12)</f>
        <v>6.4151999999999996</v>
      </c>
      <c r="I14" s="97" t="s">
        <v>285</v>
      </c>
    </row>
    <row r="15" spans="2:14" s="13" customFormat="1" x14ac:dyDescent="0.25"/>
    <row r="16" spans="2:14" x14ac:dyDescent="0.25">
      <c r="B16" s="98" t="s">
        <v>286</v>
      </c>
      <c r="C16" s="55"/>
      <c r="D16" s="55"/>
      <c r="E16" s="28">
        <v>4.88</v>
      </c>
      <c r="F16" s="28">
        <v>4.88</v>
      </c>
      <c r="G16" s="28">
        <v>5.28</v>
      </c>
      <c r="H16" s="28">
        <v>5.25</v>
      </c>
      <c r="I16" s="28">
        <v>5.34</v>
      </c>
      <c r="J16" s="28">
        <v>5.34</v>
      </c>
      <c r="K16" s="28">
        <v>6.18</v>
      </c>
      <c r="L16" s="28">
        <v>6.08</v>
      </c>
      <c r="M16" s="28">
        <v>5.99</v>
      </c>
      <c r="N16" s="28">
        <v>5.9</v>
      </c>
    </row>
    <row r="17" spans="2:14" x14ac:dyDescent="0.25">
      <c r="B17" s="98" t="s">
        <v>287</v>
      </c>
      <c r="C17" s="25"/>
      <c r="D17" s="25"/>
      <c r="E17" s="28">
        <v>0</v>
      </c>
      <c r="F17" s="28">
        <v>23</v>
      </c>
      <c r="G17" s="28">
        <v>31</v>
      </c>
      <c r="H17" s="28">
        <v>30</v>
      </c>
      <c r="I17" s="28">
        <v>31</v>
      </c>
      <c r="J17" s="28">
        <v>30</v>
      </c>
      <c r="K17" s="28">
        <v>30</v>
      </c>
      <c r="L17" s="28">
        <v>31</v>
      </c>
      <c r="M17" s="28">
        <v>28</v>
      </c>
      <c r="N17" s="28">
        <v>31</v>
      </c>
    </row>
    <row r="18" spans="2:14" s="13" customFormat="1" x14ac:dyDescent="0.25"/>
    <row r="19" spans="2:14" x14ac:dyDescent="0.25">
      <c r="B19" s="25"/>
      <c r="C19" s="25" t="s">
        <v>33</v>
      </c>
      <c r="D19" s="25" t="s">
        <v>29</v>
      </c>
      <c r="E19" s="25" t="s">
        <v>31</v>
      </c>
      <c r="F19" s="25" t="s">
        <v>27</v>
      </c>
      <c r="G19" s="25" t="s">
        <v>118</v>
      </c>
      <c r="H19" s="25" t="s">
        <v>119</v>
      </c>
      <c r="I19" s="25" t="s">
        <v>120</v>
      </c>
      <c r="J19" s="25" t="s">
        <v>121</v>
      </c>
      <c r="K19" s="25" t="s">
        <v>122</v>
      </c>
      <c r="L19" s="25" t="s">
        <v>123</v>
      </c>
      <c r="M19" s="25" t="s">
        <v>124</v>
      </c>
      <c r="N19" s="25" t="s">
        <v>125</v>
      </c>
    </row>
    <row r="20" spans="2:14" ht="30" x14ac:dyDescent="0.25">
      <c r="B20" s="9" t="s">
        <v>126</v>
      </c>
      <c r="C20" s="27">
        <f t="shared" ref="C20:E20" si="0">($H$10*24*C17*C16)/10^5</f>
        <v>0</v>
      </c>
      <c r="D20" s="27">
        <f t="shared" si="0"/>
        <v>0</v>
      </c>
      <c r="E20" s="27">
        <f t="shared" si="0"/>
        <v>0</v>
      </c>
      <c r="F20" s="27">
        <f t="shared" ref="F20:N20" si="1">($H$10*24*F17*F16)/10^5</f>
        <v>0.36365760000000003</v>
      </c>
      <c r="G20" s="27">
        <f t="shared" si="1"/>
        <v>0.53032319999999999</v>
      </c>
      <c r="H20" s="27">
        <f t="shared" si="1"/>
        <v>0.51029999999999998</v>
      </c>
      <c r="I20" s="27">
        <f t="shared" si="1"/>
        <v>0.53634959999999998</v>
      </c>
      <c r="J20" s="27">
        <f t="shared" si="1"/>
        <v>0.51904799999999995</v>
      </c>
      <c r="K20" s="27">
        <f t="shared" si="1"/>
        <v>0.60069600000000001</v>
      </c>
      <c r="L20" s="27">
        <f t="shared" si="1"/>
        <v>0.61067520000000008</v>
      </c>
      <c r="M20" s="27">
        <f t="shared" si="1"/>
        <v>0.54341280000000003</v>
      </c>
      <c r="N20" s="27">
        <f t="shared" si="1"/>
        <v>0.59259600000000001</v>
      </c>
    </row>
    <row r="21" spans="2:14" ht="30" x14ac:dyDescent="0.25">
      <c r="B21" s="9" t="s">
        <v>127</v>
      </c>
      <c r="C21" s="25"/>
      <c r="D21" s="25"/>
      <c r="E21" s="25"/>
      <c r="F21" s="25"/>
      <c r="G21" s="25"/>
      <c r="H21" s="25"/>
      <c r="I21" s="10"/>
      <c r="J21" s="10"/>
      <c r="K21" s="10"/>
      <c r="L21" s="10"/>
      <c r="M21" s="10"/>
      <c r="N21" s="10"/>
    </row>
    <row r="22" spans="2:14" ht="30" x14ac:dyDescent="0.25">
      <c r="B22" s="9" t="s">
        <v>128</v>
      </c>
      <c r="C22" s="25"/>
      <c r="D22" s="25"/>
      <c r="E22" s="25"/>
      <c r="F22" s="25"/>
      <c r="G22" s="25"/>
      <c r="H22" s="25"/>
      <c r="I22" s="10"/>
      <c r="J22" s="10"/>
      <c r="K22" s="10"/>
      <c r="L22" s="10"/>
      <c r="M22" s="10"/>
      <c r="N22" s="10"/>
    </row>
    <row r="23" spans="2:14" ht="30" x14ac:dyDescent="0.25">
      <c r="B23" s="9" t="s">
        <v>130</v>
      </c>
      <c r="C23" s="25"/>
      <c r="D23" s="25"/>
      <c r="E23" s="25"/>
      <c r="F23" s="25"/>
      <c r="G23" s="25"/>
      <c r="H23" s="25"/>
      <c r="I23" s="10"/>
      <c r="J23" s="10"/>
      <c r="K23" s="10"/>
      <c r="L23" s="10"/>
      <c r="M23" s="10"/>
      <c r="N23" s="10"/>
    </row>
  </sheetData>
  <mergeCells count="12">
    <mergeCell ref="B14:G14"/>
    <mergeCell ref="B9:G9"/>
    <mergeCell ref="C3:G3"/>
    <mergeCell ref="C4:G4"/>
    <mergeCell ref="B6:E6"/>
    <mergeCell ref="B7:G7"/>
    <mergeCell ref="B8:G8"/>
    <mergeCell ref="C2:G2"/>
    <mergeCell ref="B10:G10"/>
    <mergeCell ref="B11:G11"/>
    <mergeCell ref="B12:G12"/>
    <mergeCell ref="B13:G13"/>
  </mergeCells>
  <pageMargins left="0.7" right="0.7" top="0.75" bottom="0.75" header="0.3" footer="0.3"/>
  <pageSetup paperSize="9" scale="92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workbookViewId="0">
      <selection activeCell="C3" sqref="C3:G3"/>
    </sheetView>
  </sheetViews>
  <sheetFormatPr defaultRowHeight="15" x14ac:dyDescent="0.25"/>
  <cols>
    <col min="2" max="2" width="14.42578125" bestFit="1" customWidth="1"/>
    <col min="4" max="4" width="19.42578125" customWidth="1"/>
    <col min="5" max="5" width="12.5703125" customWidth="1"/>
  </cols>
  <sheetData>
    <row r="2" spans="2:7" x14ac:dyDescent="0.25">
      <c r="B2" s="12" t="s">
        <v>72</v>
      </c>
      <c r="C2" s="274" t="s">
        <v>216</v>
      </c>
      <c r="D2" s="275"/>
      <c r="E2" s="275"/>
      <c r="F2" s="275"/>
      <c r="G2" s="275"/>
    </row>
    <row r="3" spans="2:7" x14ac:dyDescent="0.25">
      <c r="B3" s="12" t="s">
        <v>73</v>
      </c>
      <c r="C3" s="296" t="s">
        <v>355</v>
      </c>
      <c r="D3" s="297"/>
      <c r="E3" s="297"/>
      <c r="F3" s="297"/>
      <c r="G3" s="298"/>
    </row>
    <row r="4" spans="2:7" x14ac:dyDescent="0.25">
      <c r="B4" s="12" t="s">
        <v>74</v>
      </c>
      <c r="C4" s="296" t="s">
        <v>356</v>
      </c>
      <c r="D4" s="297"/>
      <c r="E4" s="297"/>
      <c r="F4" s="297"/>
      <c r="G4" s="298"/>
    </row>
    <row r="5" spans="2:7" ht="75" x14ac:dyDescent="0.25">
      <c r="B5" s="15" t="s">
        <v>76</v>
      </c>
      <c r="C5" s="58">
        <f>H11/100000</f>
        <v>0</v>
      </c>
      <c r="D5" s="17" t="s">
        <v>77</v>
      </c>
      <c r="E5" s="18">
        <v>0</v>
      </c>
      <c r="F5" s="19" t="s">
        <v>78</v>
      </c>
      <c r="G5" s="73">
        <f>C5*8/12</f>
        <v>0</v>
      </c>
    </row>
  </sheetData>
  <mergeCells count="3">
    <mergeCell ref="C2:G2"/>
    <mergeCell ref="C3:G3"/>
    <mergeCell ref="C4:G4"/>
  </mergeCell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3"/>
  <sheetViews>
    <sheetView topLeftCell="A7" zoomScaleNormal="100" workbookViewId="0">
      <selection activeCell="C3" sqref="C3:G3"/>
    </sheetView>
  </sheetViews>
  <sheetFormatPr defaultRowHeight="15" x14ac:dyDescent="0.25"/>
  <cols>
    <col min="1" max="1" width="5.5703125" customWidth="1"/>
    <col min="2" max="2" width="19.7109375" customWidth="1"/>
    <col min="3" max="7" width="10" customWidth="1"/>
    <col min="8" max="8" width="12.42578125" customWidth="1"/>
    <col min="9" max="9" width="11.5703125" bestFit="1" customWidth="1"/>
    <col min="10" max="10" width="10.42578125" bestFit="1" customWidth="1"/>
    <col min="11" max="14" width="10" customWidth="1"/>
    <col min="15" max="15" width="8.85546875" customWidth="1"/>
    <col min="16" max="16" width="12" customWidth="1"/>
  </cols>
  <sheetData>
    <row r="2" spans="2:14" x14ac:dyDescent="0.25">
      <c r="B2" s="12" t="s">
        <v>72</v>
      </c>
      <c r="C2" s="274" t="s">
        <v>217</v>
      </c>
      <c r="D2" s="275"/>
      <c r="E2" s="275"/>
      <c r="F2" s="275"/>
      <c r="G2" s="275"/>
      <c r="H2" s="13"/>
      <c r="I2" s="14"/>
    </row>
    <row r="3" spans="2:14" x14ac:dyDescent="0.25">
      <c r="B3" s="12" t="s">
        <v>73</v>
      </c>
      <c r="C3" s="296" t="s">
        <v>311</v>
      </c>
      <c r="D3" s="297"/>
      <c r="E3" s="297"/>
      <c r="F3" s="297"/>
      <c r="G3" s="298"/>
    </row>
    <row r="4" spans="2:14" x14ac:dyDescent="0.25">
      <c r="B4" s="12" t="s">
        <v>74</v>
      </c>
      <c r="C4" s="296" t="s">
        <v>290</v>
      </c>
      <c r="D4" s="297"/>
      <c r="E4" s="297"/>
      <c r="F4" s="297"/>
      <c r="G4" s="298"/>
    </row>
    <row r="5" spans="2:14" ht="60" x14ac:dyDescent="0.25">
      <c r="B5" s="15" t="s">
        <v>76</v>
      </c>
      <c r="C5" s="16">
        <f>H13</f>
        <v>22.638329220857138</v>
      </c>
      <c r="D5" s="17" t="s">
        <v>77</v>
      </c>
      <c r="E5" s="18">
        <v>0.36</v>
      </c>
      <c r="F5" s="19" t="s">
        <v>78</v>
      </c>
      <c r="G5" s="20">
        <v>15.09</v>
      </c>
    </row>
    <row r="6" spans="2:14" ht="15.75" thickBot="1" x14ac:dyDescent="0.3">
      <c r="B6" s="295"/>
      <c r="C6" s="295"/>
      <c r="D6" s="295"/>
      <c r="E6" s="295"/>
      <c r="F6" s="53"/>
    </row>
    <row r="7" spans="2:14" ht="15.75" thickBot="1" x14ac:dyDescent="0.3">
      <c r="B7" s="343" t="s">
        <v>186</v>
      </c>
      <c r="C7" s="344"/>
      <c r="D7" s="344"/>
      <c r="E7" s="344"/>
      <c r="F7" s="344"/>
      <c r="G7" s="344"/>
      <c r="H7" s="102"/>
      <c r="I7" s="103"/>
    </row>
    <row r="8" spans="2:14" x14ac:dyDescent="0.25">
      <c r="B8" s="345" t="s">
        <v>312</v>
      </c>
      <c r="C8" s="346"/>
      <c r="D8" s="346"/>
      <c r="E8" s="346"/>
      <c r="F8" s="346"/>
      <c r="G8" s="347"/>
      <c r="H8" s="104">
        <v>27.95</v>
      </c>
      <c r="I8" s="105" t="s">
        <v>313</v>
      </c>
    </row>
    <row r="9" spans="2:14" x14ac:dyDescent="0.25">
      <c r="B9" s="341" t="s">
        <v>314</v>
      </c>
      <c r="C9" s="278"/>
      <c r="D9" s="278"/>
      <c r="E9" s="278"/>
      <c r="F9" s="278"/>
      <c r="G9" s="302"/>
      <c r="H9" s="106">
        <v>192643.21</v>
      </c>
      <c r="I9" s="41" t="s">
        <v>315</v>
      </c>
    </row>
    <row r="10" spans="2:14" x14ac:dyDescent="0.25">
      <c r="B10" s="341" t="s">
        <v>316</v>
      </c>
      <c r="C10" s="278"/>
      <c r="D10" s="278"/>
      <c r="E10" s="278"/>
      <c r="F10" s="278"/>
      <c r="G10" s="302"/>
      <c r="H10" s="106">
        <f>H9/4800/0.7</f>
        <v>57.334288690476185</v>
      </c>
      <c r="I10" s="41" t="s">
        <v>317</v>
      </c>
    </row>
    <row r="11" spans="2:14" x14ac:dyDescent="0.25">
      <c r="B11" s="341" t="s">
        <v>282</v>
      </c>
      <c r="C11" s="278"/>
      <c r="D11" s="278"/>
      <c r="E11" s="278"/>
      <c r="F11" s="278"/>
      <c r="G11" s="302"/>
      <c r="H11" s="106">
        <f>(H10*4.57*24)/10^5</f>
        <v>6.288424783571428E-2</v>
      </c>
      <c r="I11" s="41" t="s">
        <v>318</v>
      </c>
    </row>
    <row r="12" spans="2:14" x14ac:dyDescent="0.25">
      <c r="B12" s="341"/>
      <c r="C12" s="278"/>
      <c r="D12" s="278"/>
      <c r="E12" s="278"/>
      <c r="F12" s="278"/>
      <c r="G12" s="302"/>
      <c r="H12" s="106">
        <f>H11*30</f>
        <v>1.8865274350714283</v>
      </c>
      <c r="I12" s="41" t="s">
        <v>284</v>
      </c>
    </row>
    <row r="13" spans="2:14" ht="15.75" thickBot="1" x14ac:dyDescent="0.3">
      <c r="B13" s="335"/>
      <c r="C13" s="336"/>
      <c r="D13" s="336"/>
      <c r="E13" s="336"/>
      <c r="F13" s="336"/>
      <c r="G13" s="342"/>
      <c r="H13" s="107">
        <f>H12*12</f>
        <v>22.638329220857138</v>
      </c>
      <c r="I13" s="108" t="s">
        <v>285</v>
      </c>
    </row>
    <row r="14" spans="2:14" x14ac:dyDescent="0.25">
      <c r="B14" s="109"/>
      <c r="C14" s="109"/>
      <c r="D14" s="109"/>
      <c r="E14" s="109"/>
      <c r="F14" s="109"/>
      <c r="G14" s="109"/>
      <c r="H14" s="21"/>
      <c r="I14" s="110"/>
    </row>
    <row r="15" spans="2:14" x14ac:dyDescent="0.25">
      <c r="B15" s="55" t="s">
        <v>205</v>
      </c>
      <c r="C15" s="55"/>
      <c r="D15" s="55"/>
      <c r="E15" s="55"/>
      <c r="F15" s="55">
        <v>4.57</v>
      </c>
      <c r="G15" s="111">
        <v>4.57</v>
      </c>
      <c r="H15" s="10"/>
      <c r="I15" s="61"/>
      <c r="J15" s="10"/>
      <c r="K15" s="10"/>
      <c r="L15" s="10"/>
      <c r="M15" s="10"/>
      <c r="N15" s="10"/>
    </row>
    <row r="16" spans="2:14" x14ac:dyDescent="0.25">
      <c r="B16" s="25" t="s">
        <v>202</v>
      </c>
      <c r="C16" s="25"/>
      <c r="D16" s="25"/>
      <c r="E16" s="25"/>
      <c r="F16" s="55">
        <v>6</v>
      </c>
      <c r="G16" s="55">
        <v>31</v>
      </c>
      <c r="H16" s="10"/>
      <c r="I16" s="10"/>
      <c r="J16" s="10"/>
      <c r="K16" s="10"/>
      <c r="L16" s="10"/>
      <c r="M16" s="10"/>
      <c r="N16" s="10"/>
    </row>
    <row r="17" spans="2:14" x14ac:dyDescent="0.25">
      <c r="B17" s="23"/>
      <c r="C17" s="23"/>
      <c r="D17" s="23"/>
      <c r="E17" s="23"/>
      <c r="F17" s="53"/>
    </row>
    <row r="18" spans="2:14" x14ac:dyDescent="0.25">
      <c r="B18" s="25"/>
      <c r="C18" s="25" t="s">
        <v>33</v>
      </c>
      <c r="D18" s="25" t="s">
        <v>29</v>
      </c>
      <c r="E18" s="25" t="s">
        <v>31</v>
      </c>
      <c r="F18" s="25" t="s">
        <v>27</v>
      </c>
      <c r="G18" s="25" t="s">
        <v>118</v>
      </c>
      <c r="H18" s="25" t="s">
        <v>119</v>
      </c>
      <c r="I18" s="25" t="s">
        <v>120</v>
      </c>
      <c r="J18" s="25" t="s">
        <v>121</v>
      </c>
      <c r="K18" s="25" t="s">
        <v>122</v>
      </c>
      <c r="L18" s="25" t="s">
        <v>123</v>
      </c>
      <c r="M18" s="25" t="s">
        <v>124</v>
      </c>
      <c r="N18" s="25" t="s">
        <v>125</v>
      </c>
    </row>
    <row r="19" spans="2:14" ht="30" x14ac:dyDescent="0.25">
      <c r="B19" s="9" t="s">
        <v>126</v>
      </c>
      <c r="C19" s="27">
        <v>0</v>
      </c>
      <c r="D19" s="27">
        <v>0</v>
      </c>
      <c r="E19" s="27">
        <v>0</v>
      </c>
      <c r="F19" s="27">
        <f>($H$10*0.6*24*F16*F15)/10^5</f>
        <v>0.22638329220857137</v>
      </c>
      <c r="G19" s="27">
        <f>($H$10*24*G16*G15)/10^5</f>
        <v>1.9494116829071431</v>
      </c>
      <c r="H19" s="27"/>
      <c r="I19" s="27"/>
      <c r="J19" s="27"/>
      <c r="K19" s="27"/>
      <c r="L19" s="27"/>
      <c r="M19" s="27"/>
      <c r="N19" s="27"/>
    </row>
    <row r="20" spans="2:14" ht="30" x14ac:dyDescent="0.25">
      <c r="B20" s="9" t="s">
        <v>127</v>
      </c>
      <c r="C20" s="25"/>
      <c r="D20" s="25"/>
      <c r="E20" s="25"/>
      <c r="F20" s="25"/>
      <c r="G20" s="25"/>
      <c r="H20" s="25"/>
      <c r="I20" s="10"/>
      <c r="J20" s="10"/>
      <c r="K20" s="10"/>
      <c r="L20" s="10"/>
      <c r="M20" s="10"/>
      <c r="N20" s="10"/>
    </row>
    <row r="21" spans="2:14" ht="30" x14ac:dyDescent="0.25">
      <c r="B21" s="9" t="s">
        <v>128</v>
      </c>
      <c r="C21" s="25"/>
      <c r="D21" s="25"/>
      <c r="E21" s="25"/>
      <c r="F21" s="25"/>
      <c r="G21" s="25"/>
      <c r="H21" s="25"/>
      <c r="I21" s="10"/>
      <c r="J21" s="10"/>
      <c r="K21" s="10"/>
      <c r="L21" s="10"/>
      <c r="M21" s="10"/>
      <c r="N21" s="10"/>
    </row>
    <row r="22" spans="2:14" ht="30" x14ac:dyDescent="0.25">
      <c r="B22" s="9" t="s">
        <v>129</v>
      </c>
      <c r="C22" s="25"/>
      <c r="D22" s="25"/>
      <c r="E22" s="25"/>
      <c r="F22" s="25"/>
      <c r="G22" s="25"/>
      <c r="H22" s="25"/>
      <c r="I22" s="10"/>
      <c r="J22" s="10"/>
      <c r="K22" s="10"/>
      <c r="L22" s="10"/>
      <c r="M22" s="10"/>
      <c r="N22" s="10"/>
    </row>
    <row r="23" spans="2:14" ht="30" x14ac:dyDescent="0.25">
      <c r="B23" s="9" t="s">
        <v>130</v>
      </c>
      <c r="C23" s="25"/>
      <c r="D23" s="25"/>
      <c r="E23" s="25"/>
      <c r="F23" s="25"/>
      <c r="G23" s="25"/>
      <c r="H23" s="25"/>
      <c r="I23" s="10"/>
      <c r="J23" s="10"/>
      <c r="K23" s="10"/>
      <c r="L23" s="10"/>
      <c r="M23" s="10"/>
      <c r="N23" s="10"/>
    </row>
  </sheetData>
  <mergeCells count="11">
    <mergeCell ref="C2:G2"/>
    <mergeCell ref="B10:G10"/>
    <mergeCell ref="B11:G11"/>
    <mergeCell ref="B12:G12"/>
    <mergeCell ref="B13:G13"/>
    <mergeCell ref="C3:G3"/>
    <mergeCell ref="C4:G4"/>
    <mergeCell ref="B6:E6"/>
    <mergeCell ref="B7:G7"/>
    <mergeCell ref="B8:G8"/>
    <mergeCell ref="B9:G9"/>
  </mergeCells>
  <pageMargins left="0.7" right="0.7" top="0.75" bottom="0.75" header="0.3" footer="0.3"/>
  <pageSetup paperSize="9" scale="90" orientation="landscape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view="pageBreakPreview" zoomScale="60" zoomScaleNormal="100" workbookViewId="0">
      <selection activeCell="C3" sqref="C3:G3"/>
    </sheetView>
  </sheetViews>
  <sheetFormatPr defaultRowHeight="15" x14ac:dyDescent="0.25"/>
  <cols>
    <col min="2" max="2" width="18.85546875" customWidth="1"/>
    <col min="3" max="3" width="13.42578125" customWidth="1"/>
    <col min="4" max="4" width="14.140625" style="31" customWidth="1"/>
    <col min="5" max="5" width="9.7109375" bestFit="1" customWidth="1"/>
    <col min="6" max="6" width="14.7109375" customWidth="1"/>
    <col min="7" max="7" width="9.7109375" bestFit="1" customWidth="1"/>
    <col min="8" max="8" width="10.85546875" bestFit="1" customWidth="1"/>
    <col min="10" max="10" width="10.42578125" bestFit="1" customWidth="1"/>
    <col min="11" max="11" width="10.140625" bestFit="1" customWidth="1"/>
  </cols>
  <sheetData>
    <row r="2" spans="2:9" x14ac:dyDescent="0.25">
      <c r="B2" s="12" t="s">
        <v>72</v>
      </c>
      <c r="C2" s="274" t="s">
        <v>218</v>
      </c>
      <c r="D2" s="275"/>
      <c r="E2" s="275"/>
      <c r="F2" s="275"/>
      <c r="G2" s="275"/>
      <c r="H2" s="13"/>
      <c r="I2" s="14"/>
    </row>
    <row r="3" spans="2:9" x14ac:dyDescent="0.25">
      <c r="B3" s="12" t="s">
        <v>73</v>
      </c>
      <c r="C3" s="296" t="s">
        <v>66</v>
      </c>
      <c r="D3" s="297"/>
      <c r="E3" s="297"/>
      <c r="F3" s="297"/>
      <c r="G3" s="298"/>
    </row>
    <row r="4" spans="2:9" x14ac:dyDescent="0.25">
      <c r="B4" s="12" t="s">
        <v>74</v>
      </c>
      <c r="C4" s="296" t="s">
        <v>290</v>
      </c>
      <c r="D4" s="297"/>
      <c r="E4" s="297"/>
      <c r="F4" s="297"/>
      <c r="G4" s="298"/>
    </row>
    <row r="5" spans="2:9" ht="45" x14ac:dyDescent="0.25">
      <c r="B5" s="15" t="s">
        <v>76</v>
      </c>
      <c r="C5" s="16">
        <f>D23</f>
        <v>17.678068137931039</v>
      </c>
      <c r="D5" s="17" t="s">
        <v>77</v>
      </c>
      <c r="E5" s="18">
        <v>3</v>
      </c>
      <c r="F5" s="19" t="s">
        <v>78</v>
      </c>
      <c r="G5" s="20">
        <f>C5*8/12</f>
        <v>11.785378758620693</v>
      </c>
    </row>
    <row r="6" spans="2:9" ht="15.75" thickBot="1" x14ac:dyDescent="0.3"/>
    <row r="7" spans="2:9" ht="15.75" thickBot="1" x14ac:dyDescent="0.3">
      <c r="B7" s="282" t="s">
        <v>169</v>
      </c>
      <c r="C7" s="283"/>
      <c r="D7" s="283"/>
      <c r="E7" s="283"/>
      <c r="F7" s="283"/>
      <c r="G7" s="284"/>
    </row>
    <row r="8" spans="2:9" x14ac:dyDescent="0.25">
      <c r="B8" s="112" t="s">
        <v>320</v>
      </c>
      <c r="C8" s="113"/>
      <c r="D8" s="114" t="s">
        <v>321</v>
      </c>
      <c r="E8" s="114" t="s">
        <v>322</v>
      </c>
      <c r="F8" s="114" t="s">
        <v>323</v>
      </c>
      <c r="G8" s="40"/>
    </row>
    <row r="9" spans="2:9" x14ac:dyDescent="0.25">
      <c r="B9" s="115" t="s">
        <v>324</v>
      </c>
      <c r="C9" s="116"/>
      <c r="D9" s="116" t="s">
        <v>325</v>
      </c>
      <c r="E9" s="116" t="s">
        <v>325</v>
      </c>
      <c r="F9" s="116" t="s">
        <v>325</v>
      </c>
      <c r="G9" s="40"/>
    </row>
    <row r="10" spans="2:9" x14ac:dyDescent="0.25">
      <c r="B10" s="115" t="s">
        <v>326</v>
      </c>
      <c r="C10" s="116" t="s">
        <v>293</v>
      </c>
      <c r="D10" s="117">
        <v>75</v>
      </c>
      <c r="E10" s="117">
        <v>75</v>
      </c>
      <c r="F10" s="118">
        <v>90</v>
      </c>
      <c r="G10" s="40"/>
    </row>
    <row r="11" spans="2:9" x14ac:dyDescent="0.25">
      <c r="B11" s="39"/>
      <c r="C11" s="49"/>
      <c r="D11" s="21"/>
      <c r="E11" s="21"/>
      <c r="F11" s="21"/>
      <c r="G11" s="40"/>
    </row>
    <row r="12" spans="2:9" x14ac:dyDescent="0.25">
      <c r="B12" s="119" t="s">
        <v>327</v>
      </c>
      <c r="C12" s="120" t="s">
        <v>171</v>
      </c>
      <c r="D12" s="121">
        <v>54.782000000000011</v>
      </c>
      <c r="E12" s="121">
        <v>30.430400000000002</v>
      </c>
      <c r="F12" s="121">
        <v>47.764888888888891</v>
      </c>
      <c r="G12" s="40"/>
    </row>
    <row r="13" spans="2:9" x14ac:dyDescent="0.25">
      <c r="B13" s="119" t="s">
        <v>328</v>
      </c>
      <c r="C13" s="120" t="s">
        <v>293</v>
      </c>
      <c r="D13" s="122">
        <v>55</v>
      </c>
      <c r="E13" s="122">
        <v>55</v>
      </c>
      <c r="F13" s="122">
        <v>75</v>
      </c>
      <c r="G13" s="40"/>
    </row>
    <row r="14" spans="2:9" x14ac:dyDescent="0.25">
      <c r="B14" s="119" t="s">
        <v>329</v>
      </c>
      <c r="C14" s="120" t="s">
        <v>330</v>
      </c>
      <c r="D14" s="28">
        <v>0.87</v>
      </c>
      <c r="E14" s="28">
        <v>0.87</v>
      </c>
      <c r="F14" s="28">
        <v>0.87</v>
      </c>
      <c r="G14" s="40"/>
    </row>
    <row r="15" spans="2:9" x14ac:dyDescent="0.25">
      <c r="B15" s="123"/>
      <c r="C15" s="124"/>
      <c r="D15" s="125"/>
      <c r="E15" s="125"/>
      <c r="F15" s="125"/>
      <c r="G15" s="40"/>
    </row>
    <row r="16" spans="2:9" x14ac:dyDescent="0.25">
      <c r="B16" s="119" t="s">
        <v>331</v>
      </c>
      <c r="C16" s="120" t="s">
        <v>293</v>
      </c>
      <c r="D16" s="126">
        <v>6.6666666666666679</v>
      </c>
      <c r="E16" s="126">
        <v>6.6666666666666679</v>
      </c>
      <c r="F16" s="126">
        <v>5</v>
      </c>
      <c r="G16" s="40"/>
    </row>
    <row r="17" spans="2:14" x14ac:dyDescent="0.25">
      <c r="B17" s="119" t="s">
        <v>332</v>
      </c>
      <c r="C17" s="120" t="s">
        <v>293</v>
      </c>
      <c r="D17" s="127">
        <v>2.8543103448275886</v>
      </c>
      <c r="E17" s="127">
        <v>6.918620689655171</v>
      </c>
      <c r="F17" s="127">
        <v>9.0950574712643757</v>
      </c>
      <c r="G17" s="40"/>
    </row>
    <row r="18" spans="2:14" x14ac:dyDescent="0.25">
      <c r="B18" s="119" t="s">
        <v>333</v>
      </c>
      <c r="C18" s="120" t="s">
        <v>293</v>
      </c>
      <c r="D18" s="127">
        <v>9.5209770114942565</v>
      </c>
      <c r="E18" s="127">
        <v>13.585287356321839</v>
      </c>
      <c r="F18" s="127">
        <v>14.095057471264376</v>
      </c>
      <c r="G18" s="40"/>
    </row>
    <row r="19" spans="2:14" x14ac:dyDescent="0.25">
      <c r="B19" s="39"/>
      <c r="C19" s="49"/>
      <c r="D19" s="21"/>
      <c r="E19" s="21"/>
      <c r="F19" s="21"/>
      <c r="G19" s="40"/>
    </row>
    <row r="20" spans="2:14" x14ac:dyDescent="0.25">
      <c r="B20" s="119" t="s">
        <v>334</v>
      </c>
      <c r="C20" s="120" t="s">
        <v>335</v>
      </c>
      <c r="D20" s="127">
        <v>4.5243682758620709</v>
      </c>
      <c r="E20" s="127">
        <v>6.4557285517241372</v>
      </c>
      <c r="F20" s="127">
        <v>6.6979713103448306</v>
      </c>
      <c r="G20" s="40"/>
    </row>
    <row r="21" spans="2:14" x14ac:dyDescent="0.25">
      <c r="B21" s="128" t="s">
        <v>336</v>
      </c>
      <c r="C21" s="129" t="s">
        <v>337</v>
      </c>
      <c r="D21" s="127">
        <v>0.69108000000000003</v>
      </c>
      <c r="E21" s="127">
        <v>0.69108000000000003</v>
      </c>
      <c r="F21" s="28">
        <v>1.3</v>
      </c>
      <c r="G21" s="40"/>
    </row>
    <row r="22" spans="2:14" x14ac:dyDescent="0.25">
      <c r="B22" s="39"/>
      <c r="C22" s="49"/>
      <c r="D22" s="21"/>
      <c r="E22" s="21"/>
      <c r="F22" s="21"/>
      <c r="G22" s="40"/>
    </row>
    <row r="23" spans="2:14" ht="15.75" thickBot="1" x14ac:dyDescent="0.3">
      <c r="B23" s="130" t="s">
        <v>338</v>
      </c>
      <c r="C23" s="131" t="s">
        <v>339</v>
      </c>
      <c r="D23" s="348">
        <f>D20+E20+F20</f>
        <v>17.678068137931039</v>
      </c>
      <c r="E23" s="349"/>
      <c r="F23" s="350"/>
      <c r="G23" s="54"/>
    </row>
    <row r="25" spans="2:14" x14ac:dyDescent="0.25">
      <c r="B25" s="25"/>
      <c r="C25" s="55" t="s">
        <v>33</v>
      </c>
      <c r="D25" s="55" t="s">
        <v>29</v>
      </c>
      <c r="E25" s="55" t="s">
        <v>31</v>
      </c>
      <c r="F25" s="55" t="s">
        <v>27</v>
      </c>
      <c r="G25" s="55" t="s">
        <v>118</v>
      </c>
      <c r="H25" s="55" t="s">
        <v>119</v>
      </c>
      <c r="I25" s="55" t="s">
        <v>120</v>
      </c>
      <c r="J25" s="55" t="s">
        <v>121</v>
      </c>
      <c r="K25" s="55" t="s">
        <v>122</v>
      </c>
      <c r="L25" s="55" t="s">
        <v>123</v>
      </c>
      <c r="M25" s="55" t="s">
        <v>124</v>
      </c>
      <c r="N25" s="55" t="s">
        <v>125</v>
      </c>
    </row>
    <row r="26" spans="2:14" ht="30" x14ac:dyDescent="0.25">
      <c r="B26" s="9" t="s">
        <v>126</v>
      </c>
      <c r="C26" s="27">
        <v>0</v>
      </c>
      <c r="D26" s="27">
        <v>0</v>
      </c>
      <c r="E26" s="27">
        <v>0</v>
      </c>
      <c r="F26" s="27">
        <f>($H$10*0.6*24*F23*F22)/10^5</f>
        <v>0</v>
      </c>
      <c r="G26" s="27">
        <f>($H$10*24*G23*G22)/10^5</f>
        <v>0</v>
      </c>
      <c r="H26" s="27">
        <f t="shared" ref="H26:N26" si="0">($H$10*24*H23*H22)/10^5</f>
        <v>0</v>
      </c>
      <c r="I26" s="27">
        <f t="shared" si="0"/>
        <v>0</v>
      </c>
      <c r="J26" s="27">
        <f t="shared" si="0"/>
        <v>0</v>
      </c>
      <c r="K26" s="27">
        <f t="shared" si="0"/>
        <v>0</v>
      </c>
      <c r="L26" s="27">
        <f t="shared" si="0"/>
        <v>0</v>
      </c>
      <c r="M26" s="27">
        <f t="shared" si="0"/>
        <v>0</v>
      </c>
      <c r="N26" s="27">
        <f t="shared" si="0"/>
        <v>0</v>
      </c>
    </row>
    <row r="27" spans="2:14" ht="30" x14ac:dyDescent="0.25">
      <c r="B27" s="9" t="s">
        <v>127</v>
      </c>
      <c r="C27" s="25"/>
      <c r="D27" s="25"/>
      <c r="E27" s="25"/>
      <c r="F27" s="25"/>
      <c r="G27" s="25"/>
      <c r="H27" s="25"/>
      <c r="I27" s="10"/>
      <c r="J27" s="10"/>
      <c r="K27" s="10"/>
      <c r="L27" s="10"/>
      <c r="M27" s="10"/>
      <c r="N27" s="10"/>
    </row>
    <row r="28" spans="2:14" ht="30" x14ac:dyDescent="0.25">
      <c r="B28" s="9" t="s">
        <v>128</v>
      </c>
      <c r="C28" s="25"/>
      <c r="D28" s="25"/>
      <c r="E28" s="25"/>
      <c r="F28" s="25"/>
      <c r="G28" s="25"/>
      <c r="H28" s="25"/>
      <c r="I28" s="10"/>
      <c r="J28" s="10"/>
      <c r="K28" s="10"/>
      <c r="L28" s="10"/>
      <c r="M28" s="10"/>
      <c r="N28" s="10"/>
    </row>
    <row r="29" spans="2:14" ht="30" x14ac:dyDescent="0.25">
      <c r="B29" s="9" t="s">
        <v>129</v>
      </c>
      <c r="C29" s="25"/>
      <c r="D29" s="25"/>
      <c r="E29" s="25"/>
      <c r="F29" s="25"/>
      <c r="G29" s="25"/>
      <c r="H29" s="25"/>
      <c r="I29" s="10"/>
      <c r="J29" s="10"/>
      <c r="K29" s="10"/>
      <c r="L29" s="10"/>
      <c r="M29" s="10"/>
      <c r="N29" s="10"/>
    </row>
    <row r="30" spans="2:14" ht="30" x14ac:dyDescent="0.25">
      <c r="B30" s="9" t="s">
        <v>130</v>
      </c>
      <c r="C30" s="25"/>
      <c r="D30" s="25"/>
      <c r="E30" s="25"/>
      <c r="F30" s="25"/>
      <c r="G30" s="25"/>
      <c r="H30" s="25"/>
      <c r="I30" s="10"/>
      <c r="J30" s="10"/>
      <c r="K30" s="10"/>
      <c r="L30" s="10"/>
      <c r="M30" s="10"/>
      <c r="N30" s="10"/>
    </row>
  </sheetData>
  <mergeCells count="5">
    <mergeCell ref="C3:G3"/>
    <mergeCell ref="C4:G4"/>
    <mergeCell ref="B7:G7"/>
    <mergeCell ref="D23:F23"/>
    <mergeCell ref="C2:G2"/>
  </mergeCells>
  <pageMargins left="0.7" right="0.7" top="0.75" bottom="0.75" header="0.3" footer="0.3"/>
  <pageSetup paperSize="9" scale="8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zoomScaleNormal="100" workbookViewId="0">
      <selection sqref="A1:XFD1048576"/>
    </sheetView>
  </sheetViews>
  <sheetFormatPr defaultRowHeight="15" x14ac:dyDescent="0.25"/>
  <cols>
    <col min="2" max="2" width="19.5703125" customWidth="1"/>
    <col min="4" max="4" width="13.140625" customWidth="1"/>
    <col min="6" max="6" width="13.28515625" customWidth="1"/>
    <col min="8" max="8" width="10.85546875" bestFit="1" customWidth="1"/>
    <col min="10" max="10" width="10.42578125" bestFit="1" customWidth="1"/>
    <col min="11" max="11" width="10.140625" bestFit="1" customWidth="1"/>
  </cols>
  <sheetData>
    <row r="2" spans="2:14" x14ac:dyDescent="0.25">
      <c r="B2" s="12" t="s">
        <v>72</v>
      </c>
      <c r="C2" s="274" t="s">
        <v>219</v>
      </c>
      <c r="D2" s="275"/>
      <c r="E2" s="275"/>
      <c r="F2" s="275"/>
      <c r="G2" s="275"/>
      <c r="H2" s="13"/>
      <c r="I2" s="14"/>
    </row>
    <row r="3" spans="2:14" x14ac:dyDescent="0.25">
      <c r="B3" s="12" t="s">
        <v>73</v>
      </c>
      <c r="C3" s="296" t="s">
        <v>319</v>
      </c>
      <c r="D3" s="297"/>
      <c r="E3" s="297"/>
      <c r="F3" s="297"/>
      <c r="G3" s="298"/>
    </row>
    <row r="4" spans="2:14" x14ac:dyDescent="0.25">
      <c r="B4" s="12" t="s">
        <v>74</v>
      </c>
      <c r="C4" s="296" t="s">
        <v>290</v>
      </c>
      <c r="D4" s="297"/>
      <c r="E4" s="297"/>
      <c r="F4" s="297"/>
      <c r="G4" s="298"/>
    </row>
    <row r="5" spans="2:14" ht="45" x14ac:dyDescent="0.25">
      <c r="B5" s="15" t="s">
        <v>76</v>
      </c>
      <c r="C5" s="16">
        <f>F13/100000</f>
        <v>5.016</v>
      </c>
      <c r="D5" s="17" t="s">
        <v>77</v>
      </c>
      <c r="E5" s="18">
        <v>1.5</v>
      </c>
      <c r="F5" s="19" t="s">
        <v>78</v>
      </c>
      <c r="G5" s="20">
        <f>(C5-E5)*8/12</f>
        <v>2.3439999999999999</v>
      </c>
    </row>
    <row r="6" spans="2:14" x14ac:dyDescent="0.25">
      <c r="I6" t="s">
        <v>479</v>
      </c>
    </row>
    <row r="7" spans="2:14" x14ac:dyDescent="0.25">
      <c r="B7" s="273" t="s">
        <v>186</v>
      </c>
      <c r="C7" s="273"/>
      <c r="D7" s="273"/>
      <c r="E7" s="273"/>
      <c r="F7" s="273"/>
      <c r="G7" s="273"/>
    </row>
    <row r="8" spans="2:14" x14ac:dyDescent="0.25">
      <c r="B8" s="305" t="s">
        <v>340</v>
      </c>
      <c r="C8" s="305"/>
      <c r="D8" s="305"/>
      <c r="E8" s="305"/>
      <c r="F8" s="10">
        <v>20</v>
      </c>
      <c r="G8" s="10" t="s">
        <v>208</v>
      </c>
    </row>
    <row r="9" spans="2:14" x14ac:dyDescent="0.25">
      <c r="B9" s="305" t="s">
        <v>341</v>
      </c>
      <c r="C9" s="305"/>
      <c r="D9" s="305"/>
      <c r="E9" s="305"/>
      <c r="F9" s="10">
        <f>F8*43</f>
        <v>860</v>
      </c>
      <c r="G9" s="10" t="s">
        <v>342</v>
      </c>
    </row>
    <row r="10" spans="2:14" x14ac:dyDescent="0.25">
      <c r="B10" s="305" t="s">
        <v>343</v>
      </c>
      <c r="C10" s="305"/>
      <c r="D10" s="305"/>
      <c r="E10" s="305"/>
      <c r="F10" s="10">
        <f>F8*33</f>
        <v>660</v>
      </c>
      <c r="G10" s="10" t="s">
        <v>342</v>
      </c>
    </row>
    <row r="11" spans="2:14" x14ac:dyDescent="0.25">
      <c r="B11" s="305"/>
      <c r="C11" s="305"/>
      <c r="D11" s="305"/>
      <c r="E11" s="305"/>
      <c r="F11" s="10"/>
      <c r="G11" s="10"/>
    </row>
    <row r="12" spans="2:14" x14ac:dyDescent="0.25">
      <c r="B12" s="305" t="s">
        <v>344</v>
      </c>
      <c r="C12" s="305"/>
      <c r="D12" s="305"/>
      <c r="E12" s="305"/>
      <c r="F12" s="57">
        <f>SUM(F9:F10)</f>
        <v>1520</v>
      </c>
      <c r="G12" s="10" t="s">
        <v>342</v>
      </c>
    </row>
    <row r="13" spans="2:14" x14ac:dyDescent="0.25">
      <c r="B13" s="305" t="s">
        <v>345</v>
      </c>
      <c r="C13" s="305"/>
      <c r="D13" s="305"/>
      <c r="E13" s="305"/>
      <c r="F13" s="57">
        <f>F12*330</f>
        <v>501600</v>
      </c>
      <c r="G13" s="10" t="s">
        <v>346</v>
      </c>
    </row>
    <row r="15" spans="2:14" x14ac:dyDescent="0.25">
      <c r="B15" s="25"/>
      <c r="C15" s="25" t="s">
        <v>33</v>
      </c>
      <c r="D15" s="25" t="s">
        <v>29</v>
      </c>
      <c r="E15" s="25" t="s">
        <v>31</v>
      </c>
      <c r="F15" s="25" t="s">
        <v>27</v>
      </c>
      <c r="G15" s="25" t="s">
        <v>118</v>
      </c>
      <c r="H15" s="25" t="s">
        <v>119</v>
      </c>
      <c r="I15" s="25" t="s">
        <v>120</v>
      </c>
      <c r="J15" s="25" t="s">
        <v>121</v>
      </c>
      <c r="K15" s="25" t="s">
        <v>122</v>
      </c>
      <c r="L15" s="25" t="s">
        <v>123</v>
      </c>
      <c r="M15" s="25" t="s">
        <v>124</v>
      </c>
      <c r="N15" s="25" t="s">
        <v>125</v>
      </c>
    </row>
    <row r="16" spans="2:14" ht="30" x14ac:dyDescent="0.25">
      <c r="B16" s="9" t="s">
        <v>126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f>18*31*(43+33)/100000</f>
        <v>0.42408000000000001</v>
      </c>
      <c r="J16" s="27"/>
      <c r="K16" s="27"/>
      <c r="L16" s="27"/>
      <c r="M16" s="27"/>
      <c r="N16" s="27"/>
    </row>
    <row r="17" spans="2:14" ht="30" x14ac:dyDescent="0.25">
      <c r="B17" s="9" t="s">
        <v>127</v>
      </c>
      <c r="C17" s="25"/>
      <c r="D17" s="25"/>
      <c r="E17" s="25"/>
      <c r="F17" s="25"/>
      <c r="G17" s="25"/>
      <c r="H17" s="25"/>
      <c r="I17" s="10"/>
      <c r="J17" s="10"/>
      <c r="K17" s="10"/>
      <c r="L17" s="10"/>
      <c r="M17" s="10"/>
      <c r="N17" s="10"/>
    </row>
    <row r="18" spans="2:14" ht="30" x14ac:dyDescent="0.25">
      <c r="B18" s="9" t="s">
        <v>128</v>
      </c>
      <c r="C18" s="25"/>
      <c r="D18" s="25"/>
      <c r="E18" s="25"/>
      <c r="F18" s="25"/>
      <c r="G18" s="25"/>
      <c r="H18" s="25"/>
      <c r="I18" s="10"/>
      <c r="J18" s="10"/>
      <c r="K18" s="10"/>
      <c r="L18" s="10"/>
      <c r="M18" s="10"/>
      <c r="N18" s="10"/>
    </row>
    <row r="19" spans="2:14" ht="33.75" customHeight="1" x14ac:dyDescent="0.25">
      <c r="B19" s="9" t="s">
        <v>129</v>
      </c>
      <c r="C19" s="25"/>
      <c r="D19" s="25"/>
      <c r="E19" s="25"/>
      <c r="F19" s="25"/>
      <c r="G19" s="25"/>
      <c r="H19" s="25"/>
      <c r="I19" s="10"/>
      <c r="J19" s="10"/>
      <c r="K19" s="10"/>
      <c r="L19" s="10"/>
      <c r="M19" s="10"/>
      <c r="N19" s="10"/>
    </row>
    <row r="20" spans="2:14" ht="28.5" customHeight="1" x14ac:dyDescent="0.25">
      <c r="B20" s="9" t="s">
        <v>130</v>
      </c>
      <c r="C20" s="25"/>
      <c r="D20" s="25"/>
      <c r="E20" s="25"/>
      <c r="F20" s="25"/>
      <c r="G20" s="25"/>
      <c r="H20" s="25"/>
      <c r="I20" s="10"/>
      <c r="J20" s="10"/>
      <c r="K20" s="10"/>
      <c r="L20" s="10"/>
      <c r="M20" s="10"/>
      <c r="N20" s="10"/>
    </row>
  </sheetData>
  <mergeCells count="10">
    <mergeCell ref="C2:G2"/>
    <mergeCell ref="B11:E11"/>
    <mergeCell ref="B12:E12"/>
    <mergeCell ref="B13:E13"/>
    <mergeCell ref="C3:G3"/>
    <mergeCell ref="C4:G4"/>
    <mergeCell ref="B7:G7"/>
    <mergeCell ref="B8:E8"/>
    <mergeCell ref="B9:E9"/>
    <mergeCell ref="B10:E10"/>
  </mergeCells>
  <pageMargins left="0.7" right="0.7" top="0.75" bottom="0.75" header="0.3" footer="0.3"/>
  <pageSetup paperSize="9" scale="89" orientation="landscape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:G3"/>
    </sheetView>
  </sheetViews>
  <sheetFormatPr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view="pageBreakPreview" zoomScaleNormal="100" zoomScaleSheetLayoutView="100" workbookViewId="0">
      <selection activeCell="C3" sqref="C3:G3"/>
    </sheetView>
  </sheetViews>
  <sheetFormatPr defaultRowHeight="15" x14ac:dyDescent="0.25"/>
  <cols>
    <col min="1" max="1" width="2.5703125" customWidth="1"/>
    <col min="2" max="2" width="19.7109375" customWidth="1"/>
    <col min="3" max="7" width="10" customWidth="1"/>
    <col min="8" max="8" width="12.42578125" customWidth="1"/>
    <col min="9" max="9" width="11.5703125" bestFit="1" customWidth="1"/>
    <col min="10" max="10" width="10.42578125" bestFit="1" customWidth="1"/>
    <col min="11" max="14" width="10" customWidth="1"/>
    <col min="15" max="15" width="8.85546875" customWidth="1"/>
    <col min="16" max="16" width="12" customWidth="1"/>
  </cols>
  <sheetData>
    <row r="2" spans="2:14" x14ac:dyDescent="0.25">
      <c r="B2" s="12" t="s">
        <v>72</v>
      </c>
      <c r="C2" s="274" t="s">
        <v>221</v>
      </c>
      <c r="D2" s="275"/>
      <c r="E2" s="275"/>
      <c r="F2" s="275"/>
      <c r="G2" s="275"/>
    </row>
    <row r="3" spans="2:14" x14ac:dyDescent="0.25">
      <c r="B3" s="12" t="s">
        <v>73</v>
      </c>
      <c r="C3" s="296" t="s">
        <v>70</v>
      </c>
      <c r="D3" s="297"/>
      <c r="E3" s="297"/>
      <c r="F3" s="297"/>
      <c r="G3" s="298"/>
    </row>
    <row r="4" spans="2:14" x14ac:dyDescent="0.25">
      <c r="B4" s="12" t="s">
        <v>74</v>
      </c>
      <c r="C4" s="296" t="s">
        <v>290</v>
      </c>
      <c r="D4" s="297"/>
      <c r="E4" s="297"/>
      <c r="F4" s="297"/>
      <c r="G4" s="298"/>
    </row>
    <row r="5" spans="2:14" ht="60" x14ac:dyDescent="0.25">
      <c r="B5" s="15" t="s">
        <v>76</v>
      </c>
      <c r="C5" s="16">
        <v>40</v>
      </c>
      <c r="D5" s="17" t="s">
        <v>77</v>
      </c>
      <c r="E5" s="16">
        <v>0</v>
      </c>
      <c r="F5" s="19" t="s">
        <v>78</v>
      </c>
      <c r="G5" s="20">
        <v>30</v>
      </c>
    </row>
    <row r="6" spans="2:14" ht="15.75" thickBot="1" x14ac:dyDescent="0.3">
      <c r="B6" s="295"/>
      <c r="C6" s="295"/>
      <c r="D6" s="295"/>
      <c r="E6" s="295"/>
      <c r="F6" s="178"/>
    </row>
    <row r="7" spans="2:14" ht="15.75" thickBot="1" x14ac:dyDescent="0.3">
      <c r="B7" s="343" t="s">
        <v>186</v>
      </c>
      <c r="C7" s="344"/>
      <c r="D7" s="344"/>
      <c r="E7" s="344"/>
      <c r="F7" s="344"/>
      <c r="G7" s="344"/>
      <c r="H7" s="102"/>
      <c r="I7" s="103"/>
    </row>
    <row r="8" spans="2:14" x14ac:dyDescent="0.25">
      <c r="B8" s="345" t="s">
        <v>439</v>
      </c>
      <c r="C8" s="346"/>
      <c r="D8" s="346"/>
      <c r="E8" s="346"/>
      <c r="F8" s="346"/>
      <c r="G8" s="347"/>
      <c r="H8" s="104">
        <v>55.97</v>
      </c>
      <c r="I8" s="105" t="s">
        <v>317</v>
      </c>
    </row>
    <row r="9" spans="2:14" ht="15.75" thickBot="1" x14ac:dyDescent="0.3">
      <c r="B9" s="341" t="s">
        <v>440</v>
      </c>
      <c r="C9" s="278"/>
      <c r="D9" s="278"/>
      <c r="E9" s="278"/>
      <c r="F9" s="278"/>
      <c r="G9" s="302"/>
      <c r="H9" s="106">
        <v>3</v>
      </c>
      <c r="I9" s="41"/>
    </row>
    <row r="10" spans="2:14" x14ac:dyDescent="0.25">
      <c r="B10" s="345" t="s">
        <v>441</v>
      </c>
      <c r="C10" s="346"/>
      <c r="D10" s="346"/>
      <c r="E10" s="346"/>
      <c r="F10" s="346"/>
      <c r="G10" s="347"/>
      <c r="H10" s="106">
        <v>24.87</v>
      </c>
      <c r="I10" s="41" t="s">
        <v>317</v>
      </c>
    </row>
    <row r="11" spans="2:14" ht="15.75" thickBot="1" x14ac:dyDescent="0.3">
      <c r="B11" s="351" t="s">
        <v>440</v>
      </c>
      <c r="C11" s="352"/>
      <c r="D11" s="352"/>
      <c r="E11" s="352"/>
      <c r="F11" s="352"/>
      <c r="G11" s="353"/>
      <c r="H11" s="179">
        <v>1</v>
      </c>
      <c r="I11" s="180"/>
    </row>
    <row r="12" spans="2:14" ht="15.75" thickBot="1" x14ac:dyDescent="0.3">
      <c r="B12" s="354" t="s">
        <v>442</v>
      </c>
      <c r="C12" s="355"/>
      <c r="D12" s="355"/>
      <c r="E12" s="355"/>
      <c r="F12" s="355"/>
      <c r="G12" s="356"/>
      <c r="H12" s="195">
        <f>(H8*H9)+(H10*H11)</f>
        <v>192.78</v>
      </c>
      <c r="I12" s="92" t="s">
        <v>204</v>
      </c>
      <c r="J12" t="s">
        <v>464</v>
      </c>
    </row>
    <row r="13" spans="2:14" x14ac:dyDescent="0.25">
      <c r="B13" s="109"/>
      <c r="C13" s="109"/>
      <c r="D13" s="109"/>
      <c r="E13" s="109"/>
      <c r="F13" s="109"/>
      <c r="G13" s="109"/>
      <c r="H13" s="21"/>
      <c r="I13" s="110"/>
    </row>
    <row r="14" spans="2:14" x14ac:dyDescent="0.25">
      <c r="B14" s="177" t="s">
        <v>443</v>
      </c>
      <c r="C14" s="177"/>
      <c r="D14" s="177"/>
      <c r="E14" s="177"/>
      <c r="F14" s="177">
        <v>1.67</v>
      </c>
      <c r="G14" s="111"/>
      <c r="H14" s="10"/>
      <c r="I14" s="61"/>
      <c r="J14" s="10"/>
      <c r="K14" s="10"/>
      <c r="L14" s="10"/>
      <c r="M14" s="10"/>
      <c r="N14" s="10"/>
    </row>
    <row r="15" spans="2:14" x14ac:dyDescent="0.25">
      <c r="B15" s="25" t="s">
        <v>202</v>
      </c>
      <c r="C15" s="25"/>
      <c r="D15" s="25"/>
      <c r="E15" s="25"/>
      <c r="F15" s="177">
        <v>10</v>
      </c>
      <c r="G15" s="177">
        <v>31</v>
      </c>
      <c r="H15" s="10">
        <v>30</v>
      </c>
      <c r="I15" s="10">
        <v>31</v>
      </c>
      <c r="J15" s="10">
        <v>30</v>
      </c>
      <c r="K15" s="10">
        <v>31</v>
      </c>
      <c r="L15" s="10">
        <v>30</v>
      </c>
      <c r="M15" s="10">
        <v>28</v>
      </c>
      <c r="N15" s="10">
        <v>31</v>
      </c>
    </row>
    <row r="16" spans="2:14" x14ac:dyDescent="0.25">
      <c r="B16" s="23"/>
      <c r="C16" s="23"/>
      <c r="D16" s="23"/>
      <c r="E16" s="23"/>
      <c r="F16" s="178"/>
    </row>
    <row r="17" spans="2:14" x14ac:dyDescent="0.25">
      <c r="B17" s="25"/>
      <c r="C17" s="25" t="s">
        <v>33</v>
      </c>
      <c r="D17" s="25" t="s">
        <v>29</v>
      </c>
      <c r="E17" s="25" t="s">
        <v>31</v>
      </c>
      <c r="F17" s="25" t="s">
        <v>27</v>
      </c>
      <c r="G17" s="25" t="s">
        <v>118</v>
      </c>
      <c r="H17" s="25" t="s">
        <v>119</v>
      </c>
      <c r="I17" s="25" t="s">
        <v>120</v>
      </c>
      <c r="J17" s="25" t="s">
        <v>121</v>
      </c>
      <c r="K17" s="25" t="s">
        <v>122</v>
      </c>
      <c r="L17" s="25" t="s">
        <v>123</v>
      </c>
      <c r="M17" s="25" t="s">
        <v>124</v>
      </c>
      <c r="N17" s="25" t="s">
        <v>125</v>
      </c>
    </row>
    <row r="18" spans="2:14" ht="30" x14ac:dyDescent="0.25">
      <c r="B18" s="9" t="s">
        <v>126</v>
      </c>
      <c r="C18" s="27">
        <v>0</v>
      </c>
      <c r="D18" s="27">
        <v>0</v>
      </c>
      <c r="E18" s="27">
        <v>0</v>
      </c>
      <c r="F18" s="27">
        <f>($H$12*24*F15*F14)/10^5</f>
        <v>0.77266224000000006</v>
      </c>
      <c r="G18" s="27"/>
      <c r="H18" s="27"/>
      <c r="I18" s="27"/>
      <c r="J18" s="27"/>
      <c r="K18" s="27"/>
      <c r="L18" s="27"/>
      <c r="M18" s="27"/>
      <c r="N18" s="27"/>
    </row>
    <row r="19" spans="2:14" ht="30" x14ac:dyDescent="0.25">
      <c r="B19" s="9" t="s">
        <v>127</v>
      </c>
      <c r="C19" s="25"/>
      <c r="D19" s="25"/>
      <c r="E19" s="25"/>
      <c r="F19" s="25"/>
      <c r="G19" s="25"/>
      <c r="H19" s="25"/>
      <c r="I19" s="10"/>
      <c r="J19" s="10"/>
      <c r="K19" s="10"/>
      <c r="L19" s="10"/>
      <c r="M19" s="10"/>
      <c r="N19" s="10"/>
    </row>
    <row r="20" spans="2:14" ht="30" x14ac:dyDescent="0.25">
      <c r="B20" s="9" t="s">
        <v>128</v>
      </c>
      <c r="C20" s="25"/>
      <c r="D20" s="25"/>
      <c r="E20" s="25"/>
      <c r="F20" s="25"/>
      <c r="G20" s="25"/>
      <c r="H20" s="25"/>
      <c r="I20" s="10"/>
      <c r="J20" s="10"/>
      <c r="K20" s="10"/>
      <c r="L20" s="10"/>
      <c r="M20" s="10"/>
      <c r="N20" s="10"/>
    </row>
    <row r="21" spans="2:14" ht="30" x14ac:dyDescent="0.25">
      <c r="B21" s="9" t="s">
        <v>129</v>
      </c>
      <c r="C21" s="25"/>
      <c r="D21" s="25"/>
      <c r="E21" s="25"/>
      <c r="F21" s="25"/>
      <c r="G21" s="25"/>
      <c r="H21" s="25"/>
      <c r="I21" s="10"/>
      <c r="J21" s="10"/>
      <c r="K21" s="10"/>
      <c r="L21" s="10"/>
      <c r="M21" s="10"/>
      <c r="N21" s="10"/>
    </row>
    <row r="22" spans="2:14" ht="30" x14ac:dyDescent="0.25">
      <c r="B22" s="9" t="s">
        <v>130</v>
      </c>
      <c r="C22" s="25"/>
      <c r="D22" s="25"/>
      <c r="E22" s="25"/>
      <c r="F22" s="25"/>
      <c r="G22" s="25"/>
      <c r="H22" s="25"/>
      <c r="I22" s="10"/>
      <c r="J22" s="10"/>
      <c r="K22" s="10"/>
      <c r="L22" s="10"/>
      <c r="M22" s="10"/>
      <c r="N22" s="10"/>
    </row>
  </sheetData>
  <mergeCells count="10">
    <mergeCell ref="B10:G10"/>
    <mergeCell ref="B11:G11"/>
    <mergeCell ref="B12:G12"/>
    <mergeCell ref="C2:G2"/>
    <mergeCell ref="C3:G3"/>
    <mergeCell ref="C4:G4"/>
    <mergeCell ref="B6:E6"/>
    <mergeCell ref="B7:G7"/>
    <mergeCell ref="B8:G8"/>
    <mergeCell ref="B9:G9"/>
  </mergeCells>
  <pageMargins left="0.7" right="0.7" top="0.75" bottom="0.75" header="0.3" footer="0.3"/>
  <pageSetup paperSize="9" scale="9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view="pageBreakPreview" zoomScale="60" zoomScaleNormal="100" workbookViewId="0">
      <selection activeCell="O26" sqref="O26"/>
    </sheetView>
  </sheetViews>
  <sheetFormatPr defaultRowHeight="15" x14ac:dyDescent="0.25"/>
  <cols>
    <col min="2" max="2" width="16.85546875" customWidth="1"/>
    <col min="3" max="3" width="14.28515625" customWidth="1"/>
    <col min="4" max="4" width="11.5703125" customWidth="1"/>
    <col min="5" max="5" width="12.5703125" customWidth="1"/>
    <col min="6" max="6" width="10.5703125" customWidth="1"/>
    <col min="8" max="8" width="10.85546875" bestFit="1" customWidth="1"/>
    <col min="10" max="10" width="10.42578125" bestFit="1" customWidth="1"/>
    <col min="11" max="11" width="10.140625" bestFit="1" customWidth="1"/>
  </cols>
  <sheetData>
    <row r="2" spans="2:14" x14ac:dyDescent="0.25">
      <c r="B2" s="12" t="s">
        <v>72</v>
      </c>
      <c r="C2" s="274" t="s">
        <v>222</v>
      </c>
      <c r="D2" s="275"/>
      <c r="E2" s="275"/>
      <c r="F2" s="275"/>
      <c r="G2" s="275"/>
      <c r="H2" s="13"/>
      <c r="I2" s="14"/>
    </row>
    <row r="3" spans="2:14" x14ac:dyDescent="0.25">
      <c r="B3" s="12" t="s">
        <v>73</v>
      </c>
      <c r="C3" s="296" t="s">
        <v>347</v>
      </c>
      <c r="D3" s="297"/>
      <c r="E3" s="297"/>
      <c r="F3" s="297"/>
      <c r="G3" s="298"/>
    </row>
    <row r="4" spans="2:14" x14ac:dyDescent="0.25">
      <c r="B4" s="12" t="s">
        <v>74</v>
      </c>
      <c r="C4" s="296" t="s">
        <v>290</v>
      </c>
      <c r="D4" s="297"/>
      <c r="E4" s="297"/>
      <c r="F4" s="297"/>
      <c r="G4" s="298"/>
    </row>
    <row r="5" spans="2:14" ht="49.5" customHeight="1" x14ac:dyDescent="0.25">
      <c r="B5" s="15" t="s">
        <v>76</v>
      </c>
      <c r="C5" s="16">
        <f>I11/100000</f>
        <v>20.299159663865542</v>
      </c>
      <c r="D5" s="17" t="s">
        <v>77</v>
      </c>
      <c r="E5" s="18">
        <v>0</v>
      </c>
      <c r="F5" s="19" t="s">
        <v>78</v>
      </c>
      <c r="G5" s="20">
        <f>C5*9/12</f>
        <v>15.224369747899155</v>
      </c>
    </row>
    <row r="6" spans="2:14" ht="15.75" thickBot="1" x14ac:dyDescent="0.3"/>
    <row r="7" spans="2:14" ht="15.75" thickBot="1" x14ac:dyDescent="0.3">
      <c r="B7" s="282" t="s">
        <v>348</v>
      </c>
      <c r="C7" s="283"/>
      <c r="D7" s="283"/>
      <c r="E7" s="283"/>
      <c r="F7" s="283"/>
      <c r="G7" s="283"/>
      <c r="H7" s="283"/>
      <c r="I7" s="284"/>
    </row>
    <row r="8" spans="2:14" x14ac:dyDescent="0.25">
      <c r="B8" s="339" t="s">
        <v>349</v>
      </c>
      <c r="C8" s="340"/>
      <c r="D8" s="340"/>
      <c r="E8" s="340"/>
      <c r="F8" s="340"/>
      <c r="G8" s="340"/>
      <c r="H8" s="197" t="s">
        <v>350</v>
      </c>
      <c r="I8" s="94">
        <v>15</v>
      </c>
    </row>
    <row r="9" spans="2:14" x14ac:dyDescent="0.25">
      <c r="B9" s="334" t="s">
        <v>351</v>
      </c>
      <c r="C9" s="305"/>
      <c r="D9" s="305"/>
      <c r="E9" s="305"/>
      <c r="F9" s="305"/>
      <c r="G9" s="305"/>
      <c r="H9" s="10" t="s">
        <v>204</v>
      </c>
      <c r="I9" s="41">
        <v>22000</v>
      </c>
    </row>
    <row r="10" spans="2:14" x14ac:dyDescent="0.25">
      <c r="B10" s="334" t="s">
        <v>352</v>
      </c>
      <c r="C10" s="305"/>
      <c r="D10" s="305"/>
      <c r="E10" s="305"/>
      <c r="F10" s="305"/>
      <c r="G10" s="305"/>
      <c r="H10" s="10" t="s">
        <v>353</v>
      </c>
      <c r="I10" s="196">
        <f>I9*0.6*I8/0.85</f>
        <v>232941.17647058825</v>
      </c>
    </row>
    <row r="11" spans="2:14" ht="15.75" thickBot="1" x14ac:dyDescent="0.3">
      <c r="B11" s="357" t="s">
        <v>354</v>
      </c>
      <c r="C11" s="358"/>
      <c r="D11" s="358"/>
      <c r="E11" s="358"/>
      <c r="F11" s="358"/>
      <c r="G11" s="358"/>
      <c r="H11" s="96" t="s">
        <v>288</v>
      </c>
      <c r="I11" s="108">
        <f>I10/4800/0.7*4.88*24*250</f>
        <v>2029915.9663865543</v>
      </c>
    </row>
    <row r="13" spans="2:14" x14ac:dyDescent="0.25">
      <c r="B13" s="25"/>
      <c r="C13" s="191" t="s">
        <v>33</v>
      </c>
      <c r="D13" s="191" t="s">
        <v>29</v>
      </c>
      <c r="E13" s="191" t="s">
        <v>31</v>
      </c>
      <c r="F13" s="191" t="s">
        <v>27</v>
      </c>
      <c r="G13" s="191" t="s">
        <v>118</v>
      </c>
      <c r="H13" s="191" t="s">
        <v>119</v>
      </c>
      <c r="I13" s="191" t="s">
        <v>120</v>
      </c>
      <c r="J13" s="191" t="s">
        <v>121</v>
      </c>
      <c r="K13" s="191" t="s">
        <v>122</v>
      </c>
      <c r="L13" s="191" t="s">
        <v>123</v>
      </c>
      <c r="M13" s="191" t="s">
        <v>124</v>
      </c>
      <c r="N13" s="191" t="s">
        <v>125</v>
      </c>
    </row>
    <row r="14" spans="2:14" ht="30" x14ac:dyDescent="0.25">
      <c r="B14" s="9" t="s">
        <v>126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ht="30" x14ac:dyDescent="0.25">
      <c r="B15" s="9" t="s">
        <v>127</v>
      </c>
      <c r="C15" s="25"/>
      <c r="D15" s="25"/>
      <c r="E15" s="25"/>
      <c r="F15" s="25"/>
      <c r="G15" s="25"/>
      <c r="H15" s="25"/>
      <c r="I15" s="10"/>
      <c r="J15" s="10"/>
      <c r="K15" s="10"/>
      <c r="L15" s="10"/>
      <c r="M15" s="10"/>
      <c r="N15" s="10"/>
    </row>
    <row r="16" spans="2:14" ht="30" x14ac:dyDescent="0.25">
      <c r="B16" s="9" t="s">
        <v>128</v>
      </c>
      <c r="C16" s="25"/>
      <c r="D16" s="25"/>
      <c r="E16" s="25"/>
      <c r="F16" s="25"/>
      <c r="G16" s="25"/>
      <c r="H16" s="25"/>
      <c r="I16" s="10"/>
      <c r="J16" s="10"/>
      <c r="K16" s="10"/>
      <c r="L16" s="10"/>
      <c r="M16" s="10"/>
      <c r="N16" s="10"/>
    </row>
    <row r="17" spans="2:14" ht="30" x14ac:dyDescent="0.25">
      <c r="B17" s="9" t="s">
        <v>129</v>
      </c>
      <c r="C17" s="25"/>
      <c r="D17" s="25"/>
      <c r="E17" s="25"/>
      <c r="F17" s="25"/>
      <c r="G17" s="25"/>
      <c r="H17" s="25"/>
      <c r="I17" s="10"/>
      <c r="J17" s="10"/>
      <c r="K17" s="10"/>
      <c r="L17" s="10"/>
      <c r="M17" s="10"/>
      <c r="N17" s="10"/>
    </row>
    <row r="18" spans="2:14" ht="30" x14ac:dyDescent="0.25">
      <c r="B18" s="9" t="s">
        <v>130</v>
      </c>
      <c r="C18" s="25"/>
      <c r="D18" s="25"/>
      <c r="E18" s="25"/>
      <c r="F18" s="25"/>
      <c r="G18" s="25"/>
      <c r="H18" s="25"/>
      <c r="I18" s="10"/>
      <c r="J18" s="10"/>
      <c r="K18" s="10"/>
      <c r="L18" s="10"/>
      <c r="M18" s="10"/>
      <c r="N18" s="10"/>
    </row>
  </sheetData>
  <mergeCells count="8">
    <mergeCell ref="B10:G10"/>
    <mergeCell ref="B11:G11"/>
    <mergeCell ref="C2:G2"/>
    <mergeCell ref="C3:G3"/>
    <mergeCell ref="C4:G4"/>
    <mergeCell ref="B7:I7"/>
    <mergeCell ref="B8:G8"/>
    <mergeCell ref="B9:G9"/>
  </mergeCells>
  <pageMargins left="0.7" right="0.7" top="0.75" bottom="0.75" header="0.3" footer="0.3"/>
  <pageSetup paperSize="9" scale="9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37"/>
  <sheetViews>
    <sheetView zoomScale="70" zoomScaleNormal="70" workbookViewId="0">
      <selection activeCell="Q30" sqref="Q30"/>
    </sheetView>
  </sheetViews>
  <sheetFormatPr defaultRowHeight="15" x14ac:dyDescent="0.25"/>
  <cols>
    <col min="1" max="1" width="4.140625" style="31" customWidth="1"/>
    <col min="2" max="2" width="24.7109375" style="31" customWidth="1"/>
    <col min="3" max="3" width="11.5703125" style="31" customWidth="1"/>
    <col min="4" max="4" width="16.5703125" style="31" customWidth="1"/>
    <col min="5" max="5" width="18.42578125" style="31" customWidth="1"/>
    <col min="6" max="6" width="12.28515625" style="31" customWidth="1"/>
    <col min="7" max="7" width="14" style="31" customWidth="1"/>
    <col min="8" max="8" width="12.140625" style="31" customWidth="1"/>
    <col min="9" max="9" width="8.140625" style="31" bestFit="1" customWidth="1"/>
    <col min="10" max="10" width="12.28515625" style="31" bestFit="1" customWidth="1"/>
    <col min="11" max="11" width="9.85546875" style="31" customWidth="1"/>
    <col min="12" max="12" width="12.5703125" style="31" customWidth="1"/>
    <col min="13" max="13" width="10.42578125" style="31" customWidth="1"/>
    <col min="14" max="16384" width="9.140625" style="31"/>
  </cols>
  <sheetData>
    <row r="2" spans="2:14" x14ac:dyDescent="0.25">
      <c r="B2" s="12" t="s">
        <v>72</v>
      </c>
      <c r="C2" s="274" t="s">
        <v>132</v>
      </c>
      <c r="D2" s="275"/>
      <c r="E2" s="275"/>
      <c r="F2" s="275"/>
      <c r="G2" s="275"/>
    </row>
    <row r="3" spans="2:14" x14ac:dyDescent="0.25">
      <c r="B3" s="12" t="s">
        <v>73</v>
      </c>
      <c r="C3" s="274" t="s">
        <v>28</v>
      </c>
      <c r="D3" s="275"/>
      <c r="E3" s="275"/>
      <c r="F3" s="275"/>
      <c r="G3" s="275"/>
    </row>
    <row r="4" spans="2:14" x14ac:dyDescent="0.25">
      <c r="B4" s="12" t="s">
        <v>74</v>
      </c>
      <c r="C4" s="274" t="s">
        <v>75</v>
      </c>
      <c r="D4" s="275"/>
      <c r="E4" s="275"/>
      <c r="F4" s="275"/>
      <c r="G4" s="275"/>
    </row>
    <row r="5" spans="2:14" ht="45" x14ac:dyDescent="0.25">
      <c r="B5" s="15" t="s">
        <v>76</v>
      </c>
      <c r="C5" s="16">
        <f>G30/100000</f>
        <v>11.622555018315024</v>
      </c>
      <c r="D5" s="17" t="s">
        <v>77</v>
      </c>
      <c r="E5" s="18">
        <v>0</v>
      </c>
      <c r="F5" s="19" t="s">
        <v>78</v>
      </c>
      <c r="G5" s="20">
        <f>(C5-E5)*11/12</f>
        <v>10.654008766788772</v>
      </c>
    </row>
    <row r="6" spans="2:14" ht="15.75" thickBot="1" x14ac:dyDescent="0.3"/>
    <row r="7" spans="2:14" ht="15.75" thickBot="1" x14ac:dyDescent="0.3">
      <c r="B7" s="276" t="s">
        <v>169</v>
      </c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7"/>
      <c r="N7" s="277"/>
    </row>
    <row r="8" spans="2:14" hidden="1" x14ac:dyDescent="0.25">
      <c r="B8" s="45"/>
      <c r="C8" s="44" t="s">
        <v>138</v>
      </c>
      <c r="D8" s="44" t="s">
        <v>29</v>
      </c>
      <c r="E8" s="44" t="s">
        <v>31</v>
      </c>
      <c r="F8" s="44" t="s">
        <v>27</v>
      </c>
      <c r="G8" s="44" t="s">
        <v>118</v>
      </c>
      <c r="H8" s="44" t="s">
        <v>139</v>
      </c>
      <c r="I8" s="44" t="s">
        <v>140</v>
      </c>
      <c r="J8" s="44" t="s">
        <v>141</v>
      </c>
      <c r="K8" s="44" t="s">
        <v>142</v>
      </c>
      <c r="L8" s="44" t="s">
        <v>123</v>
      </c>
      <c r="M8" s="44" t="s">
        <v>143</v>
      </c>
      <c r="N8" s="44" t="s">
        <v>125</v>
      </c>
    </row>
    <row r="9" spans="2:14" hidden="1" x14ac:dyDescent="0.25">
      <c r="B9" s="46" t="s">
        <v>144</v>
      </c>
      <c r="C9" s="33">
        <v>1994</v>
      </c>
      <c r="D9" s="33">
        <v>1928</v>
      </c>
      <c r="E9" s="33">
        <v>1627</v>
      </c>
      <c r="F9" s="33"/>
      <c r="G9" s="33">
        <v>896</v>
      </c>
      <c r="H9" s="33">
        <v>1262</v>
      </c>
      <c r="I9" s="33"/>
      <c r="J9" s="33"/>
      <c r="K9" s="33"/>
      <c r="L9" s="33">
        <v>941</v>
      </c>
      <c r="M9" s="33">
        <v>795</v>
      </c>
      <c r="N9" s="33">
        <v>1913</v>
      </c>
    </row>
    <row r="10" spans="2:14" hidden="1" x14ac:dyDescent="0.25">
      <c r="B10" s="47" t="s">
        <v>145</v>
      </c>
      <c r="C10" s="33">
        <v>841</v>
      </c>
      <c r="D10" s="33">
        <v>794</v>
      </c>
      <c r="E10" s="33">
        <v>690</v>
      </c>
      <c r="F10" s="33"/>
      <c r="G10" s="33">
        <v>375</v>
      </c>
      <c r="H10" s="33">
        <v>526</v>
      </c>
      <c r="I10" s="33"/>
      <c r="J10" s="33"/>
      <c r="K10" s="33"/>
      <c r="L10" s="33">
        <v>397</v>
      </c>
      <c r="M10" s="33">
        <v>334</v>
      </c>
      <c r="N10" s="33">
        <v>805.5</v>
      </c>
    </row>
    <row r="11" spans="2:14" hidden="1" x14ac:dyDescent="0.25">
      <c r="B11" s="46"/>
      <c r="C11" s="34">
        <f>C10/C9*100</f>
        <v>42.1765295887663</v>
      </c>
      <c r="D11" s="33">
        <f t="shared" ref="D11:N11" si="0">D10/D9*100</f>
        <v>41.182572614107883</v>
      </c>
      <c r="E11" s="33">
        <f t="shared" si="0"/>
        <v>42.40934234787953</v>
      </c>
      <c r="F11" s="33"/>
      <c r="G11" s="33">
        <f t="shared" si="0"/>
        <v>41.852678571428569</v>
      </c>
      <c r="H11" s="33">
        <f t="shared" si="0"/>
        <v>41.679873217115684</v>
      </c>
      <c r="I11" s="33"/>
      <c r="J11" s="33"/>
      <c r="K11" s="33"/>
      <c r="L11" s="33">
        <f t="shared" si="0"/>
        <v>42.189160467587669</v>
      </c>
      <c r="M11" s="33">
        <f t="shared" si="0"/>
        <v>42.012578616352201</v>
      </c>
      <c r="N11" s="33">
        <f t="shared" si="0"/>
        <v>42.106638787245167</v>
      </c>
    </row>
    <row r="12" spans="2:14" hidden="1" x14ac:dyDescent="0.25">
      <c r="B12" s="48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</row>
    <row r="13" spans="2:14" hidden="1" x14ac:dyDescent="0.25">
      <c r="B13" s="46" t="s">
        <v>146</v>
      </c>
      <c r="C13" s="32">
        <v>60</v>
      </c>
      <c r="D13" s="32">
        <v>55.26</v>
      </c>
      <c r="E13" s="32">
        <v>73.430000000000007</v>
      </c>
      <c r="F13" s="32"/>
      <c r="G13" s="32">
        <v>72</v>
      </c>
      <c r="H13" s="32">
        <v>68.739999999999995</v>
      </c>
      <c r="I13" s="32"/>
      <c r="J13" s="32"/>
      <c r="K13" s="32"/>
      <c r="L13" s="32">
        <v>65.48</v>
      </c>
      <c r="M13" s="32">
        <v>70.34</v>
      </c>
      <c r="N13" s="32">
        <v>71.45</v>
      </c>
    </row>
    <row r="14" spans="2:14" ht="60" hidden="1" x14ac:dyDescent="0.25">
      <c r="B14" s="46"/>
      <c r="C14" s="32"/>
      <c r="D14" s="35" t="s">
        <v>147</v>
      </c>
      <c r="E14" s="32"/>
      <c r="F14" s="32"/>
      <c r="G14" s="32"/>
      <c r="H14" s="32"/>
      <c r="I14" s="32"/>
      <c r="J14" s="32"/>
      <c r="K14" s="32"/>
      <c r="L14" s="35" t="s">
        <v>148</v>
      </c>
      <c r="M14" s="32"/>
      <c r="N14" s="32"/>
    </row>
    <row r="15" spans="2:14" hidden="1" x14ac:dyDescent="0.25"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</row>
    <row r="16" spans="2:14" hidden="1" x14ac:dyDescent="0.25">
      <c r="B16" s="48"/>
      <c r="C16" s="49"/>
      <c r="D16" s="36" t="s">
        <v>149</v>
      </c>
      <c r="E16" s="36" t="s">
        <v>150</v>
      </c>
      <c r="F16" s="36" t="s">
        <v>151</v>
      </c>
      <c r="G16" s="36" t="s">
        <v>152</v>
      </c>
      <c r="H16" s="36" t="s">
        <v>153</v>
      </c>
      <c r="I16" s="49"/>
      <c r="J16" s="49"/>
      <c r="K16" s="49"/>
      <c r="L16" s="49"/>
      <c r="M16" s="49"/>
      <c r="N16" s="49"/>
    </row>
    <row r="17" spans="2:14" hidden="1" x14ac:dyDescent="0.25">
      <c r="B17" s="48"/>
      <c r="C17" s="49"/>
      <c r="D17" s="36" t="s">
        <v>154</v>
      </c>
      <c r="E17" s="36">
        <v>63</v>
      </c>
      <c r="F17" s="36">
        <v>70.3</v>
      </c>
      <c r="G17" s="36"/>
      <c r="H17" s="36">
        <v>70</v>
      </c>
      <c r="I17" s="49"/>
      <c r="J17" s="49"/>
      <c r="K17" s="49"/>
      <c r="L17" s="49"/>
      <c r="M17" s="49"/>
      <c r="N17" s="49"/>
    </row>
    <row r="18" spans="2:14" hidden="1" x14ac:dyDescent="0.25"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</row>
    <row r="19" spans="2:14" x14ac:dyDescent="0.25">
      <c r="B19" s="48" t="s">
        <v>155</v>
      </c>
      <c r="C19" s="24" t="s">
        <v>156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</row>
    <row r="20" spans="2:14" x14ac:dyDescent="0.25"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</row>
    <row r="21" spans="2:14" x14ac:dyDescent="0.25">
      <c r="B21" s="46" t="s">
        <v>438</v>
      </c>
      <c r="C21" s="32" t="s">
        <v>80</v>
      </c>
      <c r="D21" s="32" t="s">
        <v>81</v>
      </c>
      <c r="E21" s="32" t="s">
        <v>82</v>
      </c>
      <c r="F21" s="32" t="s">
        <v>22</v>
      </c>
      <c r="G21" s="32" t="s">
        <v>437</v>
      </c>
      <c r="H21" s="32"/>
      <c r="I21" s="32"/>
      <c r="J21" s="32" t="s">
        <v>158</v>
      </c>
      <c r="K21" s="32"/>
      <c r="L21" s="32"/>
      <c r="M21" s="32"/>
      <c r="N21" s="49"/>
    </row>
    <row r="22" spans="2:14" x14ac:dyDescent="0.25">
      <c r="B22" s="46" t="s">
        <v>95</v>
      </c>
      <c r="C22" s="32">
        <f>F22/0.42</f>
        <v>13881.83421516755</v>
      </c>
      <c r="D22" s="32" t="s">
        <v>96</v>
      </c>
      <c r="E22" s="32" t="s">
        <v>98</v>
      </c>
      <c r="F22" s="37">
        <v>5830.3703703703704</v>
      </c>
      <c r="G22" s="37">
        <f>F22/65</f>
        <v>89.698005698005701</v>
      </c>
      <c r="H22" s="32">
        <v>65</v>
      </c>
      <c r="I22" s="32" t="s">
        <v>159</v>
      </c>
      <c r="J22" s="32" t="s">
        <v>160</v>
      </c>
      <c r="K22" s="32">
        <v>266</v>
      </c>
      <c r="L22" s="37">
        <f>K22*M22</f>
        <v>399</v>
      </c>
      <c r="M22" s="32">
        <v>1.5</v>
      </c>
      <c r="N22" s="49"/>
    </row>
    <row r="23" spans="2:14" x14ac:dyDescent="0.25">
      <c r="B23" s="46"/>
      <c r="C23" s="32"/>
      <c r="D23" s="32"/>
      <c r="E23" s="32" t="s">
        <v>92</v>
      </c>
      <c r="F23" s="37">
        <v>1735.2292768959437</v>
      </c>
      <c r="G23" s="32" t="s">
        <v>157</v>
      </c>
      <c r="H23" s="32"/>
      <c r="I23" s="32"/>
      <c r="J23" s="32" t="s">
        <v>161</v>
      </c>
      <c r="K23" s="32">
        <v>99</v>
      </c>
      <c r="L23" s="37">
        <f t="shared" ref="L23:L24" si="1">K23*M23</f>
        <v>470.25</v>
      </c>
      <c r="M23" s="32">
        <v>4.75</v>
      </c>
      <c r="N23" s="49"/>
    </row>
    <row r="24" spans="2:14" x14ac:dyDescent="0.25">
      <c r="B24" s="46"/>
      <c r="C24" s="32"/>
      <c r="D24" s="32"/>
      <c r="E24" s="32" t="s">
        <v>93</v>
      </c>
      <c r="F24" s="37">
        <v>208.22751322751324</v>
      </c>
      <c r="G24" s="37">
        <f>F22/70</f>
        <v>83.291005291005291</v>
      </c>
      <c r="H24" s="32">
        <v>70</v>
      </c>
      <c r="I24" s="32" t="s">
        <v>159</v>
      </c>
      <c r="J24" s="32" t="s">
        <v>162</v>
      </c>
      <c r="K24" s="32">
        <v>71</v>
      </c>
      <c r="L24" s="37">
        <f t="shared" si="1"/>
        <v>390.5</v>
      </c>
      <c r="M24" s="32">
        <v>5.5</v>
      </c>
      <c r="N24" s="49"/>
    </row>
    <row r="25" spans="2:14" x14ac:dyDescent="0.25">
      <c r="B25" s="46"/>
      <c r="C25" s="32"/>
      <c r="D25" s="32"/>
      <c r="E25" s="32" t="s">
        <v>99</v>
      </c>
      <c r="F25" s="37">
        <v>6108.0070546737215</v>
      </c>
      <c r="G25" s="32" t="s">
        <v>163</v>
      </c>
      <c r="H25" s="32"/>
      <c r="I25" s="32"/>
      <c r="J25" s="32"/>
      <c r="K25" s="32"/>
      <c r="L25" s="37">
        <f>SUM(L22:L24)</f>
        <v>1259.75</v>
      </c>
      <c r="M25" s="32"/>
      <c r="N25" s="49"/>
    </row>
    <row r="26" spans="2:14" x14ac:dyDescent="0.25">
      <c r="B26" s="46"/>
      <c r="C26" s="32"/>
      <c r="D26" s="32"/>
      <c r="E26" s="32"/>
      <c r="F26" s="32"/>
      <c r="G26" s="37">
        <f>G22-G24</f>
        <v>6.4070004070004103</v>
      </c>
      <c r="H26" s="38"/>
      <c r="I26" s="32"/>
      <c r="J26" s="32"/>
      <c r="K26" s="32"/>
      <c r="L26" s="32"/>
      <c r="M26" s="32"/>
      <c r="N26" s="49"/>
    </row>
    <row r="27" spans="2:14" x14ac:dyDescent="0.25">
      <c r="B27" s="48"/>
      <c r="C27" s="49"/>
      <c r="D27" s="49"/>
      <c r="E27" s="49"/>
      <c r="F27" s="49"/>
      <c r="G27" s="49">
        <v>6</v>
      </c>
      <c r="H27" s="49" t="s">
        <v>164</v>
      </c>
      <c r="I27" s="49"/>
      <c r="J27" s="49"/>
      <c r="K27" s="49"/>
      <c r="L27" s="49"/>
      <c r="M27" s="49"/>
      <c r="N27" s="49"/>
    </row>
    <row r="28" spans="2:14" x14ac:dyDescent="0.25">
      <c r="B28" s="48"/>
      <c r="C28" s="49"/>
      <c r="D28" s="49"/>
      <c r="E28" s="49"/>
      <c r="F28" s="49"/>
      <c r="G28" s="49">
        <f>G27*24</f>
        <v>144</v>
      </c>
      <c r="H28" s="49" t="s">
        <v>165</v>
      </c>
      <c r="I28" s="49"/>
      <c r="J28" s="49"/>
      <c r="K28" s="49"/>
      <c r="L28" s="49"/>
      <c r="M28" s="49"/>
      <c r="N28" s="49"/>
    </row>
    <row r="29" spans="2:14" x14ac:dyDescent="0.25">
      <c r="B29" s="48"/>
      <c r="C29" s="49"/>
      <c r="D29" s="49"/>
      <c r="E29" s="49"/>
      <c r="F29" s="49"/>
      <c r="G29" s="134">
        <f>G26*G28</f>
        <v>922.60805860805908</v>
      </c>
      <c r="H29" s="49" t="s">
        <v>166</v>
      </c>
      <c r="I29" s="49"/>
      <c r="J29" s="49"/>
      <c r="K29" s="49"/>
      <c r="L29" s="49"/>
      <c r="M29" s="49"/>
      <c r="N29" s="49"/>
    </row>
    <row r="30" spans="2:14" ht="15.75" thickBot="1" x14ac:dyDescent="0.3">
      <c r="B30" s="50" t="s">
        <v>167</v>
      </c>
      <c r="C30" s="51"/>
      <c r="D30" s="51"/>
      <c r="E30" s="51"/>
      <c r="F30" s="51"/>
      <c r="G30" s="52">
        <f>G29*L25</f>
        <v>1162255.5018315024</v>
      </c>
      <c r="H30" s="51" t="s">
        <v>168</v>
      </c>
      <c r="I30" s="51"/>
      <c r="J30" s="51"/>
      <c r="K30" s="51"/>
      <c r="L30" s="51"/>
      <c r="M30" s="51"/>
      <c r="N30" s="51"/>
    </row>
    <row r="32" spans="2:14" x14ac:dyDescent="0.25">
      <c r="B32" s="25"/>
      <c r="C32" s="25" t="s">
        <v>33</v>
      </c>
      <c r="D32" s="25" t="s">
        <v>29</v>
      </c>
      <c r="E32" s="25" t="s">
        <v>31</v>
      </c>
      <c r="F32" s="25" t="s">
        <v>27</v>
      </c>
      <c r="G32" s="25" t="s">
        <v>118</v>
      </c>
      <c r="H32" s="25" t="s">
        <v>119</v>
      </c>
      <c r="I32" s="25" t="s">
        <v>120</v>
      </c>
      <c r="J32" s="25" t="s">
        <v>121</v>
      </c>
      <c r="K32" s="25" t="s">
        <v>122</v>
      </c>
      <c r="L32" s="25" t="s">
        <v>123</v>
      </c>
      <c r="M32" s="25" t="s">
        <v>124</v>
      </c>
      <c r="N32" s="25" t="s">
        <v>125</v>
      </c>
    </row>
    <row r="33" spans="2:14" ht="26.25" customHeight="1" x14ac:dyDescent="0.25">
      <c r="B33" s="9" t="s">
        <v>126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 ht="30" x14ac:dyDescent="0.25">
      <c r="B34" s="9" t="s">
        <v>127</v>
      </c>
      <c r="C34" s="25"/>
      <c r="D34" s="25"/>
      <c r="E34" s="25"/>
      <c r="F34" s="25"/>
      <c r="G34" s="25"/>
      <c r="H34" s="25"/>
      <c r="I34" s="10"/>
      <c r="J34" s="10"/>
      <c r="K34" s="10"/>
      <c r="L34" s="10"/>
      <c r="M34" s="10"/>
      <c r="N34" s="10"/>
    </row>
    <row r="35" spans="2:14" ht="30" x14ac:dyDescent="0.25">
      <c r="B35" s="9" t="s">
        <v>128</v>
      </c>
      <c r="C35" s="25"/>
      <c r="D35" s="25"/>
      <c r="E35" s="25"/>
      <c r="F35" s="25"/>
      <c r="G35" s="25"/>
      <c r="H35" s="25"/>
      <c r="I35" s="10"/>
      <c r="J35" s="10"/>
      <c r="K35" s="10"/>
      <c r="L35" s="10"/>
      <c r="M35" s="10"/>
      <c r="N35" s="10"/>
    </row>
    <row r="36" spans="2:14" ht="21.75" customHeight="1" x14ac:dyDescent="0.25">
      <c r="B36" s="9" t="s">
        <v>129</v>
      </c>
      <c r="C36" s="25"/>
      <c r="D36" s="25"/>
      <c r="E36" s="25"/>
      <c r="F36" s="25"/>
      <c r="G36" s="25"/>
      <c r="H36" s="25"/>
      <c r="I36" s="10"/>
      <c r="J36" s="10"/>
      <c r="K36" s="10"/>
      <c r="L36" s="10"/>
      <c r="M36" s="10"/>
      <c r="N36" s="10"/>
    </row>
    <row r="37" spans="2:14" ht="27.75" customHeight="1" x14ac:dyDescent="0.25">
      <c r="B37" s="9" t="s">
        <v>130</v>
      </c>
      <c r="C37" s="25"/>
      <c r="D37" s="25"/>
      <c r="E37" s="25"/>
      <c r="F37" s="25"/>
      <c r="G37" s="25"/>
      <c r="H37" s="25"/>
      <c r="I37" s="10"/>
      <c r="J37" s="10"/>
      <c r="K37" s="10"/>
      <c r="L37" s="10"/>
      <c r="M37" s="10"/>
      <c r="N37" s="10"/>
    </row>
  </sheetData>
  <mergeCells count="4">
    <mergeCell ref="C2:G2"/>
    <mergeCell ref="C3:G3"/>
    <mergeCell ref="C4:G4"/>
    <mergeCell ref="B7:N7"/>
  </mergeCells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view="pageBreakPreview" zoomScale="60" zoomScaleNormal="85" workbookViewId="0">
      <selection activeCell="Q30" sqref="Q30"/>
    </sheetView>
  </sheetViews>
  <sheetFormatPr defaultRowHeight="15" x14ac:dyDescent="0.25"/>
  <cols>
    <col min="1" max="1" width="4.28515625" customWidth="1"/>
    <col min="2" max="2" width="26.85546875" bestFit="1" customWidth="1"/>
    <col min="4" max="4" width="11.7109375" customWidth="1"/>
    <col min="5" max="5" width="8.5703125" customWidth="1"/>
    <col min="6" max="6" width="12.42578125" customWidth="1"/>
    <col min="7" max="7" width="8.42578125" customWidth="1"/>
    <col min="8" max="8" width="11" bestFit="1" customWidth="1"/>
    <col min="9" max="9" width="9.28515625" customWidth="1"/>
    <col min="10" max="11" width="10.42578125" bestFit="1" customWidth="1"/>
    <col min="12" max="13" width="9.28515625" customWidth="1"/>
    <col min="14" max="14" width="8.7109375" customWidth="1"/>
    <col min="15" max="40" width="9.28515625" customWidth="1"/>
    <col min="42" max="42" width="16.140625" customWidth="1"/>
    <col min="43" max="43" width="12.140625" customWidth="1"/>
    <col min="44" max="44" width="21.42578125" customWidth="1"/>
    <col min="46" max="46" width="10.7109375" customWidth="1"/>
    <col min="47" max="47" width="11.7109375" customWidth="1"/>
    <col min="49" max="49" width="15.85546875" customWidth="1"/>
  </cols>
  <sheetData>
    <row r="2" spans="2:14" x14ac:dyDescent="0.25">
      <c r="B2" s="12" t="s">
        <v>72</v>
      </c>
      <c r="C2" s="274" t="s">
        <v>134</v>
      </c>
      <c r="D2" s="275"/>
      <c r="E2" s="275"/>
      <c r="F2" s="275"/>
      <c r="G2" s="275"/>
    </row>
    <row r="3" spans="2:14" x14ac:dyDescent="0.25">
      <c r="B3" s="12" t="s">
        <v>73</v>
      </c>
      <c r="C3" s="214" t="s">
        <v>30</v>
      </c>
      <c r="D3" s="193"/>
      <c r="E3" s="193"/>
      <c r="F3" s="193"/>
      <c r="G3" s="194"/>
      <c r="H3" s="215"/>
      <c r="I3" s="215"/>
      <c r="J3" s="215"/>
      <c r="K3" s="215"/>
      <c r="L3" s="215"/>
      <c r="M3" s="215"/>
      <c r="N3" s="215"/>
    </row>
    <row r="4" spans="2:14" x14ac:dyDescent="0.25">
      <c r="B4" s="12" t="s">
        <v>74</v>
      </c>
      <c r="C4" s="274" t="s">
        <v>75</v>
      </c>
      <c r="D4" s="275"/>
      <c r="E4" s="275"/>
      <c r="F4" s="275"/>
      <c r="G4" s="275"/>
    </row>
    <row r="5" spans="2:14" ht="45" x14ac:dyDescent="0.25">
      <c r="B5" s="15" t="s">
        <v>76</v>
      </c>
      <c r="C5" s="16">
        <v>34.94</v>
      </c>
      <c r="D5" s="17" t="s">
        <v>77</v>
      </c>
      <c r="E5" s="18">
        <v>0</v>
      </c>
      <c r="F5" s="19" t="s">
        <v>78</v>
      </c>
      <c r="G5" s="20">
        <f>(C5-E5)*10/12</f>
        <v>29.116666666666664</v>
      </c>
    </row>
    <row r="7" spans="2:14" x14ac:dyDescent="0.25">
      <c r="B7" s="278" t="s">
        <v>436</v>
      </c>
      <c r="C7" s="278"/>
      <c r="D7" s="278"/>
      <c r="E7" s="278"/>
      <c r="F7" s="278"/>
      <c r="G7" s="278"/>
      <c r="H7" s="278"/>
      <c r="I7" s="278"/>
      <c r="J7" s="278"/>
      <c r="K7" s="278"/>
      <c r="L7" s="278"/>
      <c r="M7" s="278"/>
      <c r="N7" s="278"/>
    </row>
    <row r="8" spans="2:14" x14ac:dyDescent="0.25">
      <c r="B8" s="209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0"/>
    </row>
    <row r="9" spans="2:14" x14ac:dyDescent="0.25">
      <c r="B9" s="209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0"/>
    </row>
    <row r="10" spans="2:14" x14ac:dyDescent="0.25">
      <c r="B10" s="209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0"/>
    </row>
    <row r="11" spans="2:14" x14ac:dyDescent="0.25">
      <c r="B11" s="209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0"/>
    </row>
    <row r="12" spans="2:14" x14ac:dyDescent="0.25">
      <c r="B12" s="209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0"/>
    </row>
    <row r="13" spans="2:14" x14ac:dyDescent="0.25">
      <c r="B13" s="209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0"/>
    </row>
    <row r="14" spans="2:14" x14ac:dyDescent="0.25">
      <c r="B14" s="209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0"/>
    </row>
    <row r="15" spans="2:14" x14ac:dyDescent="0.25">
      <c r="B15" s="211"/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3"/>
    </row>
    <row r="17" spans="2:14" x14ac:dyDescent="0.25">
      <c r="B17" s="25"/>
      <c r="C17" s="25" t="s">
        <v>33</v>
      </c>
      <c r="D17" s="25" t="s">
        <v>29</v>
      </c>
      <c r="E17" s="25" t="s">
        <v>31</v>
      </c>
      <c r="F17" s="25" t="s">
        <v>27</v>
      </c>
      <c r="G17" s="25" t="s">
        <v>118</v>
      </c>
      <c r="H17" s="25" t="s">
        <v>119</v>
      </c>
      <c r="I17" s="25" t="s">
        <v>120</v>
      </c>
      <c r="J17" s="25" t="s">
        <v>121</v>
      </c>
      <c r="K17" s="25" t="s">
        <v>122</v>
      </c>
      <c r="L17" s="25" t="s">
        <v>123</v>
      </c>
      <c r="M17" s="25" t="s">
        <v>124</v>
      </c>
      <c r="N17" s="25" t="s">
        <v>125</v>
      </c>
    </row>
    <row r="18" spans="2:14" x14ac:dyDescent="0.25">
      <c r="B18" s="9" t="s">
        <v>126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</row>
    <row r="19" spans="2:14" x14ac:dyDescent="0.25">
      <c r="B19" s="9" t="s">
        <v>127</v>
      </c>
      <c r="C19" s="25"/>
      <c r="D19" s="25"/>
      <c r="E19" s="25"/>
      <c r="F19" s="25"/>
      <c r="G19" s="25"/>
      <c r="H19" s="25"/>
      <c r="I19" s="10"/>
      <c r="J19" s="10"/>
      <c r="K19" s="10"/>
      <c r="L19" s="10"/>
      <c r="M19" s="10"/>
      <c r="N19" s="10"/>
    </row>
    <row r="20" spans="2:14" x14ac:dyDescent="0.25">
      <c r="B20" s="9" t="s">
        <v>128</v>
      </c>
      <c r="C20" s="25"/>
      <c r="D20" s="25"/>
      <c r="E20" s="25"/>
      <c r="F20" s="25"/>
      <c r="G20" s="25"/>
      <c r="H20" s="25"/>
      <c r="I20" s="10"/>
      <c r="J20" s="10"/>
      <c r="K20" s="10"/>
      <c r="L20" s="10"/>
      <c r="M20" s="10"/>
      <c r="N20" s="10"/>
    </row>
    <row r="21" spans="2:14" x14ac:dyDescent="0.25">
      <c r="B21" s="9" t="s">
        <v>129</v>
      </c>
      <c r="C21" s="25"/>
      <c r="D21" s="25"/>
      <c r="E21" s="25"/>
      <c r="F21" s="25"/>
      <c r="G21" s="25"/>
      <c r="H21" s="25"/>
      <c r="I21" s="10"/>
      <c r="J21" s="10"/>
      <c r="K21" s="10"/>
      <c r="L21" s="10"/>
      <c r="M21" s="10"/>
      <c r="N21" s="10"/>
    </row>
    <row r="22" spans="2:14" x14ac:dyDescent="0.25">
      <c r="B22" s="9" t="s">
        <v>130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</sheetData>
  <mergeCells count="3">
    <mergeCell ref="C2:G2"/>
    <mergeCell ref="C4:G4"/>
    <mergeCell ref="B7:N7"/>
  </mergeCells>
  <pageMargins left="0.7" right="0.7" top="0.75" bottom="0.75" header="0.3" footer="0.3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view="pageBreakPreview" zoomScale="60" zoomScaleNormal="85" workbookViewId="0">
      <selection activeCell="Q30" sqref="Q30"/>
    </sheetView>
  </sheetViews>
  <sheetFormatPr defaultRowHeight="15" x14ac:dyDescent="0.25"/>
  <cols>
    <col min="1" max="1" width="9.140625" style="31"/>
    <col min="2" max="2" width="18.140625" style="31" customWidth="1"/>
    <col min="3" max="3" width="11.28515625" style="31" bestFit="1" customWidth="1"/>
    <col min="4" max="4" width="14.5703125" style="31" customWidth="1"/>
    <col min="5" max="5" width="19" style="31" bestFit="1" customWidth="1"/>
    <col min="6" max="6" width="13.7109375" style="31" customWidth="1"/>
    <col min="7" max="7" width="10.5703125" style="31" customWidth="1"/>
    <col min="8" max="9" width="12.7109375" style="31" customWidth="1"/>
    <col min="10" max="11" width="10.42578125" style="31" bestFit="1" customWidth="1"/>
    <col min="12" max="16384" width="9.140625" style="31"/>
  </cols>
  <sheetData>
    <row r="2" spans="2:9" x14ac:dyDescent="0.25">
      <c r="B2" s="12" t="s">
        <v>72</v>
      </c>
      <c r="C2" s="274" t="s">
        <v>135</v>
      </c>
      <c r="D2" s="275"/>
      <c r="E2" s="275"/>
      <c r="F2" s="275"/>
      <c r="G2" s="275"/>
    </row>
    <row r="3" spans="2:9" x14ac:dyDescent="0.25">
      <c r="B3" s="12" t="s">
        <v>73</v>
      </c>
      <c r="C3" s="274" t="s">
        <v>32</v>
      </c>
      <c r="D3" s="275"/>
      <c r="E3" s="275"/>
      <c r="F3" s="275"/>
      <c r="G3" s="275"/>
    </row>
    <row r="4" spans="2:9" x14ac:dyDescent="0.25">
      <c r="B4" s="12" t="s">
        <v>74</v>
      </c>
      <c r="C4" s="274" t="s">
        <v>75</v>
      </c>
      <c r="D4" s="275"/>
      <c r="E4" s="275"/>
      <c r="F4" s="275"/>
      <c r="G4" s="275"/>
    </row>
    <row r="5" spans="2:9" ht="45" x14ac:dyDescent="0.25">
      <c r="B5" s="15" t="s">
        <v>76</v>
      </c>
      <c r="C5" s="16">
        <v>8.0299999999999994</v>
      </c>
      <c r="D5" s="17" t="s">
        <v>77</v>
      </c>
      <c r="E5" s="18">
        <v>0</v>
      </c>
      <c r="F5" s="19" t="s">
        <v>78</v>
      </c>
      <c r="G5" s="20">
        <f>(C5-E5)*12/12</f>
        <v>8.0299999999999994</v>
      </c>
    </row>
    <row r="6" spans="2:9" ht="15.75" thickBot="1" x14ac:dyDescent="0.3"/>
    <row r="7" spans="2:9" ht="15.75" thickBot="1" x14ac:dyDescent="0.3">
      <c r="B7" s="282" t="s">
        <v>169</v>
      </c>
      <c r="C7" s="283"/>
      <c r="D7" s="283"/>
      <c r="E7" s="283"/>
      <c r="F7" s="283"/>
      <c r="G7" s="283"/>
      <c r="H7" s="283"/>
      <c r="I7" s="284"/>
    </row>
    <row r="8" spans="2:9" ht="30" x14ac:dyDescent="0.25">
      <c r="B8" s="216" t="s">
        <v>79</v>
      </c>
      <c r="C8" s="217" t="s">
        <v>80</v>
      </c>
      <c r="D8" s="217" t="s">
        <v>81</v>
      </c>
      <c r="E8" s="217" t="s">
        <v>82</v>
      </c>
      <c r="F8" s="230" t="s">
        <v>83</v>
      </c>
      <c r="G8" s="230" t="s">
        <v>84</v>
      </c>
      <c r="H8" s="217" t="s">
        <v>85</v>
      </c>
      <c r="I8" s="218" t="s">
        <v>22</v>
      </c>
    </row>
    <row r="9" spans="2:9" x14ac:dyDescent="0.25">
      <c r="B9" s="219" t="s">
        <v>91</v>
      </c>
      <c r="C9" s="220">
        <v>23694.50472714155</v>
      </c>
      <c r="D9" s="221" t="s">
        <v>96</v>
      </c>
      <c r="E9" s="221" t="s">
        <v>97</v>
      </c>
      <c r="F9" s="221"/>
      <c r="G9" s="221">
        <v>12</v>
      </c>
      <c r="H9" s="222">
        <v>54.84839057208692</v>
      </c>
      <c r="I9" s="223">
        <v>6634.4613235996349</v>
      </c>
    </row>
    <row r="10" spans="2:9" x14ac:dyDescent="0.25">
      <c r="B10" s="219"/>
      <c r="C10" s="220"/>
      <c r="D10" s="221"/>
      <c r="E10" s="221" t="s">
        <v>86</v>
      </c>
      <c r="F10" s="221"/>
      <c r="G10" s="221"/>
      <c r="H10" s="221"/>
      <c r="I10" s="223">
        <v>15164.483025370591</v>
      </c>
    </row>
    <row r="11" spans="2:9" x14ac:dyDescent="0.25">
      <c r="B11" s="219"/>
      <c r="C11" s="220"/>
      <c r="D11" s="221"/>
      <c r="E11" s="221" t="s">
        <v>94</v>
      </c>
      <c r="F11" s="221"/>
      <c r="G11" s="221"/>
      <c r="H11" s="221"/>
      <c r="I11" s="223">
        <v>1895.5603781713239</v>
      </c>
    </row>
    <row r="12" spans="2:9" x14ac:dyDescent="0.25">
      <c r="B12" s="224"/>
      <c r="C12" s="221"/>
      <c r="D12" s="221"/>
      <c r="E12" s="221"/>
      <c r="F12" s="221"/>
      <c r="G12" s="221"/>
      <c r="H12" s="221"/>
      <c r="I12" s="225"/>
    </row>
    <row r="13" spans="2:9" x14ac:dyDescent="0.25">
      <c r="B13" s="285" t="s">
        <v>170</v>
      </c>
      <c r="C13" s="286"/>
      <c r="D13" s="287"/>
      <c r="E13" s="226">
        <v>862.47997206795253</v>
      </c>
      <c r="F13" s="221">
        <v>0.13</v>
      </c>
      <c r="G13" s="221" t="s">
        <v>171</v>
      </c>
      <c r="H13" s="221"/>
      <c r="I13" s="225"/>
    </row>
    <row r="14" spans="2:9" ht="15.75" thickBot="1" x14ac:dyDescent="0.3">
      <c r="B14" s="279" t="s">
        <v>172</v>
      </c>
      <c r="C14" s="280"/>
      <c r="D14" s="281"/>
      <c r="E14" s="227">
        <v>802702.4940456464</v>
      </c>
      <c r="F14" s="228"/>
      <c r="G14" s="228"/>
      <c r="H14" s="228"/>
      <c r="I14" s="229"/>
    </row>
    <row r="17" spans="2:14" x14ac:dyDescent="0.25">
      <c r="B17" s="25"/>
      <c r="C17" s="25" t="s">
        <v>33</v>
      </c>
      <c r="D17" s="25" t="s">
        <v>29</v>
      </c>
      <c r="E17" s="25" t="s">
        <v>31</v>
      </c>
      <c r="F17" s="25" t="s">
        <v>27</v>
      </c>
      <c r="G17" s="25" t="s">
        <v>118</v>
      </c>
      <c r="H17" s="25" t="s">
        <v>119</v>
      </c>
      <c r="I17" s="25" t="s">
        <v>120</v>
      </c>
      <c r="J17" s="25" t="s">
        <v>121</v>
      </c>
      <c r="K17" s="25" t="s">
        <v>122</v>
      </c>
      <c r="L17" s="25" t="s">
        <v>123</v>
      </c>
      <c r="M17" s="25" t="s">
        <v>124</v>
      </c>
      <c r="N17" s="25" t="s">
        <v>125</v>
      </c>
    </row>
    <row r="18" spans="2:14" ht="30" x14ac:dyDescent="0.25">
      <c r="B18" s="9" t="s">
        <v>126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</row>
    <row r="19" spans="2:14" ht="30" x14ac:dyDescent="0.25">
      <c r="B19" s="9" t="s">
        <v>127</v>
      </c>
      <c r="C19" s="25"/>
      <c r="D19" s="25"/>
      <c r="E19" s="25"/>
      <c r="F19" s="25"/>
      <c r="G19" s="25"/>
      <c r="H19" s="25"/>
      <c r="I19" s="10"/>
      <c r="J19" s="10"/>
      <c r="K19" s="10"/>
      <c r="L19" s="10"/>
      <c r="M19" s="10"/>
      <c r="N19" s="10"/>
    </row>
    <row r="20" spans="2:14" ht="30" x14ac:dyDescent="0.25">
      <c r="B20" s="9" t="s">
        <v>128</v>
      </c>
      <c r="C20" s="25"/>
      <c r="D20" s="25"/>
      <c r="E20" s="25"/>
      <c r="F20" s="25"/>
      <c r="G20" s="25"/>
      <c r="H20" s="25"/>
      <c r="I20" s="10"/>
      <c r="J20" s="10"/>
      <c r="K20" s="10"/>
      <c r="L20" s="10"/>
      <c r="M20" s="10"/>
      <c r="N20" s="10"/>
    </row>
    <row r="21" spans="2:14" ht="30" x14ac:dyDescent="0.25">
      <c r="B21" s="9" t="s">
        <v>129</v>
      </c>
      <c r="C21" s="25"/>
      <c r="D21" s="25"/>
      <c r="E21" s="25"/>
      <c r="F21" s="25"/>
      <c r="G21" s="25"/>
      <c r="H21" s="25"/>
      <c r="I21" s="10"/>
      <c r="J21" s="10"/>
      <c r="K21" s="10"/>
      <c r="L21" s="10"/>
      <c r="M21" s="10"/>
      <c r="N21" s="10"/>
    </row>
    <row r="22" spans="2:14" ht="30" x14ac:dyDescent="0.25">
      <c r="B22" s="9" t="s">
        <v>130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</sheetData>
  <mergeCells count="6">
    <mergeCell ref="B14:D14"/>
    <mergeCell ref="C2:G2"/>
    <mergeCell ref="C3:G3"/>
    <mergeCell ref="C4:G4"/>
    <mergeCell ref="B7:I7"/>
    <mergeCell ref="B13:D13"/>
  </mergeCells>
  <pageMargins left="0.7" right="0.7" top="0.75" bottom="0.75" header="0.3" footer="0.3"/>
  <pageSetup paperSize="9" scale="8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view="pageBreakPreview" zoomScale="60" zoomScaleNormal="85" workbookViewId="0">
      <selection activeCell="Q30" sqref="Q30"/>
    </sheetView>
  </sheetViews>
  <sheetFormatPr defaultRowHeight="15" x14ac:dyDescent="0.25"/>
  <cols>
    <col min="1" max="1" width="9.140625" style="31"/>
    <col min="2" max="2" width="18" style="31" customWidth="1"/>
    <col min="3" max="3" width="11.5703125" style="31" customWidth="1"/>
    <col min="4" max="4" width="13" style="31" customWidth="1"/>
    <col min="5" max="5" width="18.5703125" style="31" bestFit="1" customWidth="1"/>
    <col min="6" max="6" width="12.5703125" style="31" customWidth="1"/>
    <col min="7" max="7" width="11.85546875" style="31" customWidth="1"/>
    <col min="8" max="8" width="10.7109375" style="31" customWidth="1"/>
    <col min="9" max="9" width="10.85546875" style="31" customWidth="1"/>
    <col min="10" max="11" width="10.42578125" style="31" bestFit="1" customWidth="1"/>
    <col min="12" max="16384" width="9.140625" style="31"/>
  </cols>
  <sheetData>
    <row r="2" spans="2:9" x14ac:dyDescent="0.25">
      <c r="B2" s="12" t="s">
        <v>72</v>
      </c>
      <c r="C2" s="274" t="s">
        <v>136</v>
      </c>
      <c r="D2" s="275"/>
      <c r="E2" s="275"/>
      <c r="F2" s="275"/>
      <c r="G2" s="275"/>
    </row>
    <row r="3" spans="2:9" x14ac:dyDescent="0.25">
      <c r="B3" s="12" t="s">
        <v>73</v>
      </c>
      <c r="C3" s="274" t="s">
        <v>34</v>
      </c>
      <c r="D3" s="275"/>
      <c r="E3" s="275"/>
      <c r="F3" s="275"/>
      <c r="G3" s="275"/>
    </row>
    <row r="4" spans="2:9" x14ac:dyDescent="0.25">
      <c r="B4" s="12" t="s">
        <v>74</v>
      </c>
      <c r="C4" s="274" t="s">
        <v>75</v>
      </c>
      <c r="D4" s="275"/>
      <c r="E4" s="275"/>
      <c r="F4" s="275"/>
      <c r="G4" s="275"/>
    </row>
    <row r="5" spans="2:9" ht="45" x14ac:dyDescent="0.25">
      <c r="B5" s="15" t="s">
        <v>76</v>
      </c>
      <c r="C5" s="16">
        <f>(C14+F12)/100000</f>
        <v>10.826576576576578</v>
      </c>
      <c r="D5" s="17" t="s">
        <v>77</v>
      </c>
      <c r="E5" s="18">
        <v>0</v>
      </c>
      <c r="F5" s="19" t="s">
        <v>78</v>
      </c>
      <c r="G5" s="20">
        <f>(C5-E5)*10/12</f>
        <v>9.0221471471471482</v>
      </c>
    </row>
    <row r="6" spans="2:9" ht="15.75" thickBot="1" x14ac:dyDescent="0.3"/>
    <row r="7" spans="2:9" ht="15.75" thickBot="1" x14ac:dyDescent="0.3">
      <c r="B7" s="282" t="s">
        <v>169</v>
      </c>
      <c r="C7" s="283"/>
      <c r="D7" s="283"/>
      <c r="E7" s="283"/>
      <c r="F7" s="283"/>
      <c r="G7" s="283"/>
      <c r="H7" s="283"/>
      <c r="I7" s="284"/>
    </row>
    <row r="8" spans="2:9" x14ac:dyDescent="0.25">
      <c r="B8" s="231" t="s">
        <v>173</v>
      </c>
      <c r="C8" s="232"/>
      <c r="D8" s="232"/>
      <c r="E8" s="232" t="s">
        <v>174</v>
      </c>
      <c r="F8" s="232"/>
      <c r="G8" s="232"/>
      <c r="H8" s="232"/>
      <c r="I8" s="233"/>
    </row>
    <row r="9" spans="2:9" x14ac:dyDescent="0.25">
      <c r="B9" s="224" t="s">
        <v>175</v>
      </c>
      <c r="C9" s="222">
        <v>4800</v>
      </c>
      <c r="D9" s="221"/>
      <c r="E9" s="221" t="s">
        <v>175</v>
      </c>
      <c r="F9" s="222">
        <v>5696</v>
      </c>
      <c r="G9" s="220">
        <v>39.555555555555557</v>
      </c>
      <c r="H9" s="221"/>
      <c r="I9" s="225">
        <v>144</v>
      </c>
    </row>
    <row r="10" spans="2:9" x14ac:dyDescent="0.25">
      <c r="B10" s="224" t="s">
        <v>176</v>
      </c>
      <c r="C10" s="222">
        <v>25</v>
      </c>
      <c r="D10" s="221"/>
      <c r="E10" s="221" t="s">
        <v>176</v>
      </c>
      <c r="F10" s="222">
        <v>29.666666666666668</v>
      </c>
      <c r="G10" s="221"/>
      <c r="H10" s="221"/>
      <c r="I10" s="225"/>
    </row>
    <row r="11" spans="2:9" x14ac:dyDescent="0.25">
      <c r="B11" s="224" t="s">
        <v>177</v>
      </c>
      <c r="C11" s="222">
        <v>67567.567567567559</v>
      </c>
      <c r="D11" s="221"/>
      <c r="E11" s="221" t="s">
        <v>177</v>
      </c>
      <c r="F11" s="222">
        <v>80180.180180180178</v>
      </c>
      <c r="G11" s="221"/>
      <c r="H11" s="221"/>
      <c r="I11" s="225"/>
    </row>
    <row r="12" spans="2:9" x14ac:dyDescent="0.25">
      <c r="B12" s="224" t="s">
        <v>178</v>
      </c>
      <c r="C12" s="222">
        <v>320945.94594594592</v>
      </c>
      <c r="D12" s="221">
        <v>4.75</v>
      </c>
      <c r="E12" s="221" t="s">
        <v>178</v>
      </c>
      <c r="F12" s="236">
        <v>380855.85585585586</v>
      </c>
      <c r="G12" s="221"/>
      <c r="H12" s="221"/>
      <c r="I12" s="225"/>
    </row>
    <row r="13" spans="2:9" x14ac:dyDescent="0.25">
      <c r="B13" s="224"/>
      <c r="C13" s="222"/>
      <c r="D13" s="221"/>
      <c r="E13" s="221"/>
      <c r="F13" s="221"/>
      <c r="G13" s="221"/>
      <c r="H13" s="221"/>
      <c r="I13" s="225"/>
    </row>
    <row r="14" spans="2:9" ht="15.75" thickBot="1" x14ac:dyDescent="0.3">
      <c r="B14" s="234" t="s">
        <v>179</v>
      </c>
      <c r="C14" s="235">
        <v>701801.80180180178</v>
      </c>
      <c r="D14" s="228" t="s">
        <v>180</v>
      </c>
      <c r="E14" s="228"/>
      <c r="F14" s="228"/>
      <c r="G14" s="228"/>
      <c r="H14" s="228"/>
      <c r="I14" s="229"/>
    </row>
    <row r="17" spans="2:14" x14ac:dyDescent="0.25">
      <c r="B17" s="25"/>
      <c r="C17" s="25" t="s">
        <v>33</v>
      </c>
      <c r="D17" s="25" t="s">
        <v>29</v>
      </c>
      <c r="E17" s="25" t="s">
        <v>31</v>
      </c>
      <c r="F17" s="25" t="s">
        <v>27</v>
      </c>
      <c r="G17" s="25" t="s">
        <v>118</v>
      </c>
      <c r="H17" s="25" t="s">
        <v>119</v>
      </c>
      <c r="I17" s="25" t="s">
        <v>120</v>
      </c>
      <c r="J17" s="25" t="s">
        <v>121</v>
      </c>
      <c r="K17" s="25" t="s">
        <v>122</v>
      </c>
      <c r="L17" s="25" t="s">
        <v>123</v>
      </c>
      <c r="M17" s="25" t="s">
        <v>124</v>
      </c>
      <c r="N17" s="25" t="s">
        <v>125</v>
      </c>
    </row>
    <row r="18" spans="2:14" ht="27" customHeight="1" x14ac:dyDescent="0.25">
      <c r="B18" s="9" t="s">
        <v>126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</row>
    <row r="19" spans="2:14" ht="30" x14ac:dyDescent="0.25">
      <c r="B19" s="9" t="s">
        <v>127</v>
      </c>
      <c r="C19" s="25"/>
      <c r="D19" s="25"/>
      <c r="E19" s="25"/>
      <c r="F19" s="25"/>
      <c r="G19" s="25"/>
      <c r="H19" s="25"/>
      <c r="I19" s="10"/>
      <c r="J19" s="10"/>
      <c r="K19" s="10"/>
      <c r="L19" s="10"/>
      <c r="M19" s="10"/>
      <c r="N19" s="10"/>
    </row>
    <row r="20" spans="2:14" ht="30" x14ac:dyDescent="0.25">
      <c r="B20" s="9" t="s">
        <v>128</v>
      </c>
      <c r="C20" s="25"/>
      <c r="D20" s="25"/>
      <c r="E20" s="25"/>
      <c r="F20" s="25"/>
      <c r="G20" s="25"/>
      <c r="H20" s="25"/>
      <c r="I20" s="10"/>
      <c r="J20" s="10"/>
      <c r="K20" s="10"/>
      <c r="L20" s="10"/>
      <c r="M20" s="10"/>
      <c r="N20" s="10"/>
    </row>
    <row r="21" spans="2:14" ht="30" x14ac:dyDescent="0.25">
      <c r="B21" s="9" t="s">
        <v>129</v>
      </c>
      <c r="C21" s="25"/>
      <c r="D21" s="25"/>
      <c r="E21" s="25"/>
      <c r="F21" s="25"/>
      <c r="G21" s="25"/>
      <c r="H21" s="25"/>
      <c r="I21" s="10"/>
      <c r="J21" s="10"/>
      <c r="K21" s="10"/>
      <c r="L21" s="10"/>
      <c r="M21" s="10"/>
      <c r="N21" s="10"/>
    </row>
    <row r="22" spans="2:14" ht="30" x14ac:dyDescent="0.25">
      <c r="B22" s="9" t="s">
        <v>130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</sheetData>
  <mergeCells count="4">
    <mergeCell ref="C2:G2"/>
    <mergeCell ref="C3:G3"/>
    <mergeCell ref="C4:G4"/>
    <mergeCell ref="B7:I7"/>
  </mergeCells>
  <pageMargins left="0.7" right="0.7" top="0.75" bottom="0.75" header="0.3" footer="0.3"/>
  <pageSetup paperSize="9" scale="8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zoomScaleNormal="100" zoomScaleSheetLayoutView="100" workbookViewId="0">
      <selection sqref="A1:XFD1048576"/>
    </sheetView>
  </sheetViews>
  <sheetFormatPr defaultRowHeight="15" x14ac:dyDescent="0.25"/>
  <cols>
    <col min="2" max="2" width="14.42578125" bestFit="1" customWidth="1"/>
    <col min="3" max="3" width="10.28515625" customWidth="1"/>
    <col min="4" max="4" width="10.85546875" customWidth="1"/>
    <col min="5" max="5" width="10.140625" customWidth="1"/>
    <col min="6" max="6" width="10.42578125" bestFit="1" customWidth="1"/>
    <col min="7" max="7" width="9.7109375" style="13" bestFit="1" customWidth="1"/>
    <col min="8" max="8" width="10.85546875" style="14" bestFit="1" customWidth="1"/>
    <col min="9" max="9" width="9.7109375" bestFit="1" customWidth="1"/>
    <col min="10" max="10" width="9.140625" customWidth="1"/>
    <col min="11" max="11" width="11.85546875" customWidth="1"/>
    <col min="12" max="12" width="9" customWidth="1"/>
    <col min="13" max="13" width="8.85546875" bestFit="1" customWidth="1"/>
    <col min="14" max="14" width="9.7109375" customWidth="1"/>
  </cols>
  <sheetData>
    <row r="2" spans="2:12" x14ac:dyDescent="0.25">
      <c r="B2" s="12" t="s">
        <v>72</v>
      </c>
      <c r="C2" s="274" t="s">
        <v>133</v>
      </c>
      <c r="D2" s="275"/>
      <c r="E2" s="275"/>
      <c r="F2" s="275"/>
      <c r="G2" s="275"/>
    </row>
    <row r="3" spans="2:12" x14ac:dyDescent="0.25">
      <c r="B3" s="12" t="s">
        <v>73</v>
      </c>
      <c r="C3" s="242" t="s">
        <v>35</v>
      </c>
      <c r="D3" s="243"/>
      <c r="E3" s="243"/>
      <c r="F3" s="243"/>
      <c r="G3" s="243"/>
      <c r="H3" s="243"/>
      <c r="I3" s="243"/>
      <c r="J3" s="243"/>
      <c r="K3" s="243"/>
      <c r="L3" s="243"/>
    </row>
    <row r="4" spans="2:12" x14ac:dyDescent="0.25">
      <c r="B4" s="12" t="s">
        <v>74</v>
      </c>
      <c r="C4" s="274" t="s">
        <v>75</v>
      </c>
      <c r="D4" s="275"/>
      <c r="E4" s="275"/>
      <c r="F4" s="275"/>
      <c r="G4" s="275"/>
    </row>
    <row r="5" spans="2:12" ht="45" x14ac:dyDescent="0.25">
      <c r="B5" s="15" t="s">
        <v>76</v>
      </c>
      <c r="C5" s="16">
        <f>L15/100000</f>
        <v>46.919550000000001</v>
      </c>
      <c r="D5" s="17" t="s">
        <v>77</v>
      </c>
      <c r="E5" s="18">
        <v>5</v>
      </c>
      <c r="F5" s="19" t="s">
        <v>78</v>
      </c>
      <c r="G5" s="20">
        <f>(C5-E5)*9/12</f>
        <v>31.439662500000001</v>
      </c>
    </row>
    <row r="7" spans="2:12" x14ac:dyDescent="0.25">
      <c r="B7" s="288" t="s">
        <v>436</v>
      </c>
      <c r="C7" s="288"/>
      <c r="D7" s="288"/>
      <c r="E7" s="288"/>
      <c r="F7" s="288"/>
      <c r="G7" s="288"/>
      <c r="H7" s="288"/>
      <c r="I7" s="288"/>
      <c r="J7" s="288"/>
      <c r="K7" s="288"/>
      <c r="L7" s="288"/>
    </row>
    <row r="8" spans="2:12" ht="30" x14ac:dyDescent="0.25">
      <c r="B8" s="238" t="s">
        <v>413</v>
      </c>
      <c r="C8" s="238" t="s">
        <v>414</v>
      </c>
      <c r="D8" s="238" t="s">
        <v>415</v>
      </c>
      <c r="E8" s="238" t="s">
        <v>416</v>
      </c>
      <c r="F8" s="238" t="s">
        <v>417</v>
      </c>
      <c r="G8" s="238" t="s">
        <v>418</v>
      </c>
      <c r="H8" s="238" t="s">
        <v>419</v>
      </c>
      <c r="I8" s="238" t="s">
        <v>420</v>
      </c>
      <c r="J8" s="238" t="s">
        <v>421</v>
      </c>
      <c r="K8" s="238" t="s">
        <v>422</v>
      </c>
      <c r="L8" s="238" t="s">
        <v>423</v>
      </c>
    </row>
    <row r="9" spans="2:12" x14ac:dyDescent="0.25">
      <c r="B9" s="237"/>
      <c r="C9" s="237"/>
      <c r="D9" s="237" t="s">
        <v>424</v>
      </c>
      <c r="E9" s="237" t="s">
        <v>425</v>
      </c>
      <c r="F9" s="237" t="s">
        <v>426</v>
      </c>
      <c r="G9" s="237" t="s">
        <v>426</v>
      </c>
      <c r="H9" s="237" t="s">
        <v>426</v>
      </c>
      <c r="I9" s="237" t="s">
        <v>427</v>
      </c>
      <c r="J9" s="192" t="s">
        <v>427</v>
      </c>
      <c r="K9" s="237"/>
      <c r="L9" s="237"/>
    </row>
    <row r="10" spans="2:12" x14ac:dyDescent="0.25">
      <c r="B10" s="202" t="s">
        <v>428</v>
      </c>
      <c r="C10" s="202" t="s">
        <v>429</v>
      </c>
      <c r="D10" s="202">
        <v>3000</v>
      </c>
      <c r="E10" s="202">
        <v>0.6</v>
      </c>
      <c r="F10" s="202">
        <v>95</v>
      </c>
      <c r="G10" s="202">
        <v>125</v>
      </c>
      <c r="H10" s="202">
        <f>G10-F10</f>
        <v>30</v>
      </c>
      <c r="I10" s="202">
        <f>D10*E10*H10</f>
        <v>54000</v>
      </c>
      <c r="J10" s="202">
        <v>650</v>
      </c>
      <c r="K10" s="207">
        <f>(I10)/J10</f>
        <v>83.07692307692308</v>
      </c>
      <c r="L10" s="202">
        <f>(I10)*24*8*6*4.75/(4800*0.75)</f>
        <v>82080</v>
      </c>
    </row>
    <row r="11" spans="2:12" x14ac:dyDescent="0.25">
      <c r="B11" s="202" t="s">
        <v>430</v>
      </c>
      <c r="C11" s="202" t="s">
        <v>431</v>
      </c>
      <c r="D11" s="202">
        <v>25000</v>
      </c>
      <c r="E11" s="202">
        <v>0.6</v>
      </c>
      <c r="F11" s="202">
        <v>107</v>
      </c>
      <c r="G11" s="202">
        <v>130</v>
      </c>
      <c r="H11" s="202">
        <f>G11-F11</f>
        <v>23</v>
      </c>
      <c r="I11" s="202">
        <f>D11*E11*H11</f>
        <v>345000</v>
      </c>
      <c r="J11" s="202">
        <v>650</v>
      </c>
      <c r="K11" s="207">
        <f>(I11)/J11</f>
        <v>530.76923076923072</v>
      </c>
      <c r="L11" s="202">
        <f>(I11)*24*311*4.75/(4800*0.75)</f>
        <v>3397675</v>
      </c>
    </row>
    <row r="12" spans="2:12" x14ac:dyDescent="0.25">
      <c r="B12" s="202" t="s">
        <v>432</v>
      </c>
      <c r="C12" s="202" t="s">
        <v>91</v>
      </c>
      <c r="D12" s="202">
        <v>5500</v>
      </c>
      <c r="E12" s="202">
        <v>0.6</v>
      </c>
      <c r="F12" s="202">
        <v>85</v>
      </c>
      <c r="G12" s="202">
        <v>125</v>
      </c>
      <c r="H12" s="202">
        <f>G12-F12</f>
        <v>40</v>
      </c>
      <c r="I12" s="202">
        <f>D12*E12*H12</f>
        <v>132000</v>
      </c>
      <c r="J12" s="202">
        <v>650</v>
      </c>
      <c r="K12" s="207">
        <f>(I12)/J12</f>
        <v>203.07692307692307</v>
      </c>
      <c r="L12" s="202">
        <f>(I12)*24*290*4.75/(4800*0.75)</f>
        <v>1212200</v>
      </c>
    </row>
    <row r="13" spans="2:12" x14ac:dyDescent="0.25">
      <c r="B13" s="202" t="s">
        <v>433</v>
      </c>
      <c r="C13" s="202" t="s">
        <v>434</v>
      </c>
      <c r="D13" s="202">
        <v>7000</v>
      </c>
      <c r="E13" s="202">
        <v>0.6</v>
      </c>
      <c r="F13" s="202"/>
      <c r="G13" s="202"/>
      <c r="H13" s="202"/>
      <c r="I13" s="202"/>
      <c r="J13" s="202">
        <v>650</v>
      </c>
      <c r="K13" s="207"/>
      <c r="L13" s="202"/>
    </row>
    <row r="14" spans="2:12" x14ac:dyDescent="0.25">
      <c r="B14" s="202" t="s">
        <v>435</v>
      </c>
      <c r="C14" s="202" t="s">
        <v>434</v>
      </c>
      <c r="D14" s="202">
        <v>7000</v>
      </c>
      <c r="E14" s="202">
        <v>0.6</v>
      </c>
      <c r="F14" s="202">
        <v>72</v>
      </c>
      <c r="G14" s="202">
        <v>120</v>
      </c>
      <c r="H14" s="202">
        <f>G14-F14</f>
        <v>48</v>
      </c>
      <c r="I14" s="202">
        <f>D14*E14*H14</f>
        <v>201600</v>
      </c>
      <c r="J14" s="202">
        <v>650</v>
      </c>
      <c r="K14" s="207">
        <f>(I14)/J14</f>
        <v>310.15384615384613</v>
      </c>
      <c r="L14" s="202"/>
    </row>
    <row r="15" spans="2:12" ht="15.75" x14ac:dyDescent="0.25">
      <c r="B15" s="175"/>
      <c r="C15" s="175"/>
      <c r="D15" s="175"/>
      <c r="E15" s="175"/>
      <c r="F15" s="175"/>
      <c r="G15" s="175"/>
      <c r="H15" s="175"/>
      <c r="I15" s="175"/>
      <c r="J15" s="289" t="s">
        <v>200</v>
      </c>
      <c r="K15" s="289"/>
      <c r="L15" s="176">
        <f>SUM(L10:L14)</f>
        <v>4691955</v>
      </c>
    </row>
    <row r="17" spans="2:14" x14ac:dyDescent="0.25">
      <c r="B17" s="25"/>
      <c r="C17" s="25" t="s">
        <v>33</v>
      </c>
      <c r="D17" s="25" t="s">
        <v>29</v>
      </c>
      <c r="E17" s="25" t="s">
        <v>31</v>
      </c>
      <c r="F17" s="25" t="s">
        <v>27</v>
      </c>
      <c r="G17" s="25" t="s">
        <v>118</v>
      </c>
      <c r="H17" s="25" t="s">
        <v>119</v>
      </c>
      <c r="I17" s="25" t="s">
        <v>120</v>
      </c>
      <c r="J17" s="25" t="s">
        <v>121</v>
      </c>
      <c r="K17" s="25" t="s">
        <v>122</v>
      </c>
      <c r="L17" s="25" t="s">
        <v>123</v>
      </c>
      <c r="M17" s="25" t="s">
        <v>124</v>
      </c>
      <c r="N17" s="25" t="s">
        <v>125</v>
      </c>
    </row>
    <row r="18" spans="2:14" ht="30" x14ac:dyDescent="0.25">
      <c r="B18" s="9" t="s">
        <v>126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</row>
    <row r="19" spans="2:14" ht="30" x14ac:dyDescent="0.25">
      <c r="B19" s="9" t="s">
        <v>127</v>
      </c>
      <c r="C19" s="25"/>
      <c r="D19" s="25"/>
      <c r="E19" s="25"/>
      <c r="F19" s="25"/>
      <c r="G19" s="25"/>
      <c r="H19" s="25"/>
      <c r="I19" s="10"/>
      <c r="J19" s="10"/>
      <c r="K19" s="10"/>
      <c r="L19" s="10"/>
      <c r="M19" s="10"/>
      <c r="N19" s="10"/>
    </row>
    <row r="20" spans="2:14" ht="45" x14ac:dyDescent="0.25">
      <c r="B20" s="9" t="s">
        <v>128</v>
      </c>
      <c r="C20" s="25"/>
      <c r="D20" s="25"/>
      <c r="E20" s="25"/>
      <c r="F20" s="25"/>
      <c r="G20" s="25"/>
      <c r="H20" s="25"/>
      <c r="I20" s="10"/>
      <c r="J20" s="10"/>
      <c r="K20" s="10"/>
      <c r="L20" s="10"/>
      <c r="M20" s="10"/>
      <c r="N20" s="10"/>
    </row>
    <row r="21" spans="2:14" ht="30" x14ac:dyDescent="0.25">
      <c r="B21" s="9" t="s">
        <v>129</v>
      </c>
      <c r="C21" s="25"/>
      <c r="D21" s="25"/>
      <c r="E21" s="25"/>
      <c r="F21" s="25"/>
      <c r="G21" s="25"/>
      <c r="H21" s="25"/>
      <c r="I21" s="10"/>
      <c r="J21" s="10"/>
      <c r="K21" s="10"/>
      <c r="L21" s="10"/>
      <c r="M21" s="10"/>
      <c r="N21" s="10"/>
    </row>
    <row r="22" spans="2:14" ht="30" x14ac:dyDescent="0.25">
      <c r="B22" s="9" t="s">
        <v>130</v>
      </c>
      <c r="C22" s="25"/>
      <c r="D22" s="25"/>
      <c r="E22" s="25"/>
      <c r="F22" s="25"/>
      <c r="G22" s="25"/>
      <c r="H22" s="25"/>
      <c r="I22" s="10"/>
      <c r="J22" s="10"/>
      <c r="K22" s="10"/>
      <c r="L22" s="10"/>
      <c r="M22" s="10"/>
      <c r="N22" s="10"/>
    </row>
  </sheetData>
  <mergeCells count="4">
    <mergeCell ref="C2:G2"/>
    <mergeCell ref="C4:G4"/>
    <mergeCell ref="B7:L7"/>
    <mergeCell ref="J15:K15"/>
  </mergeCells>
  <pageMargins left="0.7" right="0.7" top="0.75" bottom="0.75" header="0.3" footer="0.3"/>
  <pageSetup paperSize="9" scale="97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view="pageBreakPreview" zoomScale="60" zoomScaleNormal="100" workbookViewId="0">
      <selection activeCell="A11" sqref="A11"/>
    </sheetView>
  </sheetViews>
  <sheetFormatPr defaultRowHeight="15" x14ac:dyDescent="0.25"/>
  <cols>
    <col min="2" max="2" width="14.42578125" bestFit="1" customWidth="1"/>
    <col min="3" max="3" width="10.28515625" customWidth="1"/>
    <col min="4" max="4" width="10.85546875" customWidth="1"/>
    <col min="5" max="5" width="10.140625" customWidth="1"/>
    <col min="6" max="6" width="10.42578125" bestFit="1" customWidth="1"/>
    <col min="7" max="7" width="9.7109375" style="13" bestFit="1" customWidth="1"/>
    <col min="8" max="8" width="10.85546875" style="14" bestFit="1" customWidth="1"/>
    <col min="9" max="9" width="9.7109375" bestFit="1" customWidth="1"/>
    <col min="10" max="10" width="9.140625" customWidth="1"/>
    <col min="11" max="11" width="11.85546875" customWidth="1"/>
    <col min="12" max="12" width="9" customWidth="1"/>
    <col min="13" max="13" width="8.85546875" bestFit="1" customWidth="1"/>
    <col min="14" max="14" width="9.7109375" customWidth="1"/>
  </cols>
  <sheetData>
    <row r="2" spans="2:14" x14ac:dyDescent="0.25">
      <c r="B2" s="12" t="s">
        <v>72</v>
      </c>
      <c r="C2" s="274" t="s">
        <v>363</v>
      </c>
      <c r="D2" s="275"/>
      <c r="E2" s="275"/>
      <c r="F2" s="275"/>
      <c r="G2" s="275"/>
    </row>
    <row r="3" spans="2:14" x14ac:dyDescent="0.25">
      <c r="B3" s="12" t="s">
        <v>73</v>
      </c>
      <c r="C3" s="290" t="s">
        <v>364</v>
      </c>
      <c r="D3" s="291"/>
      <c r="E3" s="291"/>
      <c r="F3" s="291"/>
      <c r="G3" s="291"/>
      <c r="H3" s="243"/>
      <c r="I3" s="243"/>
      <c r="J3" s="243"/>
      <c r="K3" s="243"/>
      <c r="L3" s="243"/>
    </row>
    <row r="4" spans="2:14" x14ac:dyDescent="0.25">
      <c r="B4" s="12" t="s">
        <v>74</v>
      </c>
      <c r="C4" s="274" t="s">
        <v>75</v>
      </c>
      <c r="D4" s="275"/>
      <c r="E4" s="275"/>
      <c r="F4" s="275"/>
      <c r="G4" s="275"/>
    </row>
    <row r="5" spans="2:14" ht="45" x14ac:dyDescent="0.25">
      <c r="B5" s="15" t="s">
        <v>76</v>
      </c>
      <c r="C5" s="16"/>
      <c r="D5" s="17" t="s">
        <v>77</v>
      </c>
      <c r="E5" s="18"/>
      <c r="F5" s="19" t="s">
        <v>78</v>
      </c>
      <c r="G5" s="20"/>
    </row>
    <row r="8" spans="2:14" x14ac:dyDescent="0.25">
      <c r="B8" s="25"/>
      <c r="C8" s="25" t="s">
        <v>33</v>
      </c>
      <c r="D8" s="25" t="s">
        <v>29</v>
      </c>
      <c r="E8" s="25" t="s">
        <v>31</v>
      </c>
      <c r="F8" s="25" t="s">
        <v>27</v>
      </c>
      <c r="G8" s="25" t="s">
        <v>118</v>
      </c>
      <c r="H8" s="25" t="s">
        <v>119</v>
      </c>
      <c r="I8" s="25" t="s">
        <v>120</v>
      </c>
      <c r="J8" s="25" t="s">
        <v>121</v>
      </c>
      <c r="K8" s="25" t="s">
        <v>122</v>
      </c>
      <c r="L8" s="25" t="s">
        <v>123</v>
      </c>
      <c r="M8" s="25" t="s">
        <v>124</v>
      </c>
      <c r="N8" s="25" t="s">
        <v>125</v>
      </c>
    </row>
    <row r="9" spans="2:14" ht="30" x14ac:dyDescent="0.25">
      <c r="B9" s="9" t="s">
        <v>126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2:14" ht="30" x14ac:dyDescent="0.25">
      <c r="B10" s="9" t="s">
        <v>127</v>
      </c>
      <c r="C10" s="25"/>
      <c r="D10" s="25"/>
      <c r="E10" s="25"/>
      <c r="F10" s="25"/>
      <c r="G10" s="25"/>
      <c r="H10" s="25"/>
      <c r="I10" s="10"/>
      <c r="J10" s="10"/>
      <c r="K10" s="10"/>
      <c r="L10" s="10"/>
      <c r="M10" s="10"/>
      <c r="N10" s="10"/>
    </row>
    <row r="11" spans="2:14" ht="45" x14ac:dyDescent="0.25">
      <c r="B11" s="9" t="s">
        <v>128</v>
      </c>
      <c r="C11" s="25"/>
      <c r="D11" s="25"/>
      <c r="E11" s="25"/>
      <c r="F11" s="25"/>
      <c r="G11" s="25"/>
      <c r="H11" s="25"/>
      <c r="I11" s="10"/>
      <c r="J11" s="10"/>
      <c r="K11" s="10"/>
      <c r="L11" s="10"/>
      <c r="M11" s="10"/>
      <c r="N11" s="10"/>
    </row>
    <row r="12" spans="2:14" ht="30" x14ac:dyDescent="0.25">
      <c r="B12" s="9" t="s">
        <v>129</v>
      </c>
      <c r="C12" s="25"/>
      <c r="D12" s="25"/>
      <c r="E12" s="25"/>
      <c r="F12" s="25"/>
      <c r="G12" s="25"/>
      <c r="H12" s="25"/>
      <c r="I12" s="10"/>
      <c r="J12" s="10"/>
      <c r="K12" s="10"/>
      <c r="L12" s="10"/>
      <c r="M12" s="10"/>
      <c r="N12" s="10"/>
    </row>
    <row r="13" spans="2:14" ht="30" x14ac:dyDescent="0.25">
      <c r="B13" s="9" t="s">
        <v>130</v>
      </c>
      <c r="C13" s="25"/>
      <c r="D13" s="25"/>
      <c r="E13" s="25"/>
      <c r="F13" s="25"/>
      <c r="G13" s="25"/>
      <c r="H13" s="25"/>
      <c r="I13" s="10"/>
      <c r="J13" s="10"/>
      <c r="K13" s="10"/>
      <c r="L13" s="10"/>
      <c r="M13" s="10"/>
      <c r="N13" s="10"/>
    </row>
  </sheetData>
  <mergeCells count="3">
    <mergeCell ref="C2:G2"/>
    <mergeCell ref="C4:G4"/>
    <mergeCell ref="C3:G3"/>
  </mergeCells>
  <pageMargins left="0.7" right="0.7" top="0.75" bottom="0.75" header="0.3" footer="0.3"/>
  <pageSetup paperSize="9"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27</vt:i4>
      </vt:variant>
    </vt:vector>
  </HeadingPairs>
  <TitlesOfParts>
    <vt:vector size="64" baseType="lpstr">
      <vt:lpstr>Index</vt:lpstr>
      <vt:lpstr>Summary </vt:lpstr>
      <vt:lpstr>DD1</vt:lpstr>
      <vt:lpstr>DD2</vt:lpstr>
      <vt:lpstr>DD3.1</vt:lpstr>
      <vt:lpstr>DD3.2</vt:lpstr>
      <vt:lpstr>DD3.3</vt:lpstr>
      <vt:lpstr>DD4</vt:lpstr>
      <vt:lpstr>DD5</vt:lpstr>
      <vt:lpstr>DD6</vt:lpstr>
      <vt:lpstr>DD7</vt:lpstr>
      <vt:lpstr>SH1</vt:lpstr>
      <vt:lpstr>CM1</vt:lpstr>
      <vt:lpstr>CM2</vt:lpstr>
      <vt:lpstr>CM3</vt:lpstr>
      <vt:lpstr>CM4</vt:lpstr>
      <vt:lpstr>CM5</vt:lpstr>
      <vt:lpstr>NA1</vt:lpstr>
      <vt:lpstr>NA2</vt:lpstr>
      <vt:lpstr>RJ1</vt:lpstr>
      <vt:lpstr>RJ2</vt:lpstr>
      <vt:lpstr>RJ3</vt:lpstr>
      <vt:lpstr>RJ4</vt:lpstr>
      <vt:lpstr>RJ5</vt:lpstr>
      <vt:lpstr>RJ6</vt:lpstr>
      <vt:lpstr>AB1</vt:lpstr>
      <vt:lpstr>AB2</vt:lpstr>
      <vt:lpstr>SJ1</vt:lpstr>
      <vt:lpstr>DS1</vt:lpstr>
      <vt:lpstr>PK1</vt:lpstr>
      <vt:lpstr>PK2</vt:lpstr>
      <vt:lpstr>PKD2</vt:lpstr>
      <vt:lpstr>PKD3</vt:lpstr>
      <vt:lpstr>PKD4</vt:lpstr>
      <vt:lpstr>PKD5</vt:lpstr>
      <vt:lpstr>PKD6</vt:lpstr>
      <vt:lpstr>PKD7</vt:lpstr>
      <vt:lpstr>'AB1'!Print_Area</vt:lpstr>
      <vt:lpstr>'AB2'!Print_Area</vt:lpstr>
      <vt:lpstr>'CM1'!Print_Area</vt:lpstr>
      <vt:lpstr>'CM2'!Print_Area</vt:lpstr>
      <vt:lpstr>'CM3'!Print_Area</vt:lpstr>
      <vt:lpstr>'CM4'!Print_Area</vt:lpstr>
      <vt:lpstr>'CM5'!Print_Area</vt:lpstr>
      <vt:lpstr>'DD1'!Print_Area</vt:lpstr>
      <vt:lpstr>DD3.1!Print_Area</vt:lpstr>
      <vt:lpstr>DD3.2!Print_Area</vt:lpstr>
      <vt:lpstr>DD3.3!Print_Area</vt:lpstr>
      <vt:lpstr>'DD4'!Print_Area</vt:lpstr>
      <vt:lpstr>'DD5'!Print_Area</vt:lpstr>
      <vt:lpstr>'DD7'!Print_Area</vt:lpstr>
      <vt:lpstr>'NA1'!Print_Area</vt:lpstr>
      <vt:lpstr>'NA2'!Print_Area</vt:lpstr>
      <vt:lpstr>'PK1'!Print_Area</vt:lpstr>
      <vt:lpstr>'PKD2'!Print_Area</vt:lpstr>
      <vt:lpstr>'PKD3'!Print_Area</vt:lpstr>
      <vt:lpstr>'PKD4'!Print_Area</vt:lpstr>
      <vt:lpstr>'PKD6'!Print_Area</vt:lpstr>
      <vt:lpstr>'PKD7'!Print_Area</vt:lpstr>
      <vt:lpstr>'RJ4'!Print_Area</vt:lpstr>
      <vt:lpstr>'RJ5'!Print_Area</vt:lpstr>
      <vt:lpstr>'RJ6'!Print_Area</vt:lpstr>
      <vt:lpstr>'SH1'!Print_Area</vt:lpstr>
      <vt:lpstr>'SJ1'!Print_Area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2017-04-13T13:45:56Z</dcterms:modified>
</cp:coreProperties>
</file>