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Summary" sheetId="4" r:id="rId1"/>
    <sheet name="ETS Baddi_Instrument" sheetId="10" r:id="rId2"/>
    <sheet name="Mech.sum" sheetId="14" r:id="rId3"/>
    <sheet name="Material" sheetId="11" r:id="rId4"/>
    <sheet name="Required material" sheetId="12" r:id="rId5"/>
    <sheet name="Services" sheetId="13" r:id="rId6"/>
    <sheet name="Sion stock" sheetId="15" r:id="rId7"/>
    <sheet name="Taloja stock" sheetId="16" r:id="rId8"/>
  </sheets>
  <externalReferences>
    <externalReference r:id="rId9"/>
  </externalReferences>
  <calcPr calcId="145621"/>
</workbook>
</file>

<file path=xl/calcChain.xml><?xml version="1.0" encoding="utf-8"?>
<calcChain xmlns="http://schemas.openxmlformats.org/spreadsheetml/2006/main">
  <c r="K19" i="16" l="1"/>
  <c r="H19" i="16"/>
  <c r="K18" i="16"/>
  <c r="H18" i="16"/>
  <c r="K17" i="16"/>
  <c r="H17" i="16"/>
  <c r="K16" i="16"/>
  <c r="H16" i="16"/>
  <c r="K15" i="16"/>
  <c r="H15" i="16"/>
  <c r="K14" i="16"/>
  <c r="H14" i="16"/>
  <c r="K13" i="16"/>
  <c r="H13" i="16"/>
  <c r="K12" i="16"/>
  <c r="H12" i="16"/>
  <c r="K11" i="16"/>
  <c r="H11" i="16"/>
  <c r="K10" i="16"/>
  <c r="H10" i="16"/>
  <c r="K9" i="16"/>
  <c r="H9" i="16"/>
  <c r="K8" i="16"/>
  <c r="H8" i="16"/>
  <c r="K7" i="16"/>
  <c r="H7" i="16"/>
  <c r="K6" i="16"/>
  <c r="H6" i="16"/>
  <c r="K5" i="16"/>
  <c r="H5" i="16"/>
  <c r="K4" i="16"/>
  <c r="K20" i="16" s="1"/>
  <c r="H4" i="16"/>
  <c r="G41" i="15"/>
  <c r="G38" i="15"/>
  <c r="G26" i="15"/>
  <c r="G23" i="15"/>
  <c r="G20" i="15"/>
  <c r="J20" i="12" s="1"/>
  <c r="J21" i="11" s="1"/>
  <c r="G12" i="15"/>
  <c r="G44" i="13"/>
  <c r="G43" i="13"/>
  <c r="G42" i="13"/>
  <c r="G41" i="13"/>
  <c r="G40" i="13"/>
  <c r="G39" i="13"/>
  <c r="G38" i="13"/>
  <c r="G37" i="13"/>
  <c r="G45" i="13" s="1"/>
  <c r="G31" i="13"/>
  <c r="G30" i="13"/>
  <c r="G29" i="13"/>
  <c r="G28" i="13"/>
  <c r="G27" i="13"/>
  <c r="G26" i="13"/>
  <c r="G25" i="13"/>
  <c r="G24" i="13"/>
  <c r="G23" i="13"/>
  <c r="G22" i="13"/>
  <c r="D21" i="13"/>
  <c r="G21" i="13" s="1"/>
  <c r="G20" i="13"/>
  <c r="G19" i="13"/>
  <c r="G18" i="13"/>
  <c r="G17" i="13"/>
  <c r="G15" i="13"/>
  <c r="G14" i="13"/>
  <c r="G13" i="13"/>
  <c r="G12" i="13"/>
  <c r="G11" i="13"/>
  <c r="G10" i="13"/>
  <c r="D8" i="13"/>
  <c r="G8" i="13" s="1"/>
  <c r="K50" i="12"/>
  <c r="H50" i="12"/>
  <c r="K49" i="12"/>
  <c r="H49" i="12"/>
  <c r="K48" i="12"/>
  <c r="H48" i="12"/>
  <c r="K47" i="12"/>
  <c r="H47" i="12"/>
  <c r="K46" i="12"/>
  <c r="H46" i="12"/>
  <c r="K45" i="12"/>
  <c r="H45" i="12"/>
  <c r="K44" i="12"/>
  <c r="H44" i="12"/>
  <c r="K43" i="12"/>
  <c r="H43" i="12"/>
  <c r="K42" i="12"/>
  <c r="H42" i="12"/>
  <c r="K41" i="12"/>
  <c r="H41" i="12"/>
  <c r="K40" i="12"/>
  <c r="H40" i="12"/>
  <c r="K39" i="12"/>
  <c r="H39" i="12"/>
  <c r="K38" i="12"/>
  <c r="H38" i="12"/>
  <c r="K37" i="12"/>
  <c r="H37" i="12"/>
  <c r="K36" i="12"/>
  <c r="H36" i="12"/>
  <c r="K35" i="12"/>
  <c r="H35" i="12"/>
  <c r="K34" i="12"/>
  <c r="H34" i="12"/>
  <c r="K33" i="12"/>
  <c r="H33" i="12"/>
  <c r="K32" i="12"/>
  <c r="H32" i="12"/>
  <c r="K31" i="12"/>
  <c r="H31" i="12"/>
  <c r="K30" i="12"/>
  <c r="H30" i="12"/>
  <c r="K29" i="12"/>
  <c r="H29" i="12"/>
  <c r="K28" i="12"/>
  <c r="H28" i="12"/>
  <c r="K27" i="12"/>
  <c r="H27" i="12"/>
  <c r="K26" i="12"/>
  <c r="H26" i="12"/>
  <c r="K25" i="12"/>
  <c r="K51" i="12" s="1"/>
  <c r="H52" i="11" s="1"/>
  <c r="H25" i="12"/>
  <c r="L20" i="12"/>
  <c r="L21" i="11" s="1"/>
  <c r="H20" i="12"/>
  <c r="M20" i="12" s="1"/>
  <c r="K18" i="12"/>
  <c r="H18" i="12"/>
  <c r="J18" i="12" s="1"/>
  <c r="L17" i="12"/>
  <c r="M17" i="12" s="1"/>
  <c r="K17" i="12"/>
  <c r="J17" i="12"/>
  <c r="H17" i="12"/>
  <c r="H16" i="12"/>
  <c r="L16" i="12" s="1"/>
  <c r="L15" i="12"/>
  <c r="M15" i="12" s="1"/>
  <c r="J15" i="12"/>
  <c r="H15" i="12"/>
  <c r="K15" i="12" s="1"/>
  <c r="K14" i="12"/>
  <c r="H14" i="12"/>
  <c r="J14" i="12" s="1"/>
  <c r="L13" i="12"/>
  <c r="M13" i="12" s="1"/>
  <c r="K13" i="12"/>
  <c r="J13" i="12"/>
  <c r="H13" i="12"/>
  <c r="H12" i="12"/>
  <c r="L12" i="12" s="1"/>
  <c r="L11" i="12"/>
  <c r="J11" i="12"/>
  <c r="H11" i="12"/>
  <c r="K11" i="12" s="1"/>
  <c r="H10" i="12"/>
  <c r="J10" i="12" s="1"/>
  <c r="L9" i="12"/>
  <c r="M9" i="12" s="1"/>
  <c r="K9" i="12"/>
  <c r="J9" i="12"/>
  <c r="H9" i="12"/>
  <c r="H8" i="12"/>
  <c r="L8" i="12" s="1"/>
  <c r="L7" i="12"/>
  <c r="M7" i="12" s="1"/>
  <c r="J7" i="12"/>
  <c r="H7" i="12"/>
  <c r="K7" i="12" s="1"/>
  <c r="H6" i="12"/>
  <c r="J6" i="12" s="1"/>
  <c r="L5" i="12"/>
  <c r="M5" i="12" s="1"/>
  <c r="K5" i="12"/>
  <c r="J5" i="12"/>
  <c r="H5" i="12"/>
  <c r="H4" i="12"/>
  <c r="L4" i="12" s="1"/>
  <c r="L3" i="12"/>
  <c r="J3" i="12"/>
  <c r="H3" i="12"/>
  <c r="H19" i="12" s="1"/>
  <c r="P56" i="11"/>
  <c r="H49" i="11"/>
  <c r="H48" i="11"/>
  <c r="H47" i="11"/>
  <c r="H46" i="11"/>
  <c r="H45" i="11"/>
  <c r="H44" i="11"/>
  <c r="H43" i="11"/>
  <c r="Q42" i="11"/>
  <c r="H42" i="11"/>
  <c r="Q41" i="11"/>
  <c r="H41" i="11"/>
  <c r="Q40" i="11"/>
  <c r="H40" i="11"/>
  <c r="Q39" i="11"/>
  <c r="H39" i="11"/>
  <c r="Q38" i="11"/>
  <c r="H38" i="11"/>
  <c r="Q37" i="11"/>
  <c r="H37" i="11"/>
  <c r="Q36" i="11"/>
  <c r="H36" i="11"/>
  <c r="Q35" i="11"/>
  <c r="H35" i="11"/>
  <c r="Q34" i="11"/>
  <c r="H34" i="11"/>
  <c r="Q33" i="11"/>
  <c r="H33" i="11"/>
  <c r="Q32" i="11"/>
  <c r="H32" i="11"/>
  <c r="Q31" i="11"/>
  <c r="H31" i="11"/>
  <c r="Q30" i="11"/>
  <c r="H30" i="11"/>
  <c r="Q29" i="11"/>
  <c r="H29" i="11"/>
  <c r="Q28" i="11"/>
  <c r="Q43" i="11" s="1"/>
  <c r="Q46" i="11" s="1"/>
  <c r="D16" i="13" s="1"/>
  <c r="G16" i="13" s="1"/>
  <c r="H28" i="11"/>
  <c r="H27" i="11"/>
  <c r="H26" i="11"/>
  <c r="H25" i="11"/>
  <c r="P24" i="11"/>
  <c r="H24" i="11"/>
  <c r="H50" i="11" s="1"/>
  <c r="H51" i="11" s="1"/>
  <c r="R23" i="11"/>
  <c r="Q23" i="11"/>
  <c r="R22" i="11"/>
  <c r="Q22" i="11"/>
  <c r="R21" i="11"/>
  <c r="Q21" i="11"/>
  <c r="R20" i="11"/>
  <c r="Q20" i="11"/>
  <c r="R19" i="11"/>
  <c r="Q19" i="11"/>
  <c r="L19" i="11"/>
  <c r="M19" i="11" s="1"/>
  <c r="J19" i="11"/>
  <c r="H19" i="11"/>
  <c r="K19" i="11" s="1"/>
  <c r="Q18" i="11"/>
  <c r="Q24" i="11" s="1"/>
  <c r="D7" i="13" s="1"/>
  <c r="G7" i="13" s="1"/>
  <c r="L18" i="11"/>
  <c r="M18" i="11" s="1"/>
  <c r="K18" i="11"/>
  <c r="J18" i="11"/>
  <c r="H18" i="11"/>
  <c r="R17" i="11"/>
  <c r="Q17" i="11"/>
  <c r="K17" i="11"/>
  <c r="H17" i="11"/>
  <c r="L17" i="11" s="1"/>
  <c r="L16" i="11"/>
  <c r="M16" i="11" s="1"/>
  <c r="K16" i="11"/>
  <c r="J16" i="11"/>
  <c r="H16" i="11"/>
  <c r="H15" i="11"/>
  <c r="J15" i="11" s="1"/>
  <c r="L14" i="11"/>
  <c r="J14" i="11"/>
  <c r="H14" i="11"/>
  <c r="K14" i="11" s="1"/>
  <c r="P13" i="11"/>
  <c r="H13" i="11"/>
  <c r="J13" i="11" s="1"/>
  <c r="Q12" i="11"/>
  <c r="K12" i="11"/>
  <c r="H12" i="11"/>
  <c r="L12" i="11" s="1"/>
  <c r="Q11" i="11"/>
  <c r="H11" i="11"/>
  <c r="J11" i="11" s="1"/>
  <c r="Q10" i="11"/>
  <c r="K10" i="11"/>
  <c r="H10" i="11"/>
  <c r="L10" i="11" s="1"/>
  <c r="Q9" i="11"/>
  <c r="H9" i="11"/>
  <c r="J9" i="11" s="1"/>
  <c r="Q8" i="11"/>
  <c r="K8" i="11"/>
  <c r="H8" i="11"/>
  <c r="L8" i="11" s="1"/>
  <c r="R7" i="11"/>
  <c r="Q7" i="11"/>
  <c r="L7" i="11"/>
  <c r="J7" i="11"/>
  <c r="H7" i="11"/>
  <c r="K7" i="11" s="1"/>
  <c r="R6" i="11"/>
  <c r="Q6" i="11"/>
  <c r="H6" i="11"/>
  <c r="J6" i="11" s="1"/>
  <c r="R5" i="11"/>
  <c r="Q5" i="11"/>
  <c r="Q13" i="11" s="1"/>
  <c r="D9" i="13" s="1"/>
  <c r="G9" i="13" s="1"/>
  <c r="L5" i="11"/>
  <c r="M5" i="11" s="1"/>
  <c r="K5" i="11"/>
  <c r="J5" i="11"/>
  <c r="H5" i="11"/>
  <c r="R4" i="11"/>
  <c r="Q4" i="11"/>
  <c r="K4" i="11"/>
  <c r="H4" i="11"/>
  <c r="L4" i="11" s="1"/>
  <c r="M4" i="11" l="1"/>
  <c r="G46" i="13"/>
  <c r="G47" i="13" s="1"/>
  <c r="E6" i="14"/>
  <c r="F6" i="14" s="1"/>
  <c r="M11" i="12"/>
  <c r="M7" i="11"/>
  <c r="M10" i="11"/>
  <c r="M14" i="11"/>
  <c r="G32" i="13"/>
  <c r="K6" i="11"/>
  <c r="K20" i="11" s="1"/>
  <c r="K22" i="11" s="1"/>
  <c r="K9" i="11"/>
  <c r="K11" i="11"/>
  <c r="K13" i="11"/>
  <c r="K15" i="11"/>
  <c r="H20" i="11"/>
  <c r="K6" i="12"/>
  <c r="K10" i="12"/>
  <c r="H21" i="12"/>
  <c r="M21" i="12" s="1"/>
  <c r="J4" i="11"/>
  <c r="L6" i="11"/>
  <c r="J8" i="11"/>
  <c r="M8" i="11" s="1"/>
  <c r="L9" i="11"/>
  <c r="M9" i="11" s="1"/>
  <c r="J10" i="11"/>
  <c r="L11" i="11"/>
  <c r="M11" i="11" s="1"/>
  <c r="J12" i="11"/>
  <c r="M12" i="11" s="1"/>
  <c r="L13" i="11"/>
  <c r="M13" i="11" s="1"/>
  <c r="L15" i="11"/>
  <c r="J17" i="11"/>
  <c r="M17" i="11" s="1"/>
  <c r="K3" i="12"/>
  <c r="M3" i="12" s="1"/>
  <c r="J4" i="12"/>
  <c r="J19" i="12" s="1"/>
  <c r="L6" i="12"/>
  <c r="J8" i="12"/>
  <c r="M8" i="12" s="1"/>
  <c r="L10" i="12"/>
  <c r="M10" i="12" s="1"/>
  <c r="J12" i="12"/>
  <c r="L14" i="12"/>
  <c r="M14" i="12" s="1"/>
  <c r="J16" i="12"/>
  <c r="L18" i="12"/>
  <c r="M18" i="12" s="1"/>
  <c r="K4" i="12"/>
  <c r="M4" i="12" s="1"/>
  <c r="K8" i="12"/>
  <c r="K12" i="12"/>
  <c r="M12" i="12" s="1"/>
  <c r="K16" i="12"/>
  <c r="M16" i="12" s="1"/>
  <c r="L19" i="12"/>
  <c r="M19" i="12" l="1"/>
  <c r="M22" i="12" s="1"/>
  <c r="G33" i="13"/>
  <c r="G34" i="13" s="1"/>
  <c r="E5" i="14"/>
  <c r="F5" i="14" s="1"/>
  <c r="M6" i="11"/>
  <c r="M20" i="11" s="1"/>
  <c r="M22" i="11" s="1"/>
  <c r="E4" i="14" s="1"/>
  <c r="H21" i="11"/>
  <c r="M21" i="11" s="1"/>
  <c r="M6" i="12"/>
  <c r="M15" i="11"/>
  <c r="J20" i="11"/>
  <c r="J22" i="11" s="1"/>
  <c r="H22" i="11"/>
  <c r="K19" i="12"/>
  <c r="L20" i="11"/>
  <c r="L22" i="11" s="1"/>
  <c r="E7" i="14" l="1"/>
  <c r="F4" i="14"/>
  <c r="F7" i="14" s="1"/>
  <c r="G7" i="14" s="1"/>
  <c r="J20" i="10" l="1"/>
  <c r="J18" i="10"/>
  <c r="J17" i="10"/>
  <c r="J16" i="10"/>
  <c r="J15" i="10"/>
  <c r="J14" i="10"/>
  <c r="J13" i="10"/>
  <c r="J12" i="10"/>
  <c r="J11" i="10"/>
  <c r="J10" i="10"/>
  <c r="J9" i="10"/>
  <c r="J8" i="10"/>
  <c r="J7" i="10"/>
  <c r="J6" i="10"/>
  <c r="J5" i="10"/>
  <c r="J4" i="10"/>
  <c r="J3" i="10"/>
  <c r="I11" i="4" l="1"/>
  <c r="I34" i="4" s="1"/>
  <c r="I35" i="4" s="1"/>
</calcChain>
</file>

<file path=xl/sharedStrings.xml><?xml version="1.0" encoding="utf-8"?>
<sst xmlns="http://schemas.openxmlformats.org/spreadsheetml/2006/main" count="681" uniqueCount="284">
  <si>
    <t>Material</t>
  </si>
  <si>
    <t>MOC</t>
  </si>
  <si>
    <t>Size</t>
  </si>
  <si>
    <t>Qty</t>
  </si>
  <si>
    <t>Unit</t>
  </si>
  <si>
    <t>Rate</t>
  </si>
  <si>
    <t>Amount</t>
  </si>
  <si>
    <t>Pipe</t>
  </si>
  <si>
    <t>CS A106</t>
  </si>
  <si>
    <t>4"</t>
  </si>
  <si>
    <t>M</t>
  </si>
  <si>
    <t>TF circulation</t>
  </si>
  <si>
    <t>3"</t>
  </si>
  <si>
    <t>TFS/TFR</t>
  </si>
  <si>
    <t>2"</t>
  </si>
  <si>
    <t>Drain</t>
  </si>
  <si>
    <t>1"</t>
  </si>
  <si>
    <t>vent</t>
  </si>
  <si>
    <t>CS IS1239</t>
  </si>
  <si>
    <t>CW to E-710</t>
  </si>
  <si>
    <t>drain</t>
  </si>
  <si>
    <t>1.5"</t>
  </si>
  <si>
    <t>CW to V700</t>
  </si>
  <si>
    <t>1/2"</t>
  </si>
  <si>
    <t>Misc</t>
  </si>
  <si>
    <t>SS304</t>
  </si>
  <si>
    <t>Vacuum</t>
  </si>
  <si>
    <t>Feed to pump</t>
  </si>
  <si>
    <t>Feed to reactor</t>
  </si>
  <si>
    <t>Product to flaker</t>
  </si>
  <si>
    <t>N2</t>
  </si>
  <si>
    <t>SS316L</t>
  </si>
  <si>
    <t>E-708 location at boiler house</t>
  </si>
  <si>
    <t>transfer line to V700</t>
  </si>
  <si>
    <t>Remark</t>
  </si>
  <si>
    <t>Steam Tracing</t>
  </si>
  <si>
    <t>Valve</t>
  </si>
  <si>
    <t>0.5</t>
  </si>
  <si>
    <t>Trap</t>
  </si>
  <si>
    <t xml:space="preserve">Valve </t>
  </si>
  <si>
    <t>Bellow seal</t>
  </si>
  <si>
    <t>Nos</t>
  </si>
  <si>
    <t>nos</t>
  </si>
  <si>
    <t>SS 316L</t>
  </si>
  <si>
    <t>CS gate/NRV</t>
  </si>
  <si>
    <t>CS</t>
  </si>
  <si>
    <t>Strainer</t>
  </si>
  <si>
    <t>Vessel trim</t>
  </si>
  <si>
    <t>AU</t>
  </si>
  <si>
    <t>Misc material</t>
  </si>
  <si>
    <t>(SV/FV/Hoses)</t>
  </si>
  <si>
    <t xml:space="preserve">12.5 mm </t>
  </si>
  <si>
    <t>Equipment erection</t>
  </si>
  <si>
    <t>N2 plant</t>
  </si>
  <si>
    <t>V700</t>
  </si>
  <si>
    <t>Exchanger 2 nos</t>
  </si>
  <si>
    <t>Storage tank</t>
  </si>
  <si>
    <t>Water tank</t>
  </si>
  <si>
    <t>Pump 5 nos</t>
  </si>
  <si>
    <t>Mechanical execution costing for VEGA ETS @ Baddi Hydrogenation unit</t>
  </si>
  <si>
    <t>Sr No.</t>
  </si>
  <si>
    <t>Description</t>
  </si>
  <si>
    <t>Total</t>
  </si>
  <si>
    <t>A</t>
  </si>
  <si>
    <t>Piping</t>
  </si>
  <si>
    <t>SS 316L Pipe Fabriction and erection</t>
  </si>
  <si>
    <t>INM</t>
  </si>
  <si>
    <t>Steam tracing fabriction and erection</t>
  </si>
  <si>
    <t>RNM</t>
  </si>
  <si>
    <t>CS pipe fabrication and erection</t>
  </si>
  <si>
    <t>SS shoe support Fab and erection</t>
  </si>
  <si>
    <t>IND</t>
  </si>
  <si>
    <t>CS shoe support fab and erection</t>
  </si>
  <si>
    <t>Spring support erection</t>
  </si>
  <si>
    <t>Trunion support Fab and erection</t>
  </si>
  <si>
    <t xml:space="preserve">SS Modification </t>
  </si>
  <si>
    <t>CS Modification</t>
  </si>
  <si>
    <t>Valve installation</t>
  </si>
  <si>
    <t>DP test</t>
  </si>
  <si>
    <t>Radiography</t>
  </si>
  <si>
    <t>Dismentling of SS pipe</t>
  </si>
  <si>
    <t>Dismentling of CS pipe</t>
  </si>
  <si>
    <t>Erection of rotary equipment</t>
  </si>
  <si>
    <t>MT</t>
  </si>
  <si>
    <t>Erection of static equipment</t>
  </si>
  <si>
    <t>Existing V700 dismantling@ Sion and shifting @ Baddi</t>
  </si>
  <si>
    <t>Dismentling and shifting of rotary euipment</t>
  </si>
  <si>
    <t>Material Unloading</t>
  </si>
  <si>
    <t>Manpower supply</t>
  </si>
  <si>
    <t>Detail Engineering</t>
  </si>
  <si>
    <t>Chemical cleaning</t>
  </si>
  <si>
    <t>Pipe support</t>
  </si>
  <si>
    <t>Material Inspection</t>
  </si>
  <si>
    <t>Dismantling of existing Equipment</t>
  </si>
  <si>
    <t>Service charges 14.5%</t>
  </si>
  <si>
    <t>B</t>
  </si>
  <si>
    <t>Insulation</t>
  </si>
  <si>
    <t>Removal of insulation</t>
  </si>
  <si>
    <t>LRB 50mm with 24swg  aluminum cladding</t>
  </si>
  <si>
    <t>m2</t>
  </si>
  <si>
    <t>LRB 150 mm with 24 swg aluminum cladding</t>
  </si>
  <si>
    <t>LRB 170 mm with 22 swg aluminum cladding</t>
  </si>
  <si>
    <t>Aluminum foil 0.1 mm thk</t>
  </si>
  <si>
    <t>Scaffolding</t>
  </si>
  <si>
    <t>Fittings 50%</t>
  </si>
  <si>
    <t>Gasket 10%</t>
  </si>
  <si>
    <t>Stud &amp; nut 7.5%</t>
  </si>
  <si>
    <t>SS PIPE</t>
  </si>
  <si>
    <t>CS PIPE</t>
  </si>
  <si>
    <t>LRB 80 mm with 24swg aluminum clading</t>
  </si>
  <si>
    <t>LRB 120 mm with 24 swg aluminum cladding</t>
  </si>
  <si>
    <t>Sr.no.</t>
  </si>
  <si>
    <t>Services</t>
  </si>
  <si>
    <t>Tax</t>
  </si>
  <si>
    <t>Summary</t>
  </si>
  <si>
    <t>W/O tax</t>
  </si>
  <si>
    <t>only tax</t>
  </si>
  <si>
    <t>With tax</t>
  </si>
  <si>
    <t>10% Random</t>
  </si>
  <si>
    <t>Not consider</t>
  </si>
  <si>
    <t>Costing: VEGA ETS at Hydrogenation Plant Baddi (Considering MCT Sion Equipments)</t>
  </si>
  <si>
    <t xml:space="preserve">Feasibility is being explored for producing VEGA ETS at Baddi hydrogenation plant. The baddi hydrogenation plant is currently operating with MP steam. The hydrogenator will operate for the reaction through circulation mode using TF heat exchanger. TF piping with temperature control system - primary will need to be incorporated. Condenser unit, vacuum / nitrogen purging system to be incorporated. Existing V701- 13KL hydrogenator, V700- 8KL Discharge Tank as Bleacher, E706 cooler, AMA filter, Candle filter, Flaker will be used as is basis.
The expected capacity of VEGA ETS production with this set up will be 6.75 MT per day considering 1.5 batch/day. Annual production will be 2362.5 MT.
The detailed first cut cost is provided in the table below.
</t>
  </si>
  <si>
    <t>New Equipments cost</t>
  </si>
  <si>
    <t>Rs. Lakh</t>
  </si>
  <si>
    <t>Asset transfer cost of relocated equipments</t>
  </si>
  <si>
    <t>a</t>
  </si>
  <si>
    <t>b</t>
  </si>
  <si>
    <t>transportation from sion to baddi</t>
  </si>
  <si>
    <t>c</t>
  </si>
  <si>
    <t>Crane cost at Sion - 1 shifts</t>
  </si>
  <si>
    <t>d</t>
  </si>
  <si>
    <t>Crane cost at Baddi - 1 shifts</t>
  </si>
  <si>
    <t>Mechanical costing</t>
  </si>
  <si>
    <t>Mechanical material</t>
  </si>
  <si>
    <t>Mechanical service</t>
  </si>
  <si>
    <t>Insulation Supply</t>
  </si>
  <si>
    <t>Insulation service</t>
  </si>
  <si>
    <t>Refurbushing of existing equipments (on need basis)</t>
  </si>
  <si>
    <t>Commissioning consummables</t>
  </si>
  <si>
    <t>Instrumentation cost - Materials</t>
  </si>
  <si>
    <t>Instrumentation cost - Services</t>
  </si>
  <si>
    <t>Civil cost - Materials</t>
  </si>
  <si>
    <t>Civil cost - Services</t>
  </si>
  <si>
    <t xml:space="preserve"> Electrical cost - Materials</t>
  </si>
  <si>
    <t xml:space="preserve"> Electrical cost - Services</t>
  </si>
  <si>
    <t>Thermic fluid Cost - Hitherm 600</t>
  </si>
  <si>
    <t>Weighing, Bagging &amp; stitching system</t>
  </si>
  <si>
    <t>Multimill</t>
  </si>
  <si>
    <t>without taxes</t>
  </si>
  <si>
    <t>Based on batch size of 4.5 MT &amp; 1.5 batch per day, the annual production capacity will be 2362.5 MT</t>
  </si>
  <si>
    <t>Sion</t>
  </si>
  <si>
    <t>Taloja</t>
  </si>
  <si>
    <t>Stock Statement of Sion Plant as on 31.03.2016</t>
  </si>
  <si>
    <t>Plant Code</t>
  </si>
  <si>
    <t>Material Code</t>
  </si>
  <si>
    <t>Material Description</t>
  </si>
  <si>
    <t xml:space="preserve">          Closing Stock</t>
  </si>
  <si>
    <t>UOM</t>
  </si>
  <si>
    <t xml:space="preserve">          Closing Value</t>
  </si>
  <si>
    <t>Curr</t>
  </si>
  <si>
    <t>ELBOW SS304 1" R=1.5D SMLS SCH40</t>
  </si>
  <si>
    <t>NOS</t>
  </si>
  <si>
    <t>INR</t>
  </si>
  <si>
    <t>ELBOW CS 1.1/2" R=1.5D SMLS</t>
  </si>
  <si>
    <t>ELBOW CS 3" R=1.5D SMLS SCH40</t>
  </si>
  <si>
    <t>ELBOW CS 90D 4" SMLS SCH40</t>
  </si>
  <si>
    <t>ELBOW CS TO ASTM 234 WPB 2" R=1.5D SCH40</t>
  </si>
  <si>
    <t>ELBOW SS316L 4" R=1.5D ERW SCH40</t>
  </si>
  <si>
    <t>ELBOW SS304L 2" R=1.5D ERW SCH10</t>
  </si>
  <si>
    <t>BOLT &amp; NUT MS 1/2"X1.1/2"</t>
  </si>
  <si>
    <t>KG</t>
  </si>
  <si>
    <t>BOLT &amp; NUT MS 1/2"X2"</t>
  </si>
  <si>
    <t>BOLT &amp; NUT MS 1/2"X2.1/2"</t>
  </si>
  <si>
    <t>BOLT &amp; NUT MS 3/4"X4.1/2"</t>
  </si>
  <si>
    <t>BOLT &amp; NUT MS 3/4"X5"</t>
  </si>
  <si>
    <t>BOLT &amp; NUT MS 3/4"X6"</t>
  </si>
  <si>
    <t>BOLT &amp; NUT MS 5/8"X3.1/2"</t>
  </si>
  <si>
    <t>BOLT &amp; NUT MS 5/8"X4"</t>
  </si>
  <si>
    <t>FLANGE SS316 4" 150#</t>
  </si>
  <si>
    <t>TUBE SS304 SMLS 3/8"X1.2"</t>
  </si>
  <si>
    <t>PIPE ASTMA312TP316 BE 4" ERW SCH40</t>
  </si>
  <si>
    <t>STEAM TRAP 1/2" THERMODYNAMIC</t>
  </si>
  <si>
    <t>STEAM TRAP BPT21 SE 1/2" THERMOSTATIC</t>
  </si>
  <si>
    <t>VALVE BALL SS A351 CF3M FE 3" 150#</t>
  </si>
  <si>
    <t>VALVE BALL SS FE 1/2"</t>
  </si>
  <si>
    <t>VALVE BALL SS304 1"</t>
  </si>
  <si>
    <t>VALVE BALL SS304 1.1/2"</t>
  </si>
  <si>
    <t>VALVE BALL SS304 2"</t>
  </si>
  <si>
    <t>VALVE BALL SS304 3"</t>
  </si>
  <si>
    <t>VALVE BALL SS316 1"</t>
  </si>
  <si>
    <t>VALVE BALL SS316 2"</t>
  </si>
  <si>
    <t>VALVE GLOBE CS FE 3" 300#</t>
  </si>
  <si>
    <t>VALVE GATE SS316 FE 4" 10KG/CM2</t>
  </si>
  <si>
    <t>VALVE GATE SS316L 1" 150#</t>
  </si>
  <si>
    <t>SPECTACLE BLIND SS304 3MM THK - 40 NB</t>
  </si>
  <si>
    <t>Ball valve ,150#</t>
  </si>
  <si>
    <t>Ball valve ,150#-SS304/SS316L</t>
  </si>
  <si>
    <t>Gate valve,150#/SS316</t>
  </si>
  <si>
    <t>Ball valve ,150#/SS 316 (gate v-2 nos avail.</t>
  </si>
  <si>
    <t>QTY.</t>
  </si>
  <si>
    <t>SS316 ,ERW,Sch.40</t>
  </si>
  <si>
    <t>Sion material cost</t>
  </si>
  <si>
    <t>Required Material cost</t>
  </si>
  <si>
    <t>Req. Qty.</t>
  </si>
  <si>
    <t>Required cost</t>
  </si>
  <si>
    <t xml:space="preserve">Instrumentation costing for Vega ETS @Loop reactor Baddi </t>
  </si>
  <si>
    <t>Sr. No.</t>
  </si>
  <si>
    <t>Tag No.</t>
  </si>
  <si>
    <t>Type of Instrument</t>
  </si>
  <si>
    <t>AI/AO</t>
  </si>
  <si>
    <t>Remarks</t>
  </si>
  <si>
    <t>unit Cost</t>
  </si>
  <si>
    <t>Cost</t>
  </si>
  <si>
    <t>FT 301</t>
  </si>
  <si>
    <t>Flow Transmitter</t>
  </si>
  <si>
    <t>AI</t>
  </si>
  <si>
    <t>V-701</t>
  </si>
  <si>
    <t>25NB</t>
  </si>
  <si>
    <t>At Actual Site 40 NB present/ Display card faulty</t>
  </si>
  <si>
    <t>FCV 301</t>
  </si>
  <si>
    <t>Control Valve</t>
  </si>
  <si>
    <t>AO</t>
  </si>
  <si>
    <t>25 NB</t>
  </si>
  <si>
    <t>40 NB Present at site/ Servicing required/Loc: baddi plant</t>
  </si>
  <si>
    <t>E-705 TF control valve</t>
  </si>
  <si>
    <t>80 NB</t>
  </si>
  <si>
    <t>Available in Plant C302 -for TF line after TF secondary loop Project TCV-3411 Samson Servicing required Loc : Taloja Plant/Considered trim set change of valve-Sizing required.</t>
  </si>
  <si>
    <t>TT</t>
  </si>
  <si>
    <t>Temp Transmitter</t>
  </si>
  <si>
    <t xml:space="preserve">E-705, </t>
  </si>
  <si>
    <t>TT available at taloja 3 no's, TW &amp; RTD new Procurement required</t>
  </si>
  <si>
    <t xml:space="preserve">LT </t>
  </si>
  <si>
    <t>Level Transmitter</t>
  </si>
  <si>
    <t>V-700/ V701</t>
  </si>
  <si>
    <t>cancelled.--as per instruction of Anandrao sir</t>
  </si>
  <si>
    <t>PG</t>
  </si>
  <si>
    <t>Pressure gauge</t>
  </si>
  <si>
    <t>L</t>
  </si>
  <si>
    <t xml:space="preserve"> various loc-Pump outlet, E710</t>
  </si>
  <si>
    <t>Not working/ New Proc./ Checking required</t>
  </si>
  <si>
    <t>TG</t>
  </si>
  <si>
    <t xml:space="preserve"> various loc-E705, E710</t>
  </si>
  <si>
    <t>V-715</t>
  </si>
  <si>
    <t>New Procurement-Material service/Non cotact type radar or Capillary type required.</t>
  </si>
  <si>
    <t>Instrument cable</t>
  </si>
  <si>
    <t>Single pair /3 core power cable to controller /Power JB</t>
  </si>
  <si>
    <t>cable tray &amp; structure steel</t>
  </si>
  <si>
    <t xml:space="preserve"> </t>
  </si>
  <si>
    <t>Junction box</t>
  </si>
  <si>
    <t xml:space="preserve"> new procurement for Power </t>
  </si>
  <si>
    <t>cable gland &amp; misc.</t>
  </si>
  <si>
    <t>Fitting material &amp; Cu tube</t>
  </si>
  <si>
    <t>High pressure/High temp suitable fitting material</t>
  </si>
  <si>
    <t>Misc. items/Inline TW/accessories</t>
  </si>
  <si>
    <t>Controller &amp; Indicators</t>
  </si>
  <si>
    <t>With Mounting</t>
  </si>
  <si>
    <t>Service for Instrumentation Erection</t>
  </si>
  <si>
    <t>Service cost for Inst Erection installation</t>
  </si>
  <si>
    <t>Dismantle HE-2nos at sion for dispatch to Baddi</t>
  </si>
  <si>
    <t>08 KL MCT bleacher vessel, HE-2nos &amp; pumps shifting fom Sion</t>
  </si>
  <si>
    <t>New Piping Material cost</t>
  </si>
  <si>
    <t>Available Sion + Taloja</t>
  </si>
  <si>
    <t xml:space="preserve">Final Required material cost </t>
  </si>
  <si>
    <t>Total valve cost</t>
  </si>
  <si>
    <t>Available at Sion and Taloja</t>
  </si>
  <si>
    <t>Final amount required against valve</t>
  </si>
  <si>
    <t>Taloja material cost</t>
  </si>
  <si>
    <t>gate valve,150#</t>
  </si>
  <si>
    <t>Gate valve,150#</t>
  </si>
  <si>
    <t>800#,SW,gate</t>
  </si>
  <si>
    <t>Y type,150#</t>
  </si>
  <si>
    <t>SS316,Y-type,150#</t>
  </si>
  <si>
    <t>SS304,Y-type,150#</t>
  </si>
  <si>
    <t>SPECTACLE BLIND SS304 3MM THK - 50 NB</t>
  </si>
  <si>
    <t>Taloja available material stock</t>
  </si>
  <si>
    <t xml:space="preserve"> Req.Qty</t>
  </si>
  <si>
    <t>Taloja Qty.</t>
  </si>
  <si>
    <t xml:space="preserve"> To be ordered qty.</t>
  </si>
  <si>
    <t xml:space="preserve">SS316L,Sch.40 </t>
  </si>
  <si>
    <t>Cash Flow</t>
  </si>
  <si>
    <t>02.06.16</t>
  </si>
  <si>
    <t>09.06.16</t>
  </si>
  <si>
    <t>N2 PRV system</t>
  </si>
  <si>
    <t>New Procurement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</si>
</sst>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7" x14ac:knownFonts="1">
    <font>
      <sz val="11"/>
      <color theme="1"/>
      <name val="Calibri"/>
      <family val="2"/>
      <scheme val="minor"/>
    </font>
    <font>
      <b/>
      <sz val="11"/>
      <color theme="1"/>
      <name val="Calibri"/>
      <family val="2"/>
      <scheme val="minor"/>
    </font>
    <font>
      <b/>
      <sz val="12"/>
      <name val="Calibri"/>
      <family val="2"/>
      <scheme val="minor"/>
    </font>
    <font>
      <b/>
      <sz val="10"/>
      <name val="Calibri"/>
      <family val="2"/>
      <scheme val="minor"/>
    </font>
    <font>
      <sz val="10"/>
      <name val="Calibri"/>
      <family val="2"/>
      <scheme val="minor"/>
    </font>
    <font>
      <sz val="10"/>
      <color rgb="FFFF0000"/>
      <name val="Calibri"/>
      <family val="2"/>
      <scheme val="minor"/>
    </font>
    <font>
      <sz val="10"/>
      <color theme="1"/>
      <name val="Calibri"/>
      <family val="2"/>
      <scheme val="minor"/>
    </font>
    <font>
      <b/>
      <sz val="10"/>
      <color indexed="10"/>
      <name val="Calibri"/>
      <family val="2"/>
      <scheme val="minor"/>
    </font>
    <font>
      <b/>
      <sz val="10"/>
      <color theme="1"/>
      <name val="Calibri"/>
      <family val="2"/>
      <scheme val="minor"/>
    </font>
    <font>
      <b/>
      <sz val="10"/>
      <color rgb="FFFF0000"/>
      <name val="Calibri"/>
      <family val="2"/>
      <scheme val="minor"/>
    </font>
    <font>
      <sz val="11"/>
      <color rgb="FFFF0000"/>
      <name val="Calibri"/>
      <family val="2"/>
      <scheme val="minor"/>
    </font>
    <font>
      <b/>
      <u/>
      <sz val="12"/>
      <color theme="1"/>
      <name val="Calibri"/>
      <family val="2"/>
      <scheme val="minor"/>
    </font>
    <font>
      <sz val="11"/>
      <color rgb="FF000000"/>
      <name val="Calibri"/>
      <family val="2"/>
    </font>
    <font>
      <b/>
      <sz val="12"/>
      <color theme="1"/>
      <name val="Calibri"/>
      <family val="2"/>
      <scheme val="minor"/>
    </font>
    <font>
      <sz val="11"/>
      <name val="Calibri"/>
      <family val="2"/>
      <scheme val="minor"/>
    </font>
    <font>
      <b/>
      <sz val="14"/>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42">
    <xf numFmtId="0" fontId="0" fillId="0" borderId="0" xfId="0"/>
    <xf numFmtId="0" fontId="0" fillId="0" borderId="0" xfId="0" applyAlignment="1">
      <alignment horizontal="center"/>
    </xf>
    <xf numFmtId="0" fontId="1" fillId="0" borderId="0" xfId="0" applyFont="1" applyAlignment="1">
      <alignment horizontal="center"/>
    </xf>
    <xf numFmtId="0" fontId="3" fillId="0" borderId="1" xfId="0" applyFont="1" applyFill="1" applyBorder="1" applyAlignment="1">
      <alignment horizontal="center"/>
    </xf>
    <xf numFmtId="0" fontId="4" fillId="0" borderId="1" xfId="0" applyFont="1" applyBorder="1"/>
    <xf numFmtId="0" fontId="6" fillId="0" borderId="1" xfId="0" applyFont="1" applyBorder="1" applyAlignment="1">
      <alignment horizontal="center"/>
    </xf>
    <xf numFmtId="0" fontId="5" fillId="0" borderId="1" xfId="0" applyFont="1" applyBorder="1" applyAlignment="1">
      <alignment horizontal="center"/>
    </xf>
    <xf numFmtId="0" fontId="4" fillId="0" borderId="1" xfId="0" quotePrefix="1" applyFont="1" applyBorder="1" applyAlignment="1">
      <alignment horizontal="center"/>
    </xf>
    <xf numFmtId="0" fontId="5" fillId="0" borderId="1" xfId="0" applyFont="1" applyBorder="1" applyAlignment="1" applyProtection="1">
      <alignment horizontal="center"/>
    </xf>
    <xf numFmtId="1" fontId="5" fillId="0" borderId="1" xfId="0" applyNumberFormat="1" applyFont="1" applyBorder="1" applyAlignment="1">
      <alignment horizontal="center"/>
    </xf>
    <xf numFmtId="1" fontId="3" fillId="0" borderId="1" xfId="0" applyNumberFormat="1" applyFont="1" applyBorder="1" applyAlignment="1">
      <alignment horizontal="center"/>
    </xf>
    <xf numFmtId="0" fontId="4" fillId="0" borderId="0" xfId="0" applyFont="1"/>
    <xf numFmtId="0" fontId="4" fillId="0" borderId="0" xfId="0" applyFont="1" applyAlignment="1">
      <alignment horizontal="center"/>
    </xf>
    <xf numFmtId="0" fontId="6" fillId="0" borderId="0" xfId="0" applyFont="1"/>
    <xf numFmtId="0" fontId="6" fillId="0" borderId="0" xfId="0" applyFont="1" applyAlignment="1">
      <alignment horizontal="center"/>
    </xf>
    <xf numFmtId="16" fontId="4" fillId="0" borderId="1" xfId="0" quotePrefix="1" applyNumberFormat="1" applyFont="1" applyBorder="1" applyAlignment="1">
      <alignment horizontal="center"/>
    </xf>
    <xf numFmtId="0" fontId="4" fillId="2" borderId="1" xfId="0" applyFont="1" applyFill="1" applyBorder="1"/>
    <xf numFmtId="0" fontId="3" fillId="0" borderId="1" xfId="0" applyFont="1" applyBorder="1"/>
    <xf numFmtId="0" fontId="3" fillId="0" borderId="2" xfId="0" applyFont="1" applyBorder="1"/>
    <xf numFmtId="0" fontId="3" fillId="0" borderId="2" xfId="0" applyFont="1" applyBorder="1" applyAlignment="1">
      <alignment horizontal="center"/>
    </xf>
    <xf numFmtId="4" fontId="4" fillId="0" borderId="1" xfId="0" applyNumberFormat="1" applyFont="1" applyBorder="1" applyAlignment="1">
      <alignment horizontal="center"/>
    </xf>
    <xf numFmtId="0" fontId="4" fillId="2" borderId="1" xfId="0" applyFont="1" applyFill="1" applyBorder="1" applyAlignment="1">
      <alignment horizontal="center"/>
    </xf>
    <xf numFmtId="4" fontId="3" fillId="0" borderId="1" xfId="0" applyNumberFormat="1" applyFont="1" applyBorder="1" applyAlignment="1">
      <alignment horizontal="center"/>
    </xf>
    <xf numFmtId="4" fontId="7" fillId="0" borderId="1" xfId="0" applyNumberFormat="1" applyFont="1" applyBorder="1" applyAlignment="1">
      <alignment horizontal="center"/>
    </xf>
    <xf numFmtId="4" fontId="3" fillId="2" borderId="1" xfId="0" applyNumberFormat="1" applyFont="1" applyFill="1" applyBorder="1" applyAlignment="1">
      <alignment horizontal="center"/>
    </xf>
    <xf numFmtId="4" fontId="7" fillId="2" borderId="1" xfId="0" applyNumberFormat="1" applyFont="1" applyFill="1" applyBorder="1" applyAlignment="1">
      <alignment horizontal="center"/>
    </xf>
    <xf numFmtId="0" fontId="0" fillId="0" borderId="1" xfId="0" applyFont="1" applyBorder="1" applyAlignment="1">
      <alignment horizontal="center"/>
    </xf>
    <xf numFmtId="0" fontId="0" fillId="0" borderId="1" xfId="0" applyFont="1" applyBorder="1"/>
    <xf numFmtId="1" fontId="0" fillId="0" borderId="1" xfId="0" applyNumberFormat="1" applyFont="1" applyBorder="1" applyAlignment="1">
      <alignment horizontal="center"/>
    </xf>
    <xf numFmtId="0" fontId="1" fillId="0" borderId="1" xfId="0" applyFont="1" applyBorder="1"/>
    <xf numFmtId="1" fontId="1" fillId="2" borderId="1" xfId="0" applyNumberFormat="1" applyFont="1" applyFill="1" applyBorder="1" applyAlignment="1">
      <alignment horizontal="center"/>
    </xf>
    <xf numFmtId="0" fontId="1" fillId="0" borderId="6" xfId="0" applyFont="1" applyBorder="1"/>
    <xf numFmtId="1" fontId="0" fillId="0" borderId="2" xfId="0" applyNumberFormat="1" applyFont="1" applyBorder="1" applyAlignment="1">
      <alignment horizontal="center"/>
    </xf>
    <xf numFmtId="0" fontId="0" fillId="0" borderId="2" xfId="0" applyFont="1" applyBorder="1" applyAlignment="1">
      <alignment horizontal="center"/>
    </xf>
    <xf numFmtId="1" fontId="1" fillId="2" borderId="1" xfId="0" applyNumberFormat="1" applyFont="1" applyFill="1" applyBorder="1"/>
    <xf numFmtId="0" fontId="0" fillId="3" borderId="1" xfId="0" applyFill="1" applyBorder="1" applyAlignment="1">
      <alignment horizontal="center"/>
    </xf>
    <xf numFmtId="0" fontId="0" fillId="0" borderId="1" xfId="0" applyBorder="1"/>
    <xf numFmtId="0" fontId="0" fillId="0" borderId="1" xfId="0" applyFill="1" applyBorder="1"/>
    <xf numFmtId="0" fontId="0" fillId="0" borderId="1" xfId="0" applyBorder="1" applyAlignment="1">
      <alignment horizontal="right"/>
    </xf>
    <xf numFmtId="0" fontId="1" fillId="0" borderId="1" xfId="0" applyFont="1" applyBorder="1" applyAlignment="1">
      <alignment horizontal="right"/>
    </xf>
    <xf numFmtId="0" fontId="4" fillId="0" borderId="1" xfId="0" applyFont="1" applyBorder="1" applyAlignment="1">
      <alignment horizontal="center" vertical="center"/>
    </xf>
    <xf numFmtId="0" fontId="3" fillId="0" borderId="1" xfId="0" applyFont="1" applyBorder="1" applyAlignment="1">
      <alignment horizontal="center"/>
    </xf>
    <xf numFmtId="0" fontId="4" fillId="0" borderId="1" xfId="0" applyFont="1" applyBorder="1" applyAlignment="1">
      <alignment horizontal="center"/>
    </xf>
    <xf numFmtId="0" fontId="1" fillId="0" borderId="1" xfId="0" applyFont="1" applyBorder="1" applyAlignment="1">
      <alignment horizontal="center"/>
    </xf>
    <xf numFmtId="0" fontId="0" fillId="0" borderId="1" xfId="0" applyFill="1" applyBorder="1" applyAlignment="1">
      <alignment horizontal="center"/>
    </xf>
    <xf numFmtId="4" fontId="0" fillId="0" borderId="1" xfId="0" applyNumberFormat="1" applyFill="1" applyBorder="1" applyAlignment="1">
      <alignment horizontal="center"/>
    </xf>
    <xf numFmtId="4" fontId="1" fillId="0" borderId="0" xfId="0" applyNumberFormat="1" applyFont="1" applyAlignment="1">
      <alignment horizontal="center"/>
    </xf>
    <xf numFmtId="4" fontId="1" fillId="0" borderId="1" xfId="0" applyNumberFormat="1" applyFont="1" applyFill="1" applyBorder="1" applyAlignment="1">
      <alignment horizontal="center"/>
    </xf>
    <xf numFmtId="0" fontId="4" fillId="0" borderId="1" xfId="0" applyFont="1" applyBorder="1" applyAlignment="1">
      <alignment vertical="center"/>
    </xf>
    <xf numFmtId="0" fontId="6" fillId="0" borderId="1" xfId="0" applyFont="1" applyBorder="1"/>
    <xf numFmtId="0" fontId="8" fillId="0" borderId="1" xfId="0" applyFont="1" applyBorder="1" applyAlignment="1">
      <alignment horizontal="center"/>
    </xf>
    <xf numFmtId="4" fontId="8" fillId="0" borderId="1" xfId="0" applyNumberFormat="1" applyFont="1" applyBorder="1"/>
    <xf numFmtId="4" fontId="8" fillId="0" borderId="1" xfId="0" applyNumberFormat="1" applyFont="1" applyBorder="1" applyAlignment="1">
      <alignment horizontal="center"/>
    </xf>
    <xf numFmtId="165" fontId="9" fillId="2" borderId="1" xfId="0" applyNumberFormat="1" applyFont="1" applyFill="1" applyBorder="1" applyAlignment="1">
      <alignment horizontal="center"/>
    </xf>
    <xf numFmtId="0" fontId="1" fillId="2" borderId="1" xfId="0" applyFont="1" applyFill="1" applyBorder="1" applyAlignment="1">
      <alignment horizontal="center"/>
    </xf>
    <xf numFmtId="165" fontId="1" fillId="2" borderId="1" xfId="0" applyNumberFormat="1" applyFont="1" applyFill="1" applyBorder="1"/>
    <xf numFmtId="1" fontId="3" fillId="2" borderId="1" xfId="0" applyNumberFormat="1" applyFont="1" applyFill="1" applyBorder="1" applyAlignment="1">
      <alignment horizontal="center"/>
    </xf>
    <xf numFmtId="0" fontId="1" fillId="0" borderId="1" xfId="0" applyFont="1" applyBorder="1" applyAlignment="1">
      <alignment horizontal="left"/>
    </xf>
    <xf numFmtId="0" fontId="1" fillId="0" borderId="1" xfId="0" applyFont="1" applyBorder="1" applyAlignment="1"/>
    <xf numFmtId="0" fontId="1" fillId="0" borderId="6" xfId="0"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1" xfId="0" applyFill="1" applyBorder="1" applyAlignment="1">
      <alignment horizontal="left"/>
    </xf>
    <xf numFmtId="0" fontId="0" fillId="0" borderId="6" xfId="0" applyBorder="1" applyAlignment="1">
      <alignment horizontal="center"/>
    </xf>
    <xf numFmtId="0" fontId="0" fillId="0" borderId="1" xfId="0" applyFill="1" applyBorder="1" applyAlignment="1">
      <alignment horizontal="left" wrapText="1"/>
    </xf>
    <xf numFmtId="0" fontId="10" fillId="0" borderId="1" xfId="0" applyFont="1" applyBorder="1" applyAlignment="1">
      <alignment horizontal="center"/>
    </xf>
    <xf numFmtId="0" fontId="10" fillId="0" borderId="1" xfId="0" applyFont="1" applyBorder="1" applyAlignment="1">
      <alignment horizontal="left"/>
    </xf>
    <xf numFmtId="0" fontId="10" fillId="0" borderId="1" xfId="0" applyFont="1" applyBorder="1" applyAlignment="1"/>
    <xf numFmtId="0" fontId="10" fillId="0" borderId="6" xfId="0" applyFont="1" applyBorder="1" applyAlignment="1">
      <alignment horizontal="center"/>
    </xf>
    <xf numFmtId="0" fontId="12" fillId="5" borderId="1" xfId="0" applyFont="1" applyFill="1" applyBorder="1" applyAlignment="1">
      <alignment horizontal="left" vertical="center"/>
    </xf>
    <xf numFmtId="0" fontId="0" fillId="0" borderId="1" xfId="0" applyBorder="1" applyAlignment="1">
      <alignment wrapText="1"/>
    </xf>
    <xf numFmtId="0" fontId="0" fillId="0" borderId="1" xfId="0" applyBorder="1" applyAlignment="1"/>
    <xf numFmtId="0" fontId="0" fillId="0" borderId="0" xfId="0" applyBorder="1" applyAlignment="1">
      <alignment horizontal="center"/>
    </xf>
    <xf numFmtId="0" fontId="12" fillId="5" borderId="1" xfId="0" applyFont="1" applyFill="1" applyBorder="1" applyAlignment="1">
      <alignment vertical="center"/>
    </xf>
    <xf numFmtId="0" fontId="12" fillId="5" borderId="6"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0" xfId="0" applyFont="1" applyFill="1" applyBorder="1" applyAlignment="1">
      <alignment vertical="center"/>
    </xf>
    <xf numFmtId="0" fontId="0" fillId="5" borderId="0" xfId="0" applyFill="1" applyBorder="1"/>
    <xf numFmtId="0" fontId="1" fillId="0" borderId="1" xfId="0" applyFont="1" applyFill="1" applyBorder="1" applyAlignment="1">
      <alignment horizontal="center"/>
    </xf>
    <xf numFmtId="0" fontId="13" fillId="3" borderId="0" xfId="0" applyFont="1" applyFill="1"/>
    <xf numFmtId="0" fontId="13" fillId="3" borderId="0" xfId="0" applyFont="1" applyFill="1" applyAlignment="1">
      <alignment horizontal="center"/>
    </xf>
    <xf numFmtId="4" fontId="13" fillId="3" borderId="0" xfId="0" applyNumberFormat="1" applyFont="1" applyFill="1" applyAlignment="1">
      <alignment horizontal="center"/>
    </xf>
    <xf numFmtId="0" fontId="4" fillId="0" borderId="0" xfId="0" applyFont="1" applyFill="1" applyBorder="1"/>
    <xf numFmtId="4" fontId="0" fillId="0" borderId="0" xfId="0" applyNumberFormat="1" applyAlignment="1">
      <alignment horizontal="center"/>
    </xf>
    <xf numFmtId="1" fontId="13" fillId="3" borderId="0" xfId="0" applyNumberFormat="1" applyFont="1" applyFill="1" applyAlignment="1">
      <alignment horizontal="center"/>
    </xf>
    <xf numFmtId="1" fontId="6" fillId="0" borderId="0" xfId="0" applyNumberFormat="1" applyFont="1" applyAlignment="1">
      <alignment horizontal="center"/>
    </xf>
    <xf numFmtId="4" fontId="8" fillId="0" borderId="0" xfId="0" applyNumberFormat="1" applyFont="1" applyBorder="1"/>
    <xf numFmtId="0" fontId="4" fillId="2" borderId="0" xfId="0" applyFont="1" applyFill="1" applyBorder="1"/>
    <xf numFmtId="1" fontId="4" fillId="0" borderId="1" xfId="0" applyNumberFormat="1" applyFont="1" applyBorder="1" applyAlignment="1">
      <alignment horizontal="center"/>
    </xf>
    <xf numFmtId="0" fontId="14" fillId="0" borderId="1" xfId="0" applyFont="1" applyBorder="1"/>
    <xf numFmtId="0" fontId="14" fillId="0" borderId="0" xfId="0" applyFont="1"/>
    <xf numFmtId="1" fontId="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0" fontId="14" fillId="0" borderId="0" xfId="0" applyFont="1" applyAlignment="1">
      <alignment horizontal="center" vertical="center"/>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vertical="center" wrapText="1"/>
    </xf>
    <xf numFmtId="0" fontId="4" fillId="0" borderId="1" xfId="0" applyFont="1" applyBorder="1" applyAlignment="1" applyProtection="1">
      <alignment horizontal="center"/>
    </xf>
    <xf numFmtId="0" fontId="4" fillId="2" borderId="1" xfId="0" applyFont="1" applyFill="1" applyBorder="1" applyAlignment="1" applyProtection="1">
      <alignment horizontal="center"/>
    </xf>
    <xf numFmtId="0" fontId="9" fillId="2" borderId="1" xfId="0" applyFont="1" applyFill="1" applyBorder="1" applyAlignment="1" applyProtection="1">
      <alignment horizontal="center"/>
    </xf>
    <xf numFmtId="0" fontId="1" fillId="2" borderId="1" xfId="0" applyFont="1" applyFill="1" applyBorder="1" applyAlignment="1">
      <alignment horizontal="center"/>
    </xf>
    <xf numFmtId="0" fontId="0" fillId="2" borderId="1" xfId="0" applyFill="1" applyBorder="1"/>
    <xf numFmtId="164" fontId="0" fillId="2" borderId="1" xfId="0" applyNumberFormat="1" applyFill="1" applyBorder="1"/>
    <xf numFmtId="0" fontId="0" fillId="3" borderId="1" xfId="0" applyFill="1" applyBorder="1"/>
    <xf numFmtId="164" fontId="0" fillId="3" borderId="1" xfId="0" applyNumberFormat="1" applyFill="1" applyBorder="1"/>
    <xf numFmtId="0" fontId="1" fillId="3" borderId="1" xfId="0" applyFont="1" applyFill="1" applyBorder="1" applyAlignment="1">
      <alignment horizontal="center"/>
    </xf>
    <xf numFmtId="0" fontId="15" fillId="0" borderId="0" xfId="0" applyFont="1"/>
    <xf numFmtId="2" fontId="13" fillId="2" borderId="0" xfId="0" applyNumberFormat="1" applyFont="1" applyFill="1"/>
    <xf numFmtId="0" fontId="16" fillId="0" borderId="0" xfId="0" applyFont="1"/>
    <xf numFmtId="0" fontId="1" fillId="0" borderId="1" xfId="0" applyFont="1" applyBorder="1" applyAlignment="1">
      <alignment vertical="top"/>
    </xf>
    <xf numFmtId="0" fontId="0" fillId="0" borderId="1" xfId="0" applyBorder="1" applyAlignment="1">
      <alignment vertical="top"/>
    </xf>
    <xf numFmtId="0" fontId="0" fillId="0" borderId="0" xfId="0" applyAlignment="1">
      <alignment horizontal="left" vertical="top" wrapText="1"/>
    </xf>
    <xf numFmtId="0" fontId="1" fillId="0" borderId="6" xfId="0" applyFont="1" applyBorder="1" applyAlignment="1">
      <alignment vertical="top"/>
    </xf>
    <xf numFmtId="0" fontId="1" fillId="0" borderId="5" xfId="0" applyFont="1" applyBorder="1" applyAlignment="1">
      <alignment vertical="top"/>
    </xf>
    <xf numFmtId="0" fontId="1" fillId="0" borderId="7" xfId="0" applyFont="1" applyBorder="1" applyAlignment="1">
      <alignment vertical="top"/>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4" borderId="0" xfId="0" applyFont="1" applyFill="1" applyAlignment="1">
      <alignment horizontal="left"/>
    </xf>
    <xf numFmtId="0" fontId="1" fillId="0" borderId="6" xfId="0" applyFont="1" applyBorder="1" applyAlignment="1">
      <alignment vertical="top" wrapText="1"/>
    </xf>
    <xf numFmtId="0" fontId="1" fillId="0" borderId="5" xfId="0" applyFont="1" applyBorder="1" applyAlignment="1">
      <alignment vertical="top" wrapText="1"/>
    </xf>
    <xf numFmtId="0" fontId="1" fillId="0" borderId="7" xfId="0" applyFont="1" applyBorder="1" applyAlignment="1">
      <alignment vertical="top" wrapText="1"/>
    </xf>
    <xf numFmtId="0" fontId="11" fillId="0" borderId="8" xfId="0" applyFont="1" applyBorder="1" applyAlignment="1">
      <alignment horizontal="left"/>
    </xf>
    <xf numFmtId="0" fontId="1" fillId="0" borderId="1"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5"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8" fillId="0" borderId="1" xfId="0" applyFont="1" applyBorder="1" applyAlignment="1">
      <alignment horizontal="center"/>
    </xf>
    <xf numFmtId="0" fontId="1" fillId="2" borderId="1" xfId="0" applyFont="1" applyFill="1" applyBorder="1" applyAlignment="1">
      <alignment horizontal="center"/>
    </xf>
    <xf numFmtId="0" fontId="2" fillId="0" borderId="0" xfId="0" applyFont="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12" fillId="2" borderId="1" xfId="0" applyFont="1" applyFill="1" applyBorder="1" applyAlignment="1">
      <alignment horizontal="left" vertical="center"/>
    </xf>
    <xf numFmtId="0" fontId="12" fillId="2" borderId="1" xfId="0" applyFont="1" applyFill="1" applyBorder="1" applyAlignment="1">
      <alignment vertical="center"/>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it.londe/AppData/Local/Microsoft/Windows/Temporary%20Internet%20Files/Content.Outlook/KGO4DI2A/Costing-VegaETS%20plant%20at%20Baddi%20Hydrogenation%20Pl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EGA ETS Cost Breakup"/>
      <sheetName val="MCT Eqp"/>
      <sheetName val="VEGA ETS B vs T"/>
      <sheetName val="VEGA ETS@BADDI_Mech Material"/>
      <sheetName val="VEGA ETS@BADDI_Mech Service"/>
      <sheetName val="Inst cost"/>
      <sheetName val="Civil cost"/>
    </sheetNames>
    <sheetDataSet>
      <sheetData sheetId="0"/>
      <sheetData sheetId="1"/>
      <sheetData sheetId="2"/>
      <sheetData sheetId="3">
        <row r="23">
          <cell r="F23">
            <v>0</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6"/>
  <sheetViews>
    <sheetView tabSelected="1" workbookViewId="0">
      <selection activeCell="M27" sqref="M27"/>
    </sheetView>
  </sheetViews>
  <sheetFormatPr defaultRowHeight="15" x14ac:dyDescent="0.25"/>
  <cols>
    <col min="3" max="3" width="3" bestFit="1" customWidth="1"/>
    <col min="7" max="7" width="15" customWidth="1"/>
    <col min="9" max="9" width="12.28515625" customWidth="1"/>
  </cols>
  <sheetData>
    <row r="2" spans="3:10" x14ac:dyDescent="0.25">
      <c r="C2" s="118" t="s">
        <v>120</v>
      </c>
      <c r="D2" s="118"/>
      <c r="E2" s="118"/>
      <c r="F2" s="118"/>
      <c r="G2" s="118"/>
      <c r="H2" s="118"/>
      <c r="I2" s="118"/>
    </row>
    <row r="4" spans="3:10" x14ac:dyDescent="0.25">
      <c r="C4" s="111" t="s">
        <v>121</v>
      </c>
      <c r="D4" s="111"/>
      <c r="E4" s="111"/>
      <c r="F4" s="111"/>
      <c r="G4" s="111"/>
      <c r="H4" s="111"/>
      <c r="I4" s="111"/>
    </row>
    <row r="5" spans="3:10" x14ac:dyDescent="0.25">
      <c r="C5" s="111"/>
      <c r="D5" s="111"/>
      <c r="E5" s="111"/>
      <c r="F5" s="111"/>
      <c r="G5" s="111"/>
      <c r="H5" s="111"/>
      <c r="I5" s="111"/>
    </row>
    <row r="6" spans="3:10" x14ac:dyDescent="0.25">
      <c r="C6" s="111"/>
      <c r="D6" s="111"/>
      <c r="E6" s="111"/>
      <c r="F6" s="111"/>
      <c r="G6" s="111"/>
      <c r="H6" s="111"/>
      <c r="I6" s="111"/>
    </row>
    <row r="7" spans="3:10" x14ac:dyDescent="0.25">
      <c r="C7" s="111"/>
      <c r="D7" s="111"/>
      <c r="E7" s="111"/>
      <c r="F7" s="111"/>
      <c r="G7" s="111"/>
      <c r="H7" s="111"/>
      <c r="I7" s="111"/>
    </row>
    <row r="8" spans="3:10" x14ac:dyDescent="0.25">
      <c r="C8" s="111"/>
      <c r="D8" s="111"/>
      <c r="E8" s="111"/>
      <c r="F8" s="111"/>
      <c r="G8" s="111"/>
      <c r="H8" s="111"/>
      <c r="I8" s="111"/>
    </row>
    <row r="9" spans="3:10" x14ac:dyDescent="0.25">
      <c r="C9" s="111"/>
      <c r="D9" s="111"/>
      <c r="E9" s="111"/>
      <c r="F9" s="111"/>
      <c r="G9" s="111"/>
      <c r="H9" s="111"/>
      <c r="I9" s="111"/>
    </row>
    <row r="10" spans="3:10" x14ac:dyDescent="0.25">
      <c r="I10" s="100" t="s">
        <v>281</v>
      </c>
      <c r="J10" s="105" t="s">
        <v>280</v>
      </c>
    </row>
    <row r="11" spans="3:10" x14ac:dyDescent="0.25">
      <c r="C11" s="29">
        <v>1</v>
      </c>
      <c r="D11" s="109" t="s">
        <v>122</v>
      </c>
      <c r="E11" s="109"/>
      <c r="F11" s="109"/>
      <c r="G11" s="109"/>
      <c r="H11" s="36" t="s">
        <v>123</v>
      </c>
      <c r="I11" s="101">
        <f>'[1]VEGA ETS B vs T'!F23</f>
        <v>0</v>
      </c>
      <c r="J11" s="103">
        <v>0</v>
      </c>
    </row>
    <row r="12" spans="3:10" x14ac:dyDescent="0.25">
      <c r="C12" s="29">
        <v>2</v>
      </c>
      <c r="D12" s="109" t="s">
        <v>124</v>
      </c>
      <c r="E12" s="109"/>
      <c r="F12" s="109"/>
      <c r="G12" s="109"/>
      <c r="H12" s="36" t="s">
        <v>123</v>
      </c>
      <c r="I12" s="102">
        <v>36</v>
      </c>
      <c r="J12" s="103">
        <v>36.007000000000005</v>
      </c>
    </row>
    <row r="13" spans="3:10" x14ac:dyDescent="0.25">
      <c r="C13" s="29">
        <v>3</v>
      </c>
      <c r="D13" s="119" t="s">
        <v>259</v>
      </c>
      <c r="E13" s="120"/>
      <c r="F13" s="120"/>
      <c r="G13" s="121"/>
      <c r="H13" s="36"/>
      <c r="I13" s="101"/>
      <c r="J13" s="103"/>
    </row>
    <row r="14" spans="3:10" x14ac:dyDescent="0.25">
      <c r="C14" s="38" t="s">
        <v>125</v>
      </c>
      <c r="D14" s="115" t="s">
        <v>258</v>
      </c>
      <c r="E14" s="116"/>
      <c r="F14" s="116"/>
      <c r="G14" s="117"/>
      <c r="H14" s="36" t="s">
        <v>123</v>
      </c>
      <c r="I14" s="101">
        <v>0.2</v>
      </c>
      <c r="J14" s="103">
        <v>4</v>
      </c>
    </row>
    <row r="15" spans="3:10" x14ac:dyDescent="0.25">
      <c r="C15" s="38" t="s">
        <v>126</v>
      </c>
      <c r="D15" s="110" t="s">
        <v>127</v>
      </c>
      <c r="E15" s="110"/>
      <c r="F15" s="110"/>
      <c r="G15" s="110"/>
      <c r="H15" s="36" t="s">
        <v>123</v>
      </c>
      <c r="I15" s="101">
        <v>3</v>
      </c>
      <c r="J15" s="103">
        <v>4</v>
      </c>
    </row>
    <row r="16" spans="3:10" x14ac:dyDescent="0.25">
      <c r="C16" s="38" t="s">
        <v>128</v>
      </c>
      <c r="D16" s="110" t="s">
        <v>129</v>
      </c>
      <c r="E16" s="110"/>
      <c r="F16" s="110"/>
      <c r="G16" s="110"/>
      <c r="H16" s="36" t="s">
        <v>123</v>
      </c>
      <c r="I16" s="101">
        <v>0</v>
      </c>
      <c r="J16" s="103">
        <v>0.75</v>
      </c>
    </row>
    <row r="17" spans="3:10" x14ac:dyDescent="0.25">
      <c r="C17" s="38" t="s">
        <v>130</v>
      </c>
      <c r="D17" s="110" t="s">
        <v>131</v>
      </c>
      <c r="E17" s="110"/>
      <c r="F17" s="110"/>
      <c r="G17" s="110"/>
      <c r="H17" s="36" t="s">
        <v>123</v>
      </c>
      <c r="I17" s="101">
        <v>0.75</v>
      </c>
      <c r="J17" s="103">
        <v>0.75</v>
      </c>
    </row>
    <row r="18" spans="3:10" x14ac:dyDescent="0.25">
      <c r="C18" s="29">
        <v>4</v>
      </c>
      <c r="D18" s="109" t="s">
        <v>132</v>
      </c>
      <c r="E18" s="109"/>
      <c r="F18" s="109"/>
      <c r="G18" s="109"/>
      <c r="H18" s="36"/>
      <c r="I18" s="101"/>
      <c r="J18" s="103"/>
    </row>
    <row r="19" spans="3:10" x14ac:dyDescent="0.25">
      <c r="C19" s="38" t="s">
        <v>125</v>
      </c>
      <c r="D19" s="110" t="s">
        <v>133</v>
      </c>
      <c r="E19" s="110"/>
      <c r="F19" s="110"/>
      <c r="G19" s="110"/>
      <c r="H19" s="36" t="s">
        <v>123</v>
      </c>
      <c r="I19" s="102">
        <v>12.7</v>
      </c>
      <c r="J19" s="104">
        <v>37.0824</v>
      </c>
    </row>
    <row r="20" spans="3:10" x14ac:dyDescent="0.25">
      <c r="C20" s="38" t="s">
        <v>126</v>
      </c>
      <c r="D20" s="110" t="s">
        <v>134</v>
      </c>
      <c r="E20" s="110"/>
      <c r="F20" s="110"/>
      <c r="G20" s="110"/>
      <c r="H20" s="36" t="s">
        <v>123</v>
      </c>
      <c r="I20" s="102">
        <v>10.64</v>
      </c>
      <c r="J20" s="104">
        <v>20.02</v>
      </c>
    </row>
    <row r="21" spans="3:10" x14ac:dyDescent="0.25">
      <c r="C21" s="38" t="s">
        <v>128</v>
      </c>
      <c r="D21" s="110" t="s">
        <v>135</v>
      </c>
      <c r="E21" s="110"/>
      <c r="F21" s="110"/>
      <c r="G21" s="110"/>
      <c r="H21" s="36" t="s">
        <v>123</v>
      </c>
      <c r="I21" s="102">
        <v>3.91</v>
      </c>
      <c r="J21" s="103">
        <v>4.3483999999999998</v>
      </c>
    </row>
    <row r="22" spans="3:10" x14ac:dyDescent="0.25">
      <c r="C22" s="38" t="s">
        <v>130</v>
      </c>
      <c r="D22" s="110" t="s">
        <v>136</v>
      </c>
      <c r="E22" s="110"/>
      <c r="F22" s="110"/>
      <c r="G22" s="110"/>
      <c r="H22" s="36" t="s">
        <v>123</v>
      </c>
      <c r="I22" s="102">
        <v>1.68</v>
      </c>
      <c r="J22" s="103">
        <v>1.8635999999999999</v>
      </c>
    </row>
    <row r="23" spans="3:10" x14ac:dyDescent="0.25">
      <c r="C23" s="39">
        <v>5</v>
      </c>
      <c r="D23" s="109" t="s">
        <v>137</v>
      </c>
      <c r="E23" s="109"/>
      <c r="F23" s="109"/>
      <c r="G23" s="109"/>
      <c r="H23" s="36" t="s">
        <v>123</v>
      </c>
      <c r="I23" s="101">
        <v>1.8</v>
      </c>
      <c r="J23" s="103">
        <v>3.8</v>
      </c>
    </row>
    <row r="24" spans="3:10" x14ac:dyDescent="0.25">
      <c r="C24" s="39">
        <v>6</v>
      </c>
      <c r="D24" s="109" t="s">
        <v>138</v>
      </c>
      <c r="E24" s="109"/>
      <c r="F24" s="109"/>
      <c r="G24" s="109"/>
      <c r="H24" s="36" t="s">
        <v>123</v>
      </c>
      <c r="I24" s="101">
        <v>5</v>
      </c>
      <c r="J24" s="103">
        <v>5</v>
      </c>
    </row>
    <row r="25" spans="3:10" x14ac:dyDescent="0.25">
      <c r="C25" s="39">
        <v>7</v>
      </c>
      <c r="D25" s="109" t="s">
        <v>139</v>
      </c>
      <c r="E25" s="109"/>
      <c r="F25" s="109"/>
      <c r="G25" s="109"/>
      <c r="H25" s="36" t="s">
        <v>123</v>
      </c>
      <c r="I25" s="101">
        <v>6.86</v>
      </c>
      <c r="J25" s="103">
        <v>8.93</v>
      </c>
    </row>
    <row r="26" spans="3:10" x14ac:dyDescent="0.25">
      <c r="C26" s="39">
        <v>8</v>
      </c>
      <c r="D26" s="109" t="s">
        <v>140</v>
      </c>
      <c r="E26" s="109"/>
      <c r="F26" s="109"/>
      <c r="G26" s="109"/>
      <c r="H26" s="36" t="s">
        <v>123</v>
      </c>
      <c r="I26" s="101">
        <v>1</v>
      </c>
      <c r="J26" s="103">
        <v>3</v>
      </c>
    </row>
    <row r="27" spans="3:10" x14ac:dyDescent="0.25">
      <c r="C27" s="39">
        <v>9</v>
      </c>
      <c r="D27" s="109" t="s">
        <v>141</v>
      </c>
      <c r="E27" s="109"/>
      <c r="F27" s="109"/>
      <c r="G27" s="109"/>
      <c r="H27" s="36" t="s">
        <v>123</v>
      </c>
      <c r="I27" s="101">
        <v>2</v>
      </c>
      <c r="J27" s="103">
        <v>4.74</v>
      </c>
    </row>
    <row r="28" spans="3:10" x14ac:dyDescent="0.25">
      <c r="C28" s="39">
        <v>10</v>
      </c>
      <c r="D28" s="109" t="s">
        <v>142</v>
      </c>
      <c r="E28" s="109"/>
      <c r="F28" s="109"/>
      <c r="G28" s="109"/>
      <c r="H28" s="36" t="s">
        <v>123</v>
      </c>
      <c r="I28" s="101">
        <v>1.5</v>
      </c>
      <c r="J28" s="103">
        <v>3.16</v>
      </c>
    </row>
    <row r="29" spans="3:10" x14ac:dyDescent="0.25">
      <c r="C29" s="39">
        <v>11</v>
      </c>
      <c r="D29" s="112" t="s">
        <v>143</v>
      </c>
      <c r="E29" s="113"/>
      <c r="F29" s="113"/>
      <c r="G29" s="114"/>
      <c r="H29" s="36" t="s">
        <v>123</v>
      </c>
      <c r="I29" s="101">
        <v>2</v>
      </c>
      <c r="J29" s="103">
        <v>4</v>
      </c>
    </row>
    <row r="30" spans="3:10" x14ac:dyDescent="0.25">
      <c r="C30" s="39">
        <v>12</v>
      </c>
      <c r="D30" s="112" t="s">
        <v>144</v>
      </c>
      <c r="E30" s="113"/>
      <c r="F30" s="113"/>
      <c r="G30" s="114"/>
      <c r="H30" s="36" t="s">
        <v>123</v>
      </c>
      <c r="I30" s="101">
        <v>1</v>
      </c>
      <c r="J30" s="103">
        <v>2</v>
      </c>
    </row>
    <row r="31" spans="3:10" x14ac:dyDescent="0.25">
      <c r="C31" s="39">
        <v>13</v>
      </c>
      <c r="D31" s="109" t="s">
        <v>145</v>
      </c>
      <c r="E31" s="109"/>
      <c r="F31" s="109"/>
      <c r="G31" s="109"/>
      <c r="H31" s="36" t="s">
        <v>123</v>
      </c>
      <c r="I31" s="101">
        <v>3.3</v>
      </c>
      <c r="J31" s="103">
        <v>2.2000000000000002</v>
      </c>
    </row>
    <row r="32" spans="3:10" x14ac:dyDescent="0.25">
      <c r="C32" s="39">
        <v>14</v>
      </c>
      <c r="D32" s="109" t="s">
        <v>146</v>
      </c>
      <c r="E32" s="109"/>
      <c r="F32" s="109"/>
      <c r="G32" s="109"/>
      <c r="H32" s="36" t="s">
        <v>123</v>
      </c>
      <c r="I32" s="101">
        <v>0</v>
      </c>
      <c r="J32" s="103">
        <v>0</v>
      </c>
    </row>
    <row r="33" spans="3:11" x14ac:dyDescent="0.25">
      <c r="C33" s="39">
        <v>15</v>
      </c>
      <c r="D33" s="109" t="s">
        <v>147</v>
      </c>
      <c r="E33" s="109"/>
      <c r="F33" s="109"/>
      <c r="G33" s="109"/>
      <c r="H33" s="36" t="s">
        <v>123</v>
      </c>
      <c r="I33" s="101">
        <v>2</v>
      </c>
      <c r="J33" s="103">
        <v>2</v>
      </c>
    </row>
    <row r="34" spans="3:11" x14ac:dyDescent="0.25">
      <c r="C34" s="36"/>
      <c r="D34" s="110" t="s">
        <v>62</v>
      </c>
      <c r="E34" s="110"/>
      <c r="F34" s="110"/>
      <c r="G34" s="110"/>
      <c r="H34" s="36" t="s">
        <v>123</v>
      </c>
      <c r="I34" s="101">
        <f>SUM(I11:I33)</f>
        <v>95.34</v>
      </c>
      <c r="J34" s="103">
        <v>147.6514</v>
      </c>
    </row>
    <row r="35" spans="3:11" ht="18.75" x14ac:dyDescent="0.3">
      <c r="G35" s="106" t="s">
        <v>279</v>
      </c>
      <c r="I35" s="107">
        <f>I34-I12</f>
        <v>59.34</v>
      </c>
      <c r="J35" s="79">
        <v>111.64439999999999</v>
      </c>
      <c r="K35" s="108" t="s">
        <v>148</v>
      </c>
    </row>
    <row r="36" spans="3:11" x14ac:dyDescent="0.25">
      <c r="C36" s="111" t="s">
        <v>149</v>
      </c>
      <c r="D36" s="111"/>
      <c r="E36" s="111"/>
      <c r="F36" s="111"/>
      <c r="G36" s="111"/>
      <c r="H36" s="111"/>
      <c r="I36" s="111"/>
    </row>
  </sheetData>
  <mergeCells count="27">
    <mergeCell ref="D14:G14"/>
    <mergeCell ref="C2:I2"/>
    <mergeCell ref="C4:I9"/>
    <mergeCell ref="D11:G11"/>
    <mergeCell ref="D12:G12"/>
    <mergeCell ref="D13:G13"/>
    <mergeCell ref="D26:G26"/>
    <mergeCell ref="D15:G15"/>
    <mergeCell ref="D16:G16"/>
    <mergeCell ref="D17:G17"/>
    <mergeCell ref="D18:G18"/>
    <mergeCell ref="D19:G19"/>
    <mergeCell ref="D20:G20"/>
    <mergeCell ref="D21:G21"/>
    <mergeCell ref="D22:G22"/>
    <mergeCell ref="D23:G23"/>
    <mergeCell ref="D24:G24"/>
    <mergeCell ref="D25:G25"/>
    <mergeCell ref="D33:G33"/>
    <mergeCell ref="D34:G34"/>
    <mergeCell ref="C36:I36"/>
    <mergeCell ref="D27:G27"/>
    <mergeCell ref="D28:G28"/>
    <mergeCell ref="D29:G29"/>
    <mergeCell ref="D30:G30"/>
    <mergeCell ref="D31:G31"/>
    <mergeCell ref="D32:G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opLeftCell="A2" workbookViewId="0">
      <selection activeCell="E9" sqref="E9"/>
    </sheetView>
  </sheetViews>
  <sheetFormatPr defaultRowHeight="15" x14ac:dyDescent="0.25"/>
  <cols>
    <col min="1" max="1" width="6.85546875" bestFit="1" customWidth="1"/>
    <col min="2" max="2" width="10.140625" style="1" customWidth="1"/>
    <col min="3" max="3" width="33.85546875" bestFit="1" customWidth="1"/>
    <col min="4" max="4" width="6.42578125" bestFit="1" customWidth="1"/>
    <col min="5" max="5" width="33.5703125" bestFit="1" customWidth="1"/>
    <col min="6" max="6" width="5.5703125" bestFit="1" customWidth="1"/>
    <col min="7" max="7" width="60.42578125" bestFit="1" customWidth="1"/>
    <col min="8" max="8" width="4.140625" style="1" bestFit="1" customWidth="1"/>
    <col min="9" max="9" width="13.85546875" style="1" customWidth="1"/>
    <col min="10" max="10" width="13.42578125" style="1" customWidth="1"/>
  </cols>
  <sheetData>
    <row r="1" spans="1:17" ht="15.75" x14ac:dyDescent="0.25">
      <c r="A1" s="122" t="s">
        <v>205</v>
      </c>
      <c r="B1" s="122"/>
      <c r="C1" s="122"/>
      <c r="D1" s="122"/>
      <c r="E1" s="122"/>
      <c r="F1" s="1"/>
    </row>
    <row r="2" spans="1:17" x14ac:dyDescent="0.25">
      <c r="A2" s="43" t="s">
        <v>206</v>
      </c>
      <c r="B2" s="43" t="s">
        <v>207</v>
      </c>
      <c r="C2" s="57" t="s">
        <v>208</v>
      </c>
      <c r="D2" s="43" t="s">
        <v>209</v>
      </c>
      <c r="E2" s="57" t="s">
        <v>61</v>
      </c>
      <c r="F2" s="43" t="s">
        <v>2</v>
      </c>
      <c r="G2" s="58" t="s">
        <v>210</v>
      </c>
      <c r="H2" s="59" t="s">
        <v>3</v>
      </c>
      <c r="I2" s="43" t="s">
        <v>211</v>
      </c>
      <c r="J2" s="43" t="s">
        <v>212</v>
      </c>
    </row>
    <row r="3" spans="1:17" x14ac:dyDescent="0.25">
      <c r="A3" s="60">
        <v>1</v>
      </c>
      <c r="B3" s="60" t="s">
        <v>213</v>
      </c>
      <c r="C3" s="61" t="s">
        <v>214</v>
      </c>
      <c r="D3" s="60" t="s">
        <v>215</v>
      </c>
      <c r="E3" s="61" t="s">
        <v>216</v>
      </c>
      <c r="F3" s="60" t="s">
        <v>217</v>
      </c>
      <c r="G3" s="62" t="s">
        <v>218</v>
      </c>
      <c r="H3" s="63">
        <v>1</v>
      </c>
      <c r="I3" s="60">
        <v>15000</v>
      </c>
      <c r="J3" s="60">
        <f>H3*I3</f>
        <v>15000</v>
      </c>
    </row>
    <row r="4" spans="1:17" x14ac:dyDescent="0.25">
      <c r="A4" s="60">
        <v>2</v>
      </c>
      <c r="B4" s="60" t="s">
        <v>219</v>
      </c>
      <c r="C4" s="61" t="s">
        <v>220</v>
      </c>
      <c r="D4" s="60" t="s">
        <v>221</v>
      </c>
      <c r="E4" s="61" t="s">
        <v>216</v>
      </c>
      <c r="F4" s="60" t="s">
        <v>222</v>
      </c>
      <c r="G4" s="62" t="s">
        <v>223</v>
      </c>
      <c r="H4" s="63">
        <v>1</v>
      </c>
      <c r="I4" s="60">
        <v>30000</v>
      </c>
      <c r="J4" s="60">
        <f t="shared" ref="J4:J10" si="0">H4*I4</f>
        <v>30000</v>
      </c>
    </row>
    <row r="5" spans="1:17" ht="45" x14ac:dyDescent="0.25">
      <c r="A5" s="60">
        <v>3</v>
      </c>
      <c r="B5" s="60" t="s">
        <v>219</v>
      </c>
      <c r="C5" s="61" t="s">
        <v>220</v>
      </c>
      <c r="D5" s="60" t="s">
        <v>221</v>
      </c>
      <c r="E5" s="61" t="s">
        <v>224</v>
      </c>
      <c r="F5" s="60" t="s">
        <v>225</v>
      </c>
      <c r="G5" s="64" t="s">
        <v>226</v>
      </c>
      <c r="H5" s="63">
        <v>1</v>
      </c>
      <c r="I5" s="60">
        <v>55000</v>
      </c>
      <c r="J5" s="60">
        <f t="shared" si="0"/>
        <v>55000</v>
      </c>
    </row>
    <row r="6" spans="1:17" x14ac:dyDescent="0.25">
      <c r="A6" s="60">
        <v>4</v>
      </c>
      <c r="B6" s="60" t="s">
        <v>227</v>
      </c>
      <c r="C6" s="61" t="s">
        <v>228</v>
      </c>
      <c r="D6" s="60" t="s">
        <v>215</v>
      </c>
      <c r="E6" s="61" t="s">
        <v>229</v>
      </c>
      <c r="F6" s="60"/>
      <c r="G6" s="62" t="s">
        <v>230</v>
      </c>
      <c r="H6" s="63">
        <v>3</v>
      </c>
      <c r="I6" s="60">
        <v>9000</v>
      </c>
      <c r="J6" s="60">
        <f t="shared" si="0"/>
        <v>27000</v>
      </c>
    </row>
    <row r="7" spans="1:17" x14ac:dyDescent="0.25">
      <c r="A7" s="60">
        <v>5</v>
      </c>
      <c r="B7" s="65" t="s">
        <v>231</v>
      </c>
      <c r="C7" s="66" t="s">
        <v>232</v>
      </c>
      <c r="D7" s="65" t="s">
        <v>215</v>
      </c>
      <c r="E7" s="66" t="s">
        <v>233</v>
      </c>
      <c r="F7" s="65"/>
      <c r="G7" s="67" t="s">
        <v>234</v>
      </c>
      <c r="H7" s="68">
        <v>2</v>
      </c>
      <c r="I7" s="65">
        <v>0</v>
      </c>
      <c r="J7" s="65">
        <f t="shared" si="0"/>
        <v>0</v>
      </c>
    </row>
    <row r="8" spans="1:17" x14ac:dyDescent="0.25">
      <c r="A8" s="60">
        <v>6</v>
      </c>
      <c r="B8" s="60" t="s">
        <v>235</v>
      </c>
      <c r="C8" s="61" t="s">
        <v>236</v>
      </c>
      <c r="D8" s="60" t="s">
        <v>237</v>
      </c>
      <c r="E8" s="61" t="s">
        <v>238</v>
      </c>
      <c r="F8" s="60"/>
      <c r="G8" s="62" t="s">
        <v>239</v>
      </c>
      <c r="H8" s="63">
        <v>8</v>
      </c>
      <c r="I8" s="60">
        <v>3500</v>
      </c>
      <c r="J8" s="60">
        <f>H8*I8</f>
        <v>28000</v>
      </c>
    </row>
    <row r="9" spans="1:17" x14ac:dyDescent="0.25">
      <c r="A9" s="60">
        <v>7</v>
      </c>
      <c r="B9" s="60" t="s">
        <v>240</v>
      </c>
      <c r="C9" s="69"/>
      <c r="D9" s="60" t="s">
        <v>237</v>
      </c>
      <c r="E9" s="61" t="s">
        <v>241</v>
      </c>
      <c r="F9" s="60"/>
      <c r="G9" s="62" t="s">
        <v>239</v>
      </c>
      <c r="H9" s="63">
        <v>6</v>
      </c>
      <c r="I9" s="60">
        <v>7000</v>
      </c>
      <c r="J9" s="60">
        <f t="shared" si="0"/>
        <v>42000</v>
      </c>
    </row>
    <row r="10" spans="1:17" ht="30" x14ac:dyDescent="0.25">
      <c r="A10" s="60">
        <v>8</v>
      </c>
      <c r="B10" s="60" t="s">
        <v>231</v>
      </c>
      <c r="C10" s="61" t="s">
        <v>232</v>
      </c>
      <c r="D10" s="36"/>
      <c r="E10" s="36" t="s">
        <v>242</v>
      </c>
      <c r="F10" s="36"/>
      <c r="G10" s="70" t="s">
        <v>243</v>
      </c>
      <c r="H10" s="63">
        <v>1</v>
      </c>
      <c r="I10" s="60">
        <v>200000</v>
      </c>
      <c r="J10" s="60">
        <f t="shared" si="0"/>
        <v>200000</v>
      </c>
    </row>
    <row r="11" spans="1:17" s="1" customFormat="1" x14ac:dyDescent="0.25">
      <c r="A11" s="60">
        <v>9</v>
      </c>
      <c r="B11" s="60"/>
      <c r="C11" s="61" t="s">
        <v>244</v>
      </c>
      <c r="D11" s="60"/>
      <c r="E11" s="71"/>
      <c r="F11" s="60"/>
      <c r="G11" s="71" t="s">
        <v>245</v>
      </c>
      <c r="H11" s="63">
        <v>1</v>
      </c>
      <c r="I11" s="60">
        <v>65000</v>
      </c>
      <c r="J11" s="60">
        <f t="shared" ref="J11:J18" si="1">I11*H11</f>
        <v>65000</v>
      </c>
    </row>
    <row r="12" spans="1:17" s="1" customFormat="1" x14ac:dyDescent="0.25">
      <c r="A12" s="60">
        <v>10</v>
      </c>
      <c r="B12" s="60"/>
      <c r="C12" s="69" t="s">
        <v>246</v>
      </c>
      <c r="D12" s="60"/>
      <c r="E12" s="71" t="s">
        <v>247</v>
      </c>
      <c r="F12" s="60"/>
      <c r="G12" s="71"/>
      <c r="H12" s="63">
        <v>1</v>
      </c>
      <c r="I12" s="60">
        <v>35000</v>
      </c>
      <c r="J12" s="60">
        <f t="shared" si="1"/>
        <v>35000</v>
      </c>
    </row>
    <row r="13" spans="1:17" s="1" customFormat="1" x14ac:dyDescent="0.25">
      <c r="A13" s="60">
        <v>11</v>
      </c>
      <c r="B13" s="60"/>
      <c r="C13" s="69" t="s">
        <v>248</v>
      </c>
      <c r="D13" s="60"/>
      <c r="E13" s="71"/>
      <c r="F13" s="60"/>
      <c r="G13" s="71" t="s">
        <v>249</v>
      </c>
      <c r="H13" s="63">
        <v>1</v>
      </c>
      <c r="I13" s="60">
        <v>7000</v>
      </c>
      <c r="J13" s="60">
        <f t="shared" si="1"/>
        <v>7000</v>
      </c>
      <c r="K13" s="72"/>
      <c r="L13" s="72"/>
      <c r="M13" s="72"/>
      <c r="N13" s="72"/>
      <c r="O13" s="72"/>
      <c r="P13" s="72"/>
      <c r="Q13" s="72"/>
    </row>
    <row r="14" spans="1:17" s="1" customFormat="1" x14ac:dyDescent="0.25">
      <c r="A14" s="60">
        <v>12</v>
      </c>
      <c r="B14" s="60"/>
      <c r="C14" s="69" t="s">
        <v>250</v>
      </c>
      <c r="D14" s="60"/>
      <c r="E14" s="71"/>
      <c r="F14" s="60"/>
      <c r="G14" s="71"/>
      <c r="H14" s="63">
        <v>1</v>
      </c>
      <c r="I14" s="60">
        <v>30000</v>
      </c>
      <c r="J14" s="60">
        <f t="shared" si="1"/>
        <v>30000</v>
      </c>
      <c r="K14" s="72"/>
      <c r="L14" s="72"/>
      <c r="M14" s="72"/>
      <c r="N14" s="72"/>
      <c r="O14" s="72"/>
      <c r="P14" s="72"/>
      <c r="Q14" s="72"/>
    </row>
    <row r="15" spans="1:17" s="1" customFormat="1" x14ac:dyDescent="0.25">
      <c r="A15" s="60">
        <v>13</v>
      </c>
      <c r="B15" s="60"/>
      <c r="C15" s="69" t="s">
        <v>251</v>
      </c>
      <c r="D15" s="73"/>
      <c r="E15" s="73"/>
      <c r="F15" s="73"/>
      <c r="G15" s="73" t="s">
        <v>252</v>
      </c>
      <c r="H15" s="74">
        <v>1</v>
      </c>
      <c r="I15" s="75">
        <v>25000</v>
      </c>
      <c r="J15" s="60">
        <f t="shared" si="1"/>
        <v>25000</v>
      </c>
      <c r="K15" s="76"/>
      <c r="L15" s="76"/>
      <c r="M15" s="76"/>
      <c r="N15" s="76"/>
      <c r="O15" s="77"/>
      <c r="P15" s="72"/>
      <c r="Q15" s="72"/>
    </row>
    <row r="16" spans="1:17" s="1" customFormat="1" x14ac:dyDescent="0.25">
      <c r="A16" s="60">
        <v>14</v>
      </c>
      <c r="B16" s="60"/>
      <c r="C16" s="69" t="s">
        <v>253</v>
      </c>
      <c r="D16" s="73"/>
      <c r="E16" s="73"/>
      <c r="F16" s="73"/>
      <c r="G16" s="73"/>
      <c r="H16" s="74">
        <v>1</v>
      </c>
      <c r="I16" s="75">
        <v>25000</v>
      </c>
      <c r="J16" s="60">
        <f t="shared" si="1"/>
        <v>25000</v>
      </c>
      <c r="K16" s="76"/>
      <c r="L16" s="76"/>
      <c r="M16" s="76"/>
      <c r="N16" s="76"/>
      <c r="O16" s="77"/>
      <c r="P16" s="72"/>
      <c r="Q16" s="72"/>
    </row>
    <row r="17" spans="1:17" s="1" customFormat="1" x14ac:dyDescent="0.25">
      <c r="A17" s="60">
        <v>15</v>
      </c>
      <c r="B17" s="60"/>
      <c r="C17" s="69" t="s">
        <v>254</v>
      </c>
      <c r="D17" s="73"/>
      <c r="E17" s="73"/>
      <c r="F17" s="73"/>
      <c r="G17" s="73" t="s">
        <v>255</v>
      </c>
      <c r="H17" s="74">
        <v>4</v>
      </c>
      <c r="I17" s="75">
        <v>8000</v>
      </c>
      <c r="J17" s="60">
        <f t="shared" si="1"/>
        <v>32000</v>
      </c>
      <c r="K17" s="76"/>
      <c r="L17" s="76"/>
      <c r="M17" s="76"/>
      <c r="N17" s="76"/>
      <c r="O17" s="77"/>
      <c r="P17" s="72"/>
      <c r="Q17" s="72"/>
    </row>
    <row r="18" spans="1:17" s="1" customFormat="1" x14ac:dyDescent="0.25">
      <c r="A18" s="137">
        <v>16</v>
      </c>
      <c r="B18" s="137"/>
      <c r="C18" s="138" t="s">
        <v>256</v>
      </c>
      <c r="D18" s="137"/>
      <c r="E18" s="139"/>
      <c r="F18" s="139"/>
      <c r="G18" s="139" t="s">
        <v>257</v>
      </c>
      <c r="H18" s="140">
        <v>1</v>
      </c>
      <c r="I18" s="141">
        <v>100000</v>
      </c>
      <c r="J18" s="137">
        <f t="shared" si="1"/>
        <v>100000</v>
      </c>
      <c r="K18" s="76"/>
      <c r="L18" s="76"/>
      <c r="M18" s="76"/>
      <c r="N18" s="76"/>
      <c r="O18" s="76"/>
      <c r="P18" s="72"/>
      <c r="Q18" s="72"/>
    </row>
    <row r="19" spans="1:17" s="1" customFormat="1" x14ac:dyDescent="0.25">
      <c r="A19" s="60">
        <v>17</v>
      </c>
      <c r="B19" s="60"/>
      <c r="C19" s="69" t="s">
        <v>282</v>
      </c>
      <c r="D19" s="60"/>
      <c r="E19" s="71"/>
      <c r="F19" s="60"/>
      <c r="G19" s="73" t="s">
        <v>283</v>
      </c>
      <c r="H19" s="63"/>
      <c r="I19" s="60"/>
      <c r="J19" s="60">
        <v>70000</v>
      </c>
    </row>
    <row r="20" spans="1:17" x14ac:dyDescent="0.25">
      <c r="I20" s="43" t="s">
        <v>62</v>
      </c>
      <c r="J20" s="78">
        <f>SUM(J3:J19)</f>
        <v>786000</v>
      </c>
    </row>
  </sheetData>
  <mergeCells count="1">
    <mergeCell ref="A1:E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8"/>
  <sheetViews>
    <sheetView workbookViewId="0">
      <selection activeCell="I49" sqref="I49"/>
    </sheetView>
  </sheetViews>
  <sheetFormatPr defaultRowHeight="15" x14ac:dyDescent="0.25"/>
  <cols>
    <col min="3" max="3" width="6.140625" bestFit="1" customWidth="1"/>
    <col min="4" max="4" width="11.140625" bestFit="1" customWidth="1"/>
    <col min="5" max="5" width="10.42578125" customWidth="1"/>
    <col min="6" max="6" width="11" bestFit="1" customWidth="1"/>
  </cols>
  <sheetData>
    <row r="2" spans="3:7" x14ac:dyDescent="0.25">
      <c r="C2" s="123" t="s">
        <v>114</v>
      </c>
      <c r="D2" s="123"/>
      <c r="E2" s="123"/>
      <c r="F2" s="123"/>
    </row>
    <row r="3" spans="3:7" x14ac:dyDescent="0.25">
      <c r="C3" s="43" t="s">
        <v>111</v>
      </c>
      <c r="D3" s="43" t="s">
        <v>61</v>
      </c>
      <c r="E3" s="43" t="s">
        <v>6</v>
      </c>
      <c r="F3" s="43" t="s">
        <v>113</v>
      </c>
    </row>
    <row r="4" spans="3:7" x14ac:dyDescent="0.25">
      <c r="C4" s="26">
        <v>1</v>
      </c>
      <c r="D4" s="27" t="s">
        <v>0</v>
      </c>
      <c r="E4" s="28">
        <f>Material!M22+Material!H52</f>
        <v>1268848.3500000001</v>
      </c>
      <c r="F4" s="26">
        <f>E4*25%</f>
        <v>317212.08750000002</v>
      </c>
    </row>
    <row r="5" spans="3:7" x14ac:dyDescent="0.25">
      <c r="C5" s="26">
        <v>2</v>
      </c>
      <c r="D5" s="27" t="s">
        <v>112</v>
      </c>
      <c r="E5" s="28">
        <f>Services!G32</f>
        <v>1064570</v>
      </c>
      <c r="F5" s="26">
        <f>E5*14.5%</f>
        <v>154362.65</v>
      </c>
    </row>
    <row r="6" spans="3:7" x14ac:dyDescent="0.25">
      <c r="C6" s="26">
        <v>3</v>
      </c>
      <c r="D6" s="27" t="s">
        <v>96</v>
      </c>
      <c r="E6" s="32">
        <f>Services!G45</f>
        <v>558200</v>
      </c>
      <c r="F6" s="33">
        <f>E6*14.5%</f>
        <v>80939</v>
      </c>
    </row>
    <row r="7" spans="3:7" x14ac:dyDescent="0.25">
      <c r="C7" s="29"/>
      <c r="D7" s="31"/>
      <c r="E7" s="30">
        <f>SUM(E4:E6)</f>
        <v>2891618.35</v>
      </c>
      <c r="F7" s="54">
        <f>SUM(F4:F6)</f>
        <v>552513.73750000005</v>
      </c>
      <c r="G7" s="34">
        <f>F7+E7</f>
        <v>3444132.0875000004</v>
      </c>
    </row>
    <row r="8" spans="3:7" x14ac:dyDescent="0.25">
      <c r="E8" s="35" t="s">
        <v>115</v>
      </c>
      <c r="F8" s="35" t="s">
        <v>116</v>
      </c>
      <c r="G8" s="35" t="s">
        <v>117</v>
      </c>
    </row>
  </sheetData>
  <mergeCells count="1">
    <mergeCell ref="C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56"/>
  <sheetViews>
    <sheetView topLeftCell="A7" workbookViewId="0">
      <selection activeCell="I49" sqref="I49"/>
    </sheetView>
  </sheetViews>
  <sheetFormatPr defaultRowHeight="15" x14ac:dyDescent="0.25"/>
  <cols>
    <col min="2" max="2" width="14.28515625" bestFit="1" customWidth="1"/>
    <col min="3" max="3" width="14.5703125" bestFit="1" customWidth="1"/>
    <col min="4" max="4" width="9.5703125" style="1" bestFit="1" customWidth="1"/>
    <col min="5" max="5" width="4.5703125" style="1" bestFit="1" customWidth="1"/>
    <col min="6" max="6" width="5.140625" style="1" bestFit="1" customWidth="1"/>
    <col min="7" max="7" width="7.85546875" style="1" bestFit="1" customWidth="1"/>
    <col min="8" max="8" width="14.28515625" style="1" bestFit="1" customWidth="1"/>
    <col min="9" max="9" width="25.140625" bestFit="1" customWidth="1"/>
    <col min="10" max="10" width="13" style="1" bestFit="1" customWidth="1"/>
    <col min="11" max="11" width="10.28515625" style="1" bestFit="1" customWidth="1"/>
    <col min="12" max="12" width="14" style="1" bestFit="1" customWidth="1"/>
    <col min="13" max="13" width="14.28515625" style="1" bestFit="1" customWidth="1"/>
    <col min="15" max="15" width="16.28515625" style="1" bestFit="1" customWidth="1"/>
    <col min="16" max="16" width="4.42578125" bestFit="1" customWidth="1"/>
    <col min="17" max="17" width="5" bestFit="1" customWidth="1"/>
  </cols>
  <sheetData>
    <row r="3" spans="2:18" x14ac:dyDescent="0.25">
      <c r="B3" s="41" t="s">
        <v>0</v>
      </c>
      <c r="C3" s="41" t="s">
        <v>1</v>
      </c>
      <c r="D3" s="41" t="s">
        <v>2</v>
      </c>
      <c r="E3" s="41" t="s">
        <v>3</v>
      </c>
      <c r="F3" s="41" t="s">
        <v>4</v>
      </c>
      <c r="G3" s="41" t="s">
        <v>5</v>
      </c>
      <c r="H3" s="41" t="s">
        <v>6</v>
      </c>
      <c r="I3" s="41" t="s">
        <v>34</v>
      </c>
      <c r="J3" s="3" t="s">
        <v>104</v>
      </c>
      <c r="K3" s="3" t="s">
        <v>105</v>
      </c>
      <c r="L3" s="3" t="s">
        <v>106</v>
      </c>
      <c r="M3" s="3" t="s">
        <v>62</v>
      </c>
      <c r="O3" s="128" t="s">
        <v>108</v>
      </c>
      <c r="P3" s="128"/>
      <c r="Q3" s="128"/>
    </row>
    <row r="4" spans="2:18" x14ac:dyDescent="0.25">
      <c r="B4" s="129" t="s">
        <v>7</v>
      </c>
      <c r="C4" s="4" t="s">
        <v>8</v>
      </c>
      <c r="D4" s="6" t="s">
        <v>9</v>
      </c>
      <c r="E4" s="6">
        <v>30</v>
      </c>
      <c r="F4" s="6" t="s">
        <v>10</v>
      </c>
      <c r="G4" s="6">
        <v>1000</v>
      </c>
      <c r="H4" s="8">
        <f>G4*E4</f>
        <v>30000</v>
      </c>
      <c r="I4" s="4" t="s">
        <v>11</v>
      </c>
      <c r="J4" s="5">
        <f>H4*50%</f>
        <v>15000</v>
      </c>
      <c r="K4" s="5">
        <f>H4*10%</f>
        <v>3000</v>
      </c>
      <c r="L4" s="5">
        <f>H4*7.5%</f>
        <v>2250</v>
      </c>
      <c r="M4" s="5">
        <f>L4+K4+J4+H4</f>
        <v>50250</v>
      </c>
      <c r="O4" s="42">
        <v>4</v>
      </c>
      <c r="P4" s="4">
        <v>30</v>
      </c>
      <c r="Q4" s="4">
        <f>P4*O4</f>
        <v>120</v>
      </c>
      <c r="R4">
        <f>(114+240)/1000*3.141*P4</f>
        <v>33.357419999999998</v>
      </c>
    </row>
    <row r="5" spans="2:18" x14ac:dyDescent="0.25">
      <c r="B5" s="129"/>
      <c r="C5" s="4"/>
      <c r="D5" s="6" t="s">
        <v>12</v>
      </c>
      <c r="E5" s="6">
        <v>200</v>
      </c>
      <c r="F5" s="6" t="s">
        <v>10</v>
      </c>
      <c r="G5" s="6">
        <v>694</v>
      </c>
      <c r="H5" s="8">
        <f t="shared" ref="H5:H19" si="0">G5*E5</f>
        <v>138800</v>
      </c>
      <c r="I5" s="4" t="s">
        <v>13</v>
      </c>
      <c r="J5" s="5">
        <f t="shared" ref="J5:J19" si="1">H5*50%</f>
        <v>69400</v>
      </c>
      <c r="K5" s="5">
        <f t="shared" ref="K5:K19" si="2">H5*10%</f>
        <v>13880</v>
      </c>
      <c r="L5" s="5">
        <f t="shared" ref="L5:L19" si="3">H5*7.5%</f>
        <v>10410</v>
      </c>
      <c r="M5" s="5">
        <f t="shared" ref="M5:M19" si="4">L5+K5+J5+H5</f>
        <v>232490</v>
      </c>
      <c r="O5" s="42">
        <v>3</v>
      </c>
      <c r="P5" s="4">
        <v>200</v>
      </c>
      <c r="Q5" s="4">
        <f t="shared" ref="Q5:Q12" si="5">P5*O5</f>
        <v>600</v>
      </c>
      <c r="R5">
        <f>(90+240)/1000*3.141*P5</f>
        <v>207.30599999999998</v>
      </c>
    </row>
    <row r="6" spans="2:18" x14ac:dyDescent="0.25">
      <c r="B6" s="129"/>
      <c r="C6" s="4"/>
      <c r="D6" s="42" t="s">
        <v>14</v>
      </c>
      <c r="E6" s="42">
        <v>30</v>
      </c>
      <c r="F6" s="42" t="s">
        <v>10</v>
      </c>
      <c r="G6" s="42">
        <v>345</v>
      </c>
      <c r="H6" s="8">
        <f t="shared" si="0"/>
        <v>10350</v>
      </c>
      <c r="I6" s="4" t="s">
        <v>15</v>
      </c>
      <c r="J6" s="5">
        <f t="shared" si="1"/>
        <v>5175</v>
      </c>
      <c r="K6" s="5">
        <f t="shared" si="2"/>
        <v>1035</v>
      </c>
      <c r="L6" s="5">
        <f t="shared" si="3"/>
        <v>776.25</v>
      </c>
      <c r="M6" s="5">
        <f t="shared" si="4"/>
        <v>17336.25</v>
      </c>
      <c r="O6" s="42">
        <v>2</v>
      </c>
      <c r="P6" s="4">
        <v>30</v>
      </c>
      <c r="Q6" s="4">
        <f t="shared" si="5"/>
        <v>60</v>
      </c>
      <c r="R6">
        <f>(60+240)/1000*3.141*P6</f>
        <v>28.268999999999998</v>
      </c>
    </row>
    <row r="7" spans="2:18" x14ac:dyDescent="0.25">
      <c r="B7" s="129"/>
      <c r="C7" s="4"/>
      <c r="D7" s="7" t="s">
        <v>16</v>
      </c>
      <c r="E7" s="42">
        <v>100</v>
      </c>
      <c r="F7" s="42" t="s">
        <v>10</v>
      </c>
      <c r="G7" s="42">
        <v>165</v>
      </c>
      <c r="H7" s="8">
        <f t="shared" si="0"/>
        <v>16500</v>
      </c>
      <c r="I7" s="4" t="s">
        <v>17</v>
      </c>
      <c r="J7" s="5">
        <f t="shared" si="1"/>
        <v>8250</v>
      </c>
      <c r="K7" s="5">
        <f t="shared" si="2"/>
        <v>1650</v>
      </c>
      <c r="L7" s="5">
        <f t="shared" si="3"/>
        <v>1237.5</v>
      </c>
      <c r="M7" s="5">
        <f t="shared" si="4"/>
        <v>27637.5</v>
      </c>
      <c r="O7" s="42">
        <v>1</v>
      </c>
      <c r="P7" s="4">
        <v>100</v>
      </c>
      <c r="Q7" s="4">
        <f t="shared" si="5"/>
        <v>100</v>
      </c>
      <c r="R7">
        <f>(34+240)/1000*3.141*P7</f>
        <v>86.063400000000016</v>
      </c>
    </row>
    <row r="8" spans="2:18" x14ac:dyDescent="0.25">
      <c r="B8" s="129"/>
      <c r="C8" s="4" t="s">
        <v>18</v>
      </c>
      <c r="D8" s="42" t="s">
        <v>12</v>
      </c>
      <c r="E8" s="42">
        <v>18</v>
      </c>
      <c r="F8" s="42" t="s">
        <v>10</v>
      </c>
      <c r="G8" s="42">
        <v>390</v>
      </c>
      <c r="H8" s="8">
        <f t="shared" si="0"/>
        <v>7020</v>
      </c>
      <c r="I8" s="4" t="s">
        <v>19</v>
      </c>
      <c r="J8" s="5">
        <f t="shared" si="1"/>
        <v>3510</v>
      </c>
      <c r="K8" s="5">
        <f t="shared" si="2"/>
        <v>702</v>
      </c>
      <c r="L8" s="5">
        <f t="shared" si="3"/>
        <v>526.5</v>
      </c>
      <c r="M8" s="5">
        <f t="shared" si="4"/>
        <v>11758.5</v>
      </c>
      <c r="O8" s="42">
        <v>3</v>
      </c>
      <c r="P8" s="4">
        <v>18</v>
      </c>
      <c r="Q8" s="4">
        <f t="shared" si="5"/>
        <v>54</v>
      </c>
    </row>
    <row r="9" spans="2:18" x14ac:dyDescent="0.25">
      <c r="B9" s="129"/>
      <c r="C9" s="4"/>
      <c r="D9" s="42" t="s">
        <v>14</v>
      </c>
      <c r="E9" s="42">
        <v>10</v>
      </c>
      <c r="F9" s="42" t="s">
        <v>10</v>
      </c>
      <c r="G9" s="42">
        <v>270</v>
      </c>
      <c r="H9" s="8">
        <f t="shared" si="0"/>
        <v>2700</v>
      </c>
      <c r="I9" s="4" t="s">
        <v>20</v>
      </c>
      <c r="J9" s="5">
        <f t="shared" si="1"/>
        <v>1350</v>
      </c>
      <c r="K9" s="5">
        <f t="shared" si="2"/>
        <v>270</v>
      </c>
      <c r="L9" s="5">
        <f t="shared" si="3"/>
        <v>202.5</v>
      </c>
      <c r="M9" s="5">
        <f t="shared" si="4"/>
        <v>4522.5</v>
      </c>
      <c r="O9" s="42">
        <v>2</v>
      </c>
      <c r="P9" s="4">
        <v>10</v>
      </c>
      <c r="Q9" s="4">
        <f t="shared" si="5"/>
        <v>20</v>
      </c>
    </row>
    <row r="10" spans="2:18" x14ac:dyDescent="0.25">
      <c r="B10" s="129"/>
      <c r="C10" s="4"/>
      <c r="D10" s="42" t="s">
        <v>21</v>
      </c>
      <c r="E10" s="42">
        <v>10</v>
      </c>
      <c r="F10" s="42" t="s">
        <v>10</v>
      </c>
      <c r="G10" s="42">
        <v>220</v>
      </c>
      <c r="H10" s="8">
        <f t="shared" si="0"/>
        <v>2200</v>
      </c>
      <c r="I10" s="4" t="s">
        <v>15</v>
      </c>
      <c r="J10" s="5">
        <f t="shared" si="1"/>
        <v>1100</v>
      </c>
      <c r="K10" s="5">
        <f t="shared" si="2"/>
        <v>220</v>
      </c>
      <c r="L10" s="5">
        <f t="shared" si="3"/>
        <v>165</v>
      </c>
      <c r="M10" s="5">
        <f t="shared" si="4"/>
        <v>3685</v>
      </c>
      <c r="O10" s="42">
        <v>1.5</v>
      </c>
      <c r="P10" s="4">
        <v>10</v>
      </c>
      <c r="Q10" s="4">
        <f t="shared" si="5"/>
        <v>15</v>
      </c>
    </row>
    <row r="11" spans="2:18" x14ac:dyDescent="0.25">
      <c r="B11" s="129"/>
      <c r="C11" s="4"/>
      <c r="D11" s="42" t="s">
        <v>16</v>
      </c>
      <c r="E11" s="42">
        <v>24</v>
      </c>
      <c r="F11" s="42" t="s">
        <v>10</v>
      </c>
      <c r="G11" s="42">
        <v>130</v>
      </c>
      <c r="H11" s="8">
        <f t="shared" si="0"/>
        <v>3120</v>
      </c>
      <c r="I11" s="4" t="s">
        <v>22</v>
      </c>
      <c r="J11" s="5">
        <f t="shared" si="1"/>
        <v>1560</v>
      </c>
      <c r="K11" s="5">
        <f t="shared" si="2"/>
        <v>312</v>
      </c>
      <c r="L11" s="5">
        <f t="shared" si="3"/>
        <v>234</v>
      </c>
      <c r="M11" s="5">
        <f t="shared" si="4"/>
        <v>5226</v>
      </c>
      <c r="O11" s="42">
        <v>1</v>
      </c>
      <c r="P11" s="4">
        <v>24</v>
      </c>
      <c r="Q11" s="4">
        <f t="shared" si="5"/>
        <v>24</v>
      </c>
    </row>
    <row r="12" spans="2:18" x14ac:dyDescent="0.25">
      <c r="B12" s="129"/>
      <c r="C12" s="4"/>
      <c r="D12" s="42" t="s">
        <v>23</v>
      </c>
      <c r="E12" s="42">
        <v>60</v>
      </c>
      <c r="F12" s="42" t="s">
        <v>10</v>
      </c>
      <c r="G12" s="42">
        <v>70</v>
      </c>
      <c r="H12" s="8">
        <f t="shared" si="0"/>
        <v>4200</v>
      </c>
      <c r="I12" s="4" t="s">
        <v>24</v>
      </c>
      <c r="J12" s="5">
        <f t="shared" si="1"/>
        <v>2100</v>
      </c>
      <c r="K12" s="5">
        <f t="shared" si="2"/>
        <v>420</v>
      </c>
      <c r="L12" s="5">
        <f t="shared" si="3"/>
        <v>315</v>
      </c>
      <c r="M12" s="5">
        <f t="shared" si="4"/>
        <v>7035</v>
      </c>
      <c r="O12" s="42">
        <v>1</v>
      </c>
      <c r="P12" s="4">
        <v>60</v>
      </c>
      <c r="Q12" s="4">
        <f t="shared" si="5"/>
        <v>60</v>
      </c>
    </row>
    <row r="13" spans="2:18" x14ac:dyDescent="0.25">
      <c r="B13" s="129"/>
      <c r="C13" s="4" t="s">
        <v>25</v>
      </c>
      <c r="D13" s="42" t="s">
        <v>9</v>
      </c>
      <c r="E13" s="42">
        <v>18</v>
      </c>
      <c r="F13" s="42" t="s">
        <v>10</v>
      </c>
      <c r="G13" s="42">
        <v>1550</v>
      </c>
      <c r="H13" s="8">
        <f t="shared" si="0"/>
        <v>27900</v>
      </c>
      <c r="I13" s="4" t="s">
        <v>26</v>
      </c>
      <c r="J13" s="5">
        <f t="shared" si="1"/>
        <v>13950</v>
      </c>
      <c r="K13" s="5">
        <f t="shared" si="2"/>
        <v>2790</v>
      </c>
      <c r="L13" s="5">
        <f t="shared" si="3"/>
        <v>2092.5</v>
      </c>
      <c r="M13" s="5">
        <f t="shared" si="4"/>
        <v>46732.5</v>
      </c>
      <c r="O13" s="12"/>
      <c r="P13" s="17">
        <f>SUM(P4:P12)</f>
        <v>482</v>
      </c>
      <c r="Q13" s="17">
        <f>SUM(Q4:Q12)</f>
        <v>1053</v>
      </c>
    </row>
    <row r="14" spans="2:18" x14ac:dyDescent="0.25">
      <c r="B14" s="129"/>
      <c r="C14" s="4"/>
      <c r="D14" s="42" t="s">
        <v>12</v>
      </c>
      <c r="E14" s="42">
        <v>0</v>
      </c>
      <c r="F14" s="42" t="s">
        <v>10</v>
      </c>
      <c r="G14" s="42">
        <v>1260</v>
      </c>
      <c r="H14" s="8">
        <f t="shared" si="0"/>
        <v>0</v>
      </c>
      <c r="I14" s="4" t="s">
        <v>27</v>
      </c>
      <c r="J14" s="5">
        <f t="shared" si="1"/>
        <v>0</v>
      </c>
      <c r="K14" s="5">
        <f t="shared" si="2"/>
        <v>0</v>
      </c>
      <c r="L14" s="5">
        <f t="shared" si="3"/>
        <v>0</v>
      </c>
      <c r="M14" s="5">
        <f t="shared" si="4"/>
        <v>0</v>
      </c>
      <c r="O14" s="12"/>
      <c r="P14" s="11"/>
      <c r="Q14" s="11"/>
    </row>
    <row r="15" spans="2:18" x14ac:dyDescent="0.25">
      <c r="B15" s="129"/>
      <c r="C15" s="4"/>
      <c r="D15" s="6" t="s">
        <v>14</v>
      </c>
      <c r="E15" s="6">
        <v>10</v>
      </c>
      <c r="F15" s="6" t="s">
        <v>10</v>
      </c>
      <c r="G15" s="6">
        <v>350</v>
      </c>
      <c r="H15" s="8">
        <f t="shared" si="0"/>
        <v>3500</v>
      </c>
      <c r="I15" s="4" t="s">
        <v>28</v>
      </c>
      <c r="J15" s="5">
        <f t="shared" si="1"/>
        <v>1750</v>
      </c>
      <c r="K15" s="5">
        <f t="shared" si="2"/>
        <v>350</v>
      </c>
      <c r="L15" s="5">
        <f t="shared" si="3"/>
        <v>262.5</v>
      </c>
      <c r="M15" s="5">
        <f t="shared" si="4"/>
        <v>5862.5</v>
      </c>
      <c r="O15" s="12"/>
      <c r="P15" s="11"/>
      <c r="Q15" s="11"/>
    </row>
    <row r="16" spans="2:18" x14ac:dyDescent="0.25">
      <c r="B16" s="129"/>
      <c r="C16" s="4"/>
      <c r="D16" s="6" t="s">
        <v>21</v>
      </c>
      <c r="E16" s="6">
        <v>20</v>
      </c>
      <c r="F16" s="6" t="s">
        <v>10</v>
      </c>
      <c r="G16" s="6">
        <v>300</v>
      </c>
      <c r="H16" s="8">
        <f t="shared" si="0"/>
        <v>6000</v>
      </c>
      <c r="I16" s="4" t="s">
        <v>29</v>
      </c>
      <c r="J16" s="5">
        <f t="shared" si="1"/>
        <v>3000</v>
      </c>
      <c r="K16" s="5">
        <f t="shared" si="2"/>
        <v>600</v>
      </c>
      <c r="L16" s="5">
        <f t="shared" si="3"/>
        <v>450</v>
      </c>
      <c r="M16" s="5">
        <f t="shared" si="4"/>
        <v>10050</v>
      </c>
      <c r="O16" s="130" t="s">
        <v>107</v>
      </c>
      <c r="P16" s="130"/>
      <c r="Q16" s="130"/>
    </row>
    <row r="17" spans="2:18" x14ac:dyDescent="0.25">
      <c r="B17" s="129"/>
      <c r="C17" s="4"/>
      <c r="D17" s="42" t="s">
        <v>16</v>
      </c>
      <c r="E17" s="42">
        <v>40</v>
      </c>
      <c r="F17" s="42" t="s">
        <v>10</v>
      </c>
      <c r="G17" s="42">
        <v>630</v>
      </c>
      <c r="H17" s="8">
        <f t="shared" si="0"/>
        <v>25200</v>
      </c>
      <c r="I17" s="4" t="s">
        <v>30</v>
      </c>
      <c r="J17" s="5">
        <f t="shared" si="1"/>
        <v>12600</v>
      </c>
      <c r="K17" s="5">
        <f t="shared" si="2"/>
        <v>2520</v>
      </c>
      <c r="L17" s="5">
        <f t="shared" si="3"/>
        <v>1890</v>
      </c>
      <c r="M17" s="5">
        <f t="shared" si="4"/>
        <v>42210</v>
      </c>
      <c r="O17" s="42">
        <v>4</v>
      </c>
      <c r="P17" s="4">
        <v>18</v>
      </c>
      <c r="Q17" s="42">
        <f>P17*O17</f>
        <v>72</v>
      </c>
      <c r="R17">
        <f>(114+100)/1000*3.141*P17</f>
        <v>12.099131999999999</v>
      </c>
    </row>
    <row r="18" spans="2:18" x14ac:dyDescent="0.25">
      <c r="B18" s="129"/>
      <c r="C18" s="4" t="s">
        <v>31</v>
      </c>
      <c r="D18" s="6" t="s">
        <v>9</v>
      </c>
      <c r="E18" s="6">
        <v>30</v>
      </c>
      <c r="F18" s="6" t="s">
        <v>10</v>
      </c>
      <c r="G18" s="6">
        <v>6000</v>
      </c>
      <c r="H18" s="8">
        <f t="shared" si="0"/>
        <v>180000</v>
      </c>
      <c r="I18" s="4" t="s">
        <v>32</v>
      </c>
      <c r="J18" s="5">
        <f t="shared" si="1"/>
        <v>90000</v>
      </c>
      <c r="K18" s="5">
        <f t="shared" si="2"/>
        <v>18000</v>
      </c>
      <c r="L18" s="5">
        <f t="shared" si="3"/>
        <v>13500</v>
      </c>
      <c r="M18" s="5">
        <f t="shared" si="4"/>
        <v>301500</v>
      </c>
      <c r="O18" s="42">
        <v>3</v>
      </c>
      <c r="P18" s="4">
        <v>0</v>
      </c>
      <c r="Q18" s="42">
        <f t="shared" ref="Q18:Q23" si="6">P18*O18</f>
        <v>0</v>
      </c>
    </row>
    <row r="19" spans="2:18" x14ac:dyDescent="0.25">
      <c r="B19" s="129"/>
      <c r="C19" s="4"/>
      <c r="D19" s="42" t="s">
        <v>12</v>
      </c>
      <c r="E19" s="42">
        <v>6</v>
      </c>
      <c r="F19" s="42" t="s">
        <v>10</v>
      </c>
      <c r="G19" s="42">
        <v>5335</v>
      </c>
      <c r="H19" s="8">
        <f t="shared" si="0"/>
        <v>32010</v>
      </c>
      <c r="I19" s="4" t="s">
        <v>33</v>
      </c>
      <c r="J19" s="5">
        <f t="shared" si="1"/>
        <v>16005</v>
      </c>
      <c r="K19" s="5">
        <f t="shared" si="2"/>
        <v>3201</v>
      </c>
      <c r="L19" s="5">
        <f t="shared" si="3"/>
        <v>2400.75</v>
      </c>
      <c r="M19" s="5">
        <f t="shared" si="4"/>
        <v>53616.75</v>
      </c>
      <c r="O19" s="42">
        <v>2</v>
      </c>
      <c r="P19" s="4">
        <v>10</v>
      </c>
      <c r="Q19" s="42">
        <f t="shared" si="6"/>
        <v>20</v>
      </c>
      <c r="R19">
        <f>(60+100)/1000*3.141*P19</f>
        <v>5.0255999999999998</v>
      </c>
    </row>
    <row r="20" spans="2:18" x14ac:dyDescent="0.25">
      <c r="C20" t="s">
        <v>260</v>
      </c>
      <c r="H20" s="2">
        <f>SUM(H4:H19)</f>
        <v>489500</v>
      </c>
      <c r="J20" s="2">
        <f>SUM(J4:J19)</f>
        <v>244750</v>
      </c>
      <c r="K20" s="2">
        <f>SUM(K4:K19)</f>
        <v>48950</v>
      </c>
      <c r="L20" s="2">
        <f>SUM(L4:L19)</f>
        <v>36712.5</v>
      </c>
      <c r="M20" s="2">
        <f>SUM(M4:M19)</f>
        <v>819912.5</v>
      </c>
      <c r="O20" s="42">
        <v>1.5</v>
      </c>
      <c r="P20" s="4">
        <v>20</v>
      </c>
      <c r="Q20" s="42">
        <f t="shared" si="6"/>
        <v>30</v>
      </c>
      <c r="R20">
        <f>(50+100)/1000*3.141*P20</f>
        <v>9.4229999999999983</v>
      </c>
    </row>
    <row r="21" spans="2:18" ht="15.75" x14ac:dyDescent="0.25">
      <c r="C21" s="79" t="s">
        <v>261</v>
      </c>
      <c r="D21" s="80"/>
      <c r="E21" s="80"/>
      <c r="F21" s="80"/>
      <c r="G21" s="80"/>
      <c r="H21" s="81">
        <f>'Required material'!H20+'Required material'!H21</f>
        <v>320002.33999999997</v>
      </c>
      <c r="I21" s="79"/>
      <c r="J21" s="81">
        <f>'Required material'!J20+'Required material'!J21</f>
        <v>26597.539999999997</v>
      </c>
      <c r="K21" s="80">
        <v>0</v>
      </c>
      <c r="L21" s="81">
        <f>'Required material'!L20</f>
        <v>9268.27</v>
      </c>
      <c r="M21" s="81">
        <f>L21+K21+J21+H21</f>
        <v>355868.14999999997</v>
      </c>
      <c r="O21" s="42">
        <v>1</v>
      </c>
      <c r="P21" s="4">
        <v>40</v>
      </c>
      <c r="Q21" s="42">
        <f t="shared" si="6"/>
        <v>40</v>
      </c>
      <c r="R21">
        <f>(34+100)/1000*3.141*P21</f>
        <v>16.835760000000001</v>
      </c>
    </row>
    <row r="22" spans="2:18" x14ac:dyDescent="0.25">
      <c r="C22" s="82" t="s">
        <v>262</v>
      </c>
      <c r="H22" s="83">
        <f>H20-H21</f>
        <v>169497.66000000003</v>
      </c>
      <c r="J22" s="83">
        <f t="shared" ref="J22:M22" si="7">J20-J21</f>
        <v>218152.46</v>
      </c>
      <c r="K22" s="83">
        <f t="shared" si="7"/>
        <v>48950</v>
      </c>
      <c r="L22" s="83">
        <f t="shared" si="7"/>
        <v>27444.23</v>
      </c>
      <c r="M22" s="83">
        <f t="shared" si="7"/>
        <v>464044.35000000003</v>
      </c>
      <c r="O22" s="42">
        <v>4</v>
      </c>
      <c r="P22" s="4">
        <v>30</v>
      </c>
      <c r="Q22" s="42">
        <f t="shared" si="6"/>
        <v>120</v>
      </c>
      <c r="R22">
        <f>(114+160)/1000*3.141*P22</f>
        <v>25.819020000000002</v>
      </c>
    </row>
    <row r="23" spans="2:18" x14ac:dyDescent="0.25">
      <c r="O23" s="42">
        <v>3</v>
      </c>
      <c r="P23" s="4">
        <v>6</v>
      </c>
      <c r="Q23" s="42">
        <f t="shared" si="6"/>
        <v>18</v>
      </c>
      <c r="R23">
        <f>(90+160)/1000*3.141*P23</f>
        <v>4.7115</v>
      </c>
    </row>
    <row r="24" spans="2:18" x14ac:dyDescent="0.25">
      <c r="B24" s="124" t="s">
        <v>39</v>
      </c>
      <c r="C24" s="4" t="s">
        <v>40</v>
      </c>
      <c r="D24" s="6" t="s">
        <v>9</v>
      </c>
      <c r="E24" s="6">
        <v>5</v>
      </c>
      <c r="F24" s="6" t="s">
        <v>41</v>
      </c>
      <c r="G24" s="6">
        <v>53400</v>
      </c>
      <c r="H24" s="9">
        <f>G24*E24</f>
        <v>267000</v>
      </c>
      <c r="O24" s="42"/>
      <c r="P24" s="18">
        <f>SUM(P17:P23)</f>
        <v>124</v>
      </c>
      <c r="Q24" s="19">
        <f>SUM(Q17:Q23)</f>
        <v>300</v>
      </c>
    </row>
    <row r="25" spans="2:18" x14ac:dyDescent="0.25">
      <c r="B25" s="125"/>
      <c r="C25" s="4"/>
      <c r="D25" s="42" t="s">
        <v>12</v>
      </c>
      <c r="E25" s="42">
        <v>5</v>
      </c>
      <c r="F25" s="42" t="s">
        <v>41</v>
      </c>
      <c r="G25" s="42">
        <v>26000</v>
      </c>
      <c r="H25" s="9">
        <f t="shared" ref="H25:H49" si="8">G25*E25</f>
        <v>130000</v>
      </c>
      <c r="O25" s="42" t="s">
        <v>35</v>
      </c>
      <c r="P25" s="4"/>
      <c r="Q25" s="41">
        <v>310</v>
      </c>
    </row>
    <row r="26" spans="2:18" x14ac:dyDescent="0.25">
      <c r="B26" s="125"/>
      <c r="C26" s="4"/>
      <c r="D26" s="42" t="s">
        <v>16</v>
      </c>
      <c r="E26" s="42">
        <v>4</v>
      </c>
      <c r="F26" s="42" t="s">
        <v>42</v>
      </c>
      <c r="G26" s="42">
        <v>6100</v>
      </c>
      <c r="H26" s="9">
        <f t="shared" si="8"/>
        <v>24400</v>
      </c>
      <c r="O26" s="12"/>
      <c r="P26" s="11"/>
      <c r="Q26" s="11"/>
    </row>
    <row r="27" spans="2:18" x14ac:dyDescent="0.25">
      <c r="B27" s="125"/>
      <c r="C27" s="4" t="s">
        <v>43</v>
      </c>
      <c r="D27" s="42" t="s">
        <v>9</v>
      </c>
      <c r="E27" s="42">
        <v>4</v>
      </c>
      <c r="F27" s="42" t="s">
        <v>41</v>
      </c>
      <c r="G27" s="42">
        <v>40000</v>
      </c>
      <c r="H27" s="9">
        <f t="shared" si="8"/>
        <v>160000</v>
      </c>
      <c r="O27" s="128" t="s">
        <v>36</v>
      </c>
      <c r="P27" s="128"/>
      <c r="Q27" s="128"/>
    </row>
    <row r="28" spans="2:18" x14ac:dyDescent="0.25">
      <c r="B28" s="125"/>
      <c r="C28" s="4"/>
      <c r="D28" s="42" t="s">
        <v>12</v>
      </c>
      <c r="E28" s="42">
        <v>1</v>
      </c>
      <c r="F28" s="42" t="s">
        <v>41</v>
      </c>
      <c r="G28" s="42">
        <v>25000</v>
      </c>
      <c r="H28" s="9">
        <f t="shared" si="8"/>
        <v>25000</v>
      </c>
      <c r="O28" s="42">
        <v>4</v>
      </c>
      <c r="P28" s="4">
        <v>6</v>
      </c>
      <c r="Q28" s="4">
        <f>O28*P28</f>
        <v>24</v>
      </c>
    </row>
    <row r="29" spans="2:18" x14ac:dyDescent="0.25">
      <c r="B29" s="125"/>
      <c r="C29" s="4"/>
      <c r="D29" s="42" t="s">
        <v>16</v>
      </c>
      <c r="E29" s="42">
        <v>2</v>
      </c>
      <c r="F29" s="42" t="s">
        <v>41</v>
      </c>
      <c r="G29" s="42">
        <v>21500</v>
      </c>
      <c r="H29" s="9">
        <f t="shared" si="8"/>
        <v>43000</v>
      </c>
      <c r="O29" s="42">
        <v>3</v>
      </c>
      <c r="P29" s="4">
        <v>5</v>
      </c>
      <c r="Q29" s="4">
        <f t="shared" ref="Q29:Q42" si="9">O29*P29</f>
        <v>15</v>
      </c>
    </row>
    <row r="30" spans="2:18" x14ac:dyDescent="0.25">
      <c r="B30" s="125"/>
      <c r="C30" s="4" t="s">
        <v>25</v>
      </c>
      <c r="D30" s="42" t="s">
        <v>9</v>
      </c>
      <c r="E30" s="42">
        <v>1</v>
      </c>
      <c r="F30" s="42" t="s">
        <v>41</v>
      </c>
      <c r="G30" s="42">
        <v>22200</v>
      </c>
      <c r="H30" s="9">
        <f t="shared" si="8"/>
        <v>22200</v>
      </c>
      <c r="O30" s="42">
        <v>1</v>
      </c>
      <c r="P30" s="4">
        <v>4</v>
      </c>
      <c r="Q30" s="4">
        <f t="shared" si="9"/>
        <v>4</v>
      </c>
    </row>
    <row r="31" spans="2:18" x14ac:dyDescent="0.25">
      <c r="B31" s="125"/>
      <c r="C31" s="4"/>
      <c r="D31" s="42" t="s">
        <v>12</v>
      </c>
      <c r="E31" s="42">
        <v>2</v>
      </c>
      <c r="F31" s="42" t="s">
        <v>41</v>
      </c>
      <c r="G31" s="42">
        <v>12450</v>
      </c>
      <c r="H31" s="9">
        <f t="shared" si="8"/>
        <v>24900</v>
      </c>
      <c r="O31" s="42">
        <v>4</v>
      </c>
      <c r="P31" s="4">
        <v>4</v>
      </c>
      <c r="Q31" s="4">
        <f t="shared" si="9"/>
        <v>16</v>
      </c>
    </row>
    <row r="32" spans="2:18" x14ac:dyDescent="0.25">
      <c r="B32" s="125"/>
      <c r="C32" s="4"/>
      <c r="D32" s="6" t="s">
        <v>14</v>
      </c>
      <c r="E32" s="6">
        <v>6</v>
      </c>
      <c r="F32" s="6" t="s">
        <v>41</v>
      </c>
      <c r="G32" s="6">
        <v>6200</v>
      </c>
      <c r="H32" s="9">
        <f t="shared" si="8"/>
        <v>37200</v>
      </c>
      <c r="O32" s="42">
        <v>3</v>
      </c>
      <c r="P32" s="4">
        <v>2</v>
      </c>
      <c r="Q32" s="4">
        <f t="shared" si="9"/>
        <v>6</v>
      </c>
    </row>
    <row r="33" spans="2:17" x14ac:dyDescent="0.25">
      <c r="B33" s="125"/>
      <c r="C33" s="4"/>
      <c r="D33" s="42" t="s">
        <v>16</v>
      </c>
      <c r="E33" s="42">
        <v>4</v>
      </c>
      <c r="F33" s="42" t="s">
        <v>41</v>
      </c>
      <c r="G33" s="42">
        <v>2640</v>
      </c>
      <c r="H33" s="9">
        <f t="shared" si="8"/>
        <v>10560</v>
      </c>
      <c r="O33" s="42">
        <v>1</v>
      </c>
      <c r="P33" s="4">
        <v>2</v>
      </c>
      <c r="Q33" s="4">
        <f t="shared" si="9"/>
        <v>2</v>
      </c>
    </row>
    <row r="34" spans="2:17" x14ac:dyDescent="0.25">
      <c r="B34" s="125"/>
      <c r="C34" s="4" t="s">
        <v>44</v>
      </c>
      <c r="D34" s="42" t="s">
        <v>12</v>
      </c>
      <c r="E34" s="42">
        <v>4</v>
      </c>
      <c r="F34" s="42" t="s">
        <v>41</v>
      </c>
      <c r="G34" s="42">
        <v>7500</v>
      </c>
      <c r="H34" s="9">
        <f t="shared" si="8"/>
        <v>30000</v>
      </c>
      <c r="O34" s="42">
        <v>4</v>
      </c>
      <c r="P34" s="4">
        <v>1</v>
      </c>
      <c r="Q34" s="4">
        <f t="shared" si="9"/>
        <v>4</v>
      </c>
    </row>
    <row r="35" spans="2:17" x14ac:dyDescent="0.25">
      <c r="B35" s="125"/>
      <c r="C35" s="4"/>
      <c r="D35" s="42" t="s">
        <v>14</v>
      </c>
      <c r="E35" s="42">
        <v>13</v>
      </c>
      <c r="F35" s="42" t="s">
        <v>41</v>
      </c>
      <c r="G35" s="42">
        <v>5600</v>
      </c>
      <c r="H35" s="9">
        <f t="shared" si="8"/>
        <v>72800</v>
      </c>
      <c r="O35" s="42">
        <v>3</v>
      </c>
      <c r="P35" s="4">
        <v>2</v>
      </c>
      <c r="Q35" s="4">
        <f t="shared" si="9"/>
        <v>6</v>
      </c>
    </row>
    <row r="36" spans="2:17" x14ac:dyDescent="0.25">
      <c r="B36" s="125"/>
      <c r="C36" s="4"/>
      <c r="D36" s="42" t="s">
        <v>21</v>
      </c>
      <c r="E36" s="42">
        <v>2</v>
      </c>
      <c r="F36" s="42" t="s">
        <v>41</v>
      </c>
      <c r="G36" s="42">
        <v>5472</v>
      </c>
      <c r="H36" s="9">
        <f t="shared" si="8"/>
        <v>10944</v>
      </c>
      <c r="O36" s="42">
        <v>2</v>
      </c>
      <c r="P36" s="4">
        <v>8</v>
      </c>
      <c r="Q36" s="4">
        <f t="shared" si="9"/>
        <v>16</v>
      </c>
    </row>
    <row r="37" spans="2:17" x14ac:dyDescent="0.25">
      <c r="B37" s="125"/>
      <c r="C37" s="4"/>
      <c r="D37" s="42" t="s">
        <v>16</v>
      </c>
      <c r="E37" s="42">
        <v>2</v>
      </c>
      <c r="F37" s="42" t="s">
        <v>41</v>
      </c>
      <c r="G37" s="42">
        <v>1540</v>
      </c>
      <c r="H37" s="9">
        <f t="shared" si="8"/>
        <v>3080</v>
      </c>
      <c r="O37" s="42">
        <v>1</v>
      </c>
      <c r="P37" s="4">
        <v>4</v>
      </c>
      <c r="Q37" s="4">
        <f t="shared" si="9"/>
        <v>4</v>
      </c>
    </row>
    <row r="38" spans="2:17" x14ac:dyDescent="0.25">
      <c r="B38" s="125"/>
      <c r="C38" s="4"/>
      <c r="D38" s="42" t="s">
        <v>23</v>
      </c>
      <c r="E38" s="42">
        <v>20</v>
      </c>
      <c r="F38" s="42" t="s">
        <v>41</v>
      </c>
      <c r="G38" s="42">
        <v>1100</v>
      </c>
      <c r="H38" s="9">
        <f t="shared" si="8"/>
        <v>22000</v>
      </c>
      <c r="O38" s="42">
        <v>3</v>
      </c>
      <c r="P38" s="4">
        <v>4</v>
      </c>
      <c r="Q38" s="4">
        <f t="shared" si="9"/>
        <v>12</v>
      </c>
    </row>
    <row r="39" spans="2:17" x14ac:dyDescent="0.25">
      <c r="B39" s="126"/>
      <c r="C39" s="4"/>
      <c r="D39" s="42"/>
      <c r="E39" s="42"/>
      <c r="F39" s="42"/>
      <c r="G39" s="42"/>
      <c r="H39" s="9">
        <f t="shared" si="8"/>
        <v>0</v>
      </c>
      <c r="O39" s="42">
        <v>2</v>
      </c>
      <c r="P39" s="4">
        <v>13</v>
      </c>
      <c r="Q39" s="4">
        <f t="shared" si="9"/>
        <v>26</v>
      </c>
    </row>
    <row r="40" spans="2:17" x14ac:dyDescent="0.25">
      <c r="B40" s="42" t="s">
        <v>38</v>
      </c>
      <c r="C40" s="4" t="s">
        <v>45</v>
      </c>
      <c r="D40" s="42" t="s">
        <v>23</v>
      </c>
      <c r="E40" s="42">
        <v>10</v>
      </c>
      <c r="F40" s="42" t="s">
        <v>41</v>
      </c>
      <c r="G40" s="42">
        <v>3000</v>
      </c>
      <c r="H40" s="9">
        <f t="shared" si="8"/>
        <v>30000</v>
      </c>
      <c r="O40" s="42">
        <v>1.5</v>
      </c>
      <c r="P40" s="4">
        <v>2</v>
      </c>
      <c r="Q40" s="4">
        <f t="shared" si="9"/>
        <v>3</v>
      </c>
    </row>
    <row r="41" spans="2:17" x14ac:dyDescent="0.25">
      <c r="B41" s="124" t="s">
        <v>46</v>
      </c>
      <c r="C41" s="4" t="s">
        <v>45</v>
      </c>
      <c r="D41" s="6" t="s">
        <v>9</v>
      </c>
      <c r="E41" s="6">
        <v>1</v>
      </c>
      <c r="F41" s="6" t="s">
        <v>41</v>
      </c>
      <c r="G41" s="6">
        <v>22000</v>
      </c>
      <c r="H41" s="9">
        <f t="shared" si="8"/>
        <v>22000</v>
      </c>
      <c r="O41" s="42">
        <v>1</v>
      </c>
      <c r="P41" s="4">
        <v>2</v>
      </c>
      <c r="Q41" s="4">
        <f t="shared" si="9"/>
        <v>2</v>
      </c>
    </row>
    <row r="42" spans="2:17" x14ac:dyDescent="0.25">
      <c r="B42" s="125"/>
      <c r="C42" s="4"/>
      <c r="D42" s="42" t="s">
        <v>14</v>
      </c>
      <c r="E42" s="42">
        <v>1</v>
      </c>
      <c r="F42" s="42" t="s">
        <v>41</v>
      </c>
      <c r="G42" s="42">
        <v>2500</v>
      </c>
      <c r="H42" s="9">
        <f t="shared" si="8"/>
        <v>2500</v>
      </c>
      <c r="O42" s="15" t="s">
        <v>37</v>
      </c>
      <c r="P42" s="4">
        <v>20</v>
      </c>
      <c r="Q42" s="4">
        <f t="shared" si="9"/>
        <v>10</v>
      </c>
    </row>
    <row r="43" spans="2:17" x14ac:dyDescent="0.25">
      <c r="B43" s="125"/>
      <c r="C43" s="4" t="s">
        <v>25</v>
      </c>
      <c r="D43" s="42" t="s">
        <v>12</v>
      </c>
      <c r="E43" s="42">
        <v>1</v>
      </c>
      <c r="F43" s="42" t="s">
        <v>41</v>
      </c>
      <c r="G43" s="42">
        <v>12000</v>
      </c>
      <c r="H43" s="9">
        <f t="shared" si="8"/>
        <v>12000</v>
      </c>
      <c r="O43" s="42"/>
      <c r="P43" s="4"/>
      <c r="Q43" s="17">
        <f>SUM(Q28:Q42)</f>
        <v>150</v>
      </c>
    </row>
    <row r="44" spans="2:17" x14ac:dyDescent="0.25">
      <c r="B44" s="125"/>
      <c r="C44" s="4"/>
      <c r="D44" s="6" t="s">
        <v>14</v>
      </c>
      <c r="E44" s="6">
        <v>1</v>
      </c>
      <c r="F44" s="6" t="s">
        <v>41</v>
      </c>
      <c r="G44" s="6">
        <v>5800</v>
      </c>
      <c r="H44" s="9">
        <f t="shared" si="8"/>
        <v>5800</v>
      </c>
      <c r="O44" s="127" t="s">
        <v>38</v>
      </c>
      <c r="P44" s="127"/>
      <c r="Q44" s="127"/>
    </row>
    <row r="45" spans="2:17" x14ac:dyDescent="0.25">
      <c r="B45" s="125"/>
      <c r="C45" s="4" t="s">
        <v>31</v>
      </c>
      <c r="D45" s="6" t="s">
        <v>9</v>
      </c>
      <c r="E45" s="6">
        <v>0</v>
      </c>
      <c r="F45" s="6" t="s">
        <v>41</v>
      </c>
      <c r="G45" s="6">
        <v>45000</v>
      </c>
      <c r="H45" s="9">
        <f t="shared" si="8"/>
        <v>0</v>
      </c>
      <c r="O45" s="42">
        <v>1</v>
      </c>
      <c r="P45" s="4">
        <v>10</v>
      </c>
      <c r="Q45" s="4">
        <v>10</v>
      </c>
    </row>
    <row r="46" spans="2:17" x14ac:dyDescent="0.25">
      <c r="B46" s="126"/>
      <c r="C46" s="4"/>
      <c r="D46" s="42"/>
      <c r="E46" s="42"/>
      <c r="F46" s="42"/>
      <c r="G46" s="42"/>
      <c r="H46" s="9">
        <f t="shared" si="8"/>
        <v>0</v>
      </c>
      <c r="O46" s="12"/>
      <c r="P46" s="11"/>
      <c r="Q46" s="11">
        <f>Q45+Q43</f>
        <v>160</v>
      </c>
    </row>
    <row r="47" spans="2:17" x14ac:dyDescent="0.25">
      <c r="B47" s="42" t="s">
        <v>47</v>
      </c>
      <c r="C47" s="4"/>
      <c r="D47" s="42"/>
      <c r="E47" s="42">
        <v>1</v>
      </c>
      <c r="F47" s="42" t="s">
        <v>48</v>
      </c>
      <c r="G47" s="42">
        <v>100000</v>
      </c>
      <c r="H47" s="9">
        <f t="shared" si="8"/>
        <v>100000</v>
      </c>
      <c r="O47" s="14"/>
      <c r="P47" s="13"/>
      <c r="Q47" s="13"/>
    </row>
    <row r="48" spans="2:17" x14ac:dyDescent="0.25">
      <c r="B48" s="42" t="s">
        <v>49</v>
      </c>
      <c r="C48" s="4" t="s">
        <v>50</v>
      </c>
      <c r="D48" s="42"/>
      <c r="E48" s="42">
        <v>1</v>
      </c>
      <c r="F48" s="42" t="s">
        <v>48</v>
      </c>
      <c r="G48" s="42">
        <v>150000</v>
      </c>
      <c r="H48" s="9">
        <f t="shared" si="8"/>
        <v>150000</v>
      </c>
      <c r="O48" s="14"/>
      <c r="P48" s="13"/>
      <c r="Q48" s="13"/>
    </row>
    <row r="49" spans="2:17" x14ac:dyDescent="0.25">
      <c r="B49" s="42" t="s">
        <v>35</v>
      </c>
      <c r="C49" s="4" t="s">
        <v>25</v>
      </c>
      <c r="D49" s="42" t="s">
        <v>51</v>
      </c>
      <c r="E49" s="42">
        <v>310</v>
      </c>
      <c r="F49" s="42" t="s">
        <v>10</v>
      </c>
      <c r="G49" s="42">
        <v>160</v>
      </c>
      <c r="H49" s="9">
        <f t="shared" si="8"/>
        <v>49600</v>
      </c>
      <c r="O49" s="12" t="s">
        <v>52</v>
      </c>
      <c r="P49" s="11"/>
      <c r="Q49" s="13"/>
    </row>
    <row r="50" spans="2:17" x14ac:dyDescent="0.25">
      <c r="B50" s="11" t="s">
        <v>263</v>
      </c>
      <c r="C50" s="11"/>
      <c r="D50" s="12"/>
      <c r="E50" s="12"/>
      <c r="F50" s="12"/>
      <c r="G50" s="12"/>
      <c r="H50" s="10">
        <f>SUM(H24:H49)</f>
        <v>1254984</v>
      </c>
      <c r="O50" s="42" t="s">
        <v>53</v>
      </c>
      <c r="P50" s="16">
        <v>0</v>
      </c>
      <c r="Q50" s="13"/>
    </row>
    <row r="51" spans="2:17" ht="15.75" x14ac:dyDescent="0.25">
      <c r="B51" s="79" t="s">
        <v>264</v>
      </c>
      <c r="C51" s="79"/>
      <c r="D51" s="80"/>
      <c r="E51" s="80"/>
      <c r="F51" s="80"/>
      <c r="G51" s="80"/>
      <c r="H51" s="84">
        <f>H50-H52</f>
        <v>450180</v>
      </c>
      <c r="O51" s="42" t="s">
        <v>54</v>
      </c>
      <c r="P51" s="16">
        <v>0</v>
      </c>
      <c r="Q51" s="13"/>
    </row>
    <row r="52" spans="2:17" x14ac:dyDescent="0.25">
      <c r="B52" s="13" t="s">
        <v>265</v>
      </c>
      <c r="C52" s="13"/>
      <c r="D52" s="14"/>
      <c r="E52" s="14"/>
      <c r="F52" s="14"/>
      <c r="G52" s="14"/>
      <c r="H52" s="85">
        <f>'Required material'!K51</f>
        <v>804804</v>
      </c>
      <c r="O52" s="42" t="s">
        <v>55</v>
      </c>
      <c r="P52" s="4">
        <v>5</v>
      </c>
      <c r="Q52" s="13"/>
    </row>
    <row r="53" spans="2:17" x14ac:dyDescent="0.25">
      <c r="B53" s="13"/>
      <c r="C53" s="13"/>
      <c r="D53" s="14"/>
      <c r="E53" s="14"/>
      <c r="F53" s="14"/>
      <c r="G53" s="14"/>
      <c r="H53" s="14"/>
      <c r="O53" s="42" t="s">
        <v>56</v>
      </c>
      <c r="P53" s="4">
        <v>5</v>
      </c>
      <c r="Q53" s="13"/>
    </row>
    <row r="54" spans="2:17" x14ac:dyDescent="0.25">
      <c r="O54" s="42" t="s">
        <v>57</v>
      </c>
      <c r="P54" s="16">
        <v>0</v>
      </c>
      <c r="Q54" s="13"/>
    </row>
    <row r="55" spans="2:17" x14ac:dyDescent="0.25">
      <c r="O55" s="42" t="s">
        <v>58</v>
      </c>
      <c r="P55" s="16">
        <v>3</v>
      </c>
      <c r="Q55" s="13"/>
    </row>
    <row r="56" spans="2:17" x14ac:dyDescent="0.25">
      <c r="O56" s="12"/>
      <c r="P56" s="11">
        <f>SUM(P50:P55)</f>
        <v>13</v>
      </c>
      <c r="Q56" s="13"/>
    </row>
  </sheetData>
  <sheetProtection selectLockedCells="1" selectUnlockedCells="1"/>
  <mergeCells count="7">
    <mergeCell ref="B41:B46"/>
    <mergeCell ref="O44:Q44"/>
    <mergeCell ref="O3:Q3"/>
    <mergeCell ref="B4:B19"/>
    <mergeCell ref="O16:Q16"/>
    <mergeCell ref="B24:B39"/>
    <mergeCell ref="O27:Q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11" workbookViewId="0">
      <selection activeCell="I49" sqref="I49"/>
    </sheetView>
  </sheetViews>
  <sheetFormatPr defaultRowHeight="15" x14ac:dyDescent="0.25"/>
  <cols>
    <col min="2" max="3" width="12" bestFit="1" customWidth="1"/>
    <col min="8" max="8" width="9.85546875" bestFit="1" customWidth="1"/>
    <col min="9" max="9" width="25.140625" bestFit="1" customWidth="1"/>
    <col min="10" max="10" width="10.42578125" bestFit="1" customWidth="1"/>
    <col min="11" max="11" width="10" bestFit="1" customWidth="1"/>
    <col min="12" max="12" width="17" bestFit="1" customWidth="1"/>
  </cols>
  <sheetData>
    <row r="2" spans="2:13" x14ac:dyDescent="0.25">
      <c r="B2" s="41" t="s">
        <v>0</v>
      </c>
      <c r="C2" s="41" t="s">
        <v>1</v>
      </c>
      <c r="D2" s="41" t="s">
        <v>2</v>
      </c>
      <c r="E2" s="41" t="s">
        <v>3</v>
      </c>
      <c r="F2" s="41" t="s">
        <v>4</v>
      </c>
      <c r="G2" s="41" t="s">
        <v>5</v>
      </c>
      <c r="H2" s="41" t="s">
        <v>6</v>
      </c>
      <c r="I2" s="41" t="s">
        <v>34</v>
      </c>
      <c r="J2" s="3" t="s">
        <v>104</v>
      </c>
      <c r="K2" s="3" t="s">
        <v>105</v>
      </c>
      <c r="L2" s="3" t="s">
        <v>106</v>
      </c>
      <c r="M2" s="3" t="s">
        <v>62</v>
      </c>
    </row>
    <row r="3" spans="2:13" x14ac:dyDescent="0.25">
      <c r="B3" s="129" t="s">
        <v>7</v>
      </c>
      <c r="C3" s="4" t="s">
        <v>8</v>
      </c>
      <c r="D3" s="6" t="s">
        <v>9</v>
      </c>
      <c r="E3" s="6">
        <v>30</v>
      </c>
      <c r="F3" s="6" t="s">
        <v>10</v>
      </c>
      <c r="G3" s="6">
        <v>1000</v>
      </c>
      <c r="H3" s="8">
        <f t="shared" ref="H3:H18" si="0">G3*E3</f>
        <v>30000</v>
      </c>
      <c r="I3" s="4" t="s">
        <v>11</v>
      </c>
      <c r="J3" s="5">
        <f>H3*50%</f>
        <v>15000</v>
      </c>
      <c r="K3" s="5">
        <f t="shared" ref="K3:K18" si="1">H3*10%</f>
        <v>3000</v>
      </c>
      <c r="L3" s="5">
        <f t="shared" ref="L3:L18" si="2">H3*7.5%</f>
        <v>2250</v>
      </c>
      <c r="M3" s="5">
        <f t="shared" ref="M3:M18" si="3">L3+K3+J3+H3</f>
        <v>50250</v>
      </c>
    </row>
    <row r="4" spans="2:13" x14ac:dyDescent="0.25">
      <c r="B4" s="129"/>
      <c r="C4" s="4"/>
      <c r="D4" s="6" t="s">
        <v>12</v>
      </c>
      <c r="E4" s="6">
        <v>200</v>
      </c>
      <c r="F4" s="6" t="s">
        <v>10</v>
      </c>
      <c r="G4" s="6">
        <v>694</v>
      </c>
      <c r="H4" s="8">
        <f t="shared" si="0"/>
        <v>138800</v>
      </c>
      <c r="I4" s="4" t="s">
        <v>13</v>
      </c>
      <c r="J4" s="5">
        <f t="shared" ref="J4:J18" si="4">H4*50%</f>
        <v>69400</v>
      </c>
      <c r="K4" s="5">
        <f t="shared" si="1"/>
        <v>13880</v>
      </c>
      <c r="L4" s="5">
        <f t="shared" si="2"/>
        <v>10410</v>
      </c>
      <c r="M4" s="5">
        <f t="shared" si="3"/>
        <v>232490</v>
      </c>
    </row>
    <row r="5" spans="2:13" x14ac:dyDescent="0.25">
      <c r="B5" s="129"/>
      <c r="C5" s="4"/>
      <c r="D5" s="42" t="s">
        <v>14</v>
      </c>
      <c r="E5" s="42">
        <v>30</v>
      </c>
      <c r="F5" s="42" t="s">
        <v>10</v>
      </c>
      <c r="G5" s="42">
        <v>345</v>
      </c>
      <c r="H5" s="8">
        <f t="shared" si="0"/>
        <v>10350</v>
      </c>
      <c r="I5" s="4" t="s">
        <v>15</v>
      </c>
      <c r="J5" s="5">
        <f t="shared" si="4"/>
        <v>5175</v>
      </c>
      <c r="K5" s="5">
        <f t="shared" si="1"/>
        <v>1035</v>
      </c>
      <c r="L5" s="5">
        <f t="shared" si="2"/>
        <v>776.25</v>
      </c>
      <c r="M5" s="5">
        <f t="shared" si="3"/>
        <v>17336.25</v>
      </c>
    </row>
    <row r="6" spans="2:13" x14ac:dyDescent="0.25">
      <c r="B6" s="129"/>
      <c r="C6" s="4"/>
      <c r="D6" s="7" t="s">
        <v>16</v>
      </c>
      <c r="E6" s="42">
        <v>100</v>
      </c>
      <c r="F6" s="42" t="s">
        <v>10</v>
      </c>
      <c r="G6" s="42">
        <v>165</v>
      </c>
      <c r="H6" s="8">
        <f t="shared" si="0"/>
        <v>16500</v>
      </c>
      <c r="I6" s="4" t="s">
        <v>17</v>
      </c>
      <c r="J6" s="5">
        <f t="shared" si="4"/>
        <v>8250</v>
      </c>
      <c r="K6" s="5">
        <f t="shared" si="1"/>
        <v>1650</v>
      </c>
      <c r="L6" s="5">
        <f t="shared" si="2"/>
        <v>1237.5</v>
      </c>
      <c r="M6" s="5">
        <f t="shared" si="3"/>
        <v>27637.5</v>
      </c>
    </row>
    <row r="7" spans="2:13" x14ac:dyDescent="0.25">
      <c r="B7" s="129"/>
      <c r="C7" s="4" t="s">
        <v>18</v>
      </c>
      <c r="D7" s="42" t="s">
        <v>12</v>
      </c>
      <c r="E7" s="42">
        <v>18</v>
      </c>
      <c r="F7" s="42" t="s">
        <v>10</v>
      </c>
      <c r="G7" s="42">
        <v>390</v>
      </c>
      <c r="H7" s="8">
        <f t="shared" si="0"/>
        <v>7020</v>
      </c>
      <c r="I7" s="4" t="s">
        <v>19</v>
      </c>
      <c r="J7" s="5">
        <f t="shared" si="4"/>
        <v>3510</v>
      </c>
      <c r="K7" s="5">
        <f t="shared" si="1"/>
        <v>702</v>
      </c>
      <c r="L7" s="5">
        <f t="shared" si="2"/>
        <v>526.5</v>
      </c>
      <c r="M7" s="5">
        <f t="shared" si="3"/>
        <v>11758.5</v>
      </c>
    </row>
    <row r="8" spans="2:13" x14ac:dyDescent="0.25">
      <c r="B8" s="129"/>
      <c r="C8" s="4"/>
      <c r="D8" s="42" t="s">
        <v>14</v>
      </c>
      <c r="E8" s="42">
        <v>10</v>
      </c>
      <c r="F8" s="42" t="s">
        <v>10</v>
      </c>
      <c r="G8" s="42">
        <v>270</v>
      </c>
      <c r="H8" s="8">
        <f t="shared" si="0"/>
        <v>2700</v>
      </c>
      <c r="I8" s="4" t="s">
        <v>20</v>
      </c>
      <c r="J8" s="5">
        <f t="shared" si="4"/>
        <v>1350</v>
      </c>
      <c r="K8" s="5">
        <f t="shared" si="1"/>
        <v>270</v>
      </c>
      <c r="L8" s="5">
        <f t="shared" si="2"/>
        <v>202.5</v>
      </c>
      <c r="M8" s="5">
        <f t="shared" si="3"/>
        <v>4522.5</v>
      </c>
    </row>
    <row r="9" spans="2:13" x14ac:dyDescent="0.25">
      <c r="B9" s="129"/>
      <c r="C9" s="4"/>
      <c r="D9" s="42" t="s">
        <v>21</v>
      </c>
      <c r="E9" s="42">
        <v>10</v>
      </c>
      <c r="F9" s="42" t="s">
        <v>10</v>
      </c>
      <c r="G9" s="42">
        <v>220</v>
      </c>
      <c r="H9" s="8">
        <f t="shared" si="0"/>
        <v>2200</v>
      </c>
      <c r="I9" s="4" t="s">
        <v>15</v>
      </c>
      <c r="J9" s="5">
        <f t="shared" si="4"/>
        <v>1100</v>
      </c>
      <c r="K9" s="5">
        <f t="shared" si="1"/>
        <v>220</v>
      </c>
      <c r="L9" s="5">
        <f t="shared" si="2"/>
        <v>165</v>
      </c>
      <c r="M9" s="5">
        <f t="shared" si="3"/>
        <v>3685</v>
      </c>
    </row>
    <row r="10" spans="2:13" x14ac:dyDescent="0.25">
      <c r="B10" s="129"/>
      <c r="C10" s="4"/>
      <c r="D10" s="42" t="s">
        <v>16</v>
      </c>
      <c r="E10" s="42">
        <v>24</v>
      </c>
      <c r="F10" s="42" t="s">
        <v>10</v>
      </c>
      <c r="G10" s="42">
        <v>130</v>
      </c>
      <c r="H10" s="8">
        <f t="shared" si="0"/>
        <v>3120</v>
      </c>
      <c r="I10" s="4" t="s">
        <v>22</v>
      </c>
      <c r="J10" s="5">
        <f t="shared" si="4"/>
        <v>1560</v>
      </c>
      <c r="K10" s="5">
        <f t="shared" si="1"/>
        <v>312</v>
      </c>
      <c r="L10" s="5">
        <f t="shared" si="2"/>
        <v>234</v>
      </c>
      <c r="M10" s="5">
        <f t="shared" si="3"/>
        <v>5226</v>
      </c>
    </row>
    <row r="11" spans="2:13" x14ac:dyDescent="0.25">
      <c r="B11" s="129"/>
      <c r="C11" s="4"/>
      <c r="D11" s="42" t="s">
        <v>23</v>
      </c>
      <c r="E11" s="42">
        <v>60</v>
      </c>
      <c r="F11" s="42" t="s">
        <v>10</v>
      </c>
      <c r="G11" s="42">
        <v>70</v>
      </c>
      <c r="H11" s="8">
        <f t="shared" si="0"/>
        <v>4200</v>
      </c>
      <c r="I11" s="4" t="s">
        <v>24</v>
      </c>
      <c r="J11" s="5">
        <f t="shared" si="4"/>
        <v>2100</v>
      </c>
      <c r="K11" s="5">
        <f t="shared" si="1"/>
        <v>420</v>
      </c>
      <c r="L11" s="5">
        <f t="shared" si="2"/>
        <v>315</v>
      </c>
      <c r="M11" s="5">
        <f t="shared" si="3"/>
        <v>7035</v>
      </c>
    </row>
    <row r="12" spans="2:13" x14ac:dyDescent="0.25">
      <c r="B12" s="129"/>
      <c r="C12" s="4" t="s">
        <v>25</v>
      </c>
      <c r="D12" s="42" t="s">
        <v>9</v>
      </c>
      <c r="E12" s="42">
        <v>18</v>
      </c>
      <c r="F12" s="42" t="s">
        <v>10</v>
      </c>
      <c r="G12" s="42">
        <v>1550</v>
      </c>
      <c r="H12" s="8">
        <f t="shared" si="0"/>
        <v>27900</v>
      </c>
      <c r="I12" s="4" t="s">
        <v>26</v>
      </c>
      <c r="J12" s="5">
        <f t="shared" si="4"/>
        <v>13950</v>
      </c>
      <c r="K12" s="5">
        <f t="shared" si="1"/>
        <v>2790</v>
      </c>
      <c r="L12" s="5">
        <f t="shared" si="2"/>
        <v>2092.5</v>
      </c>
      <c r="M12" s="5">
        <f t="shared" si="3"/>
        <v>46732.5</v>
      </c>
    </row>
    <row r="13" spans="2:13" x14ac:dyDescent="0.25">
      <c r="B13" s="129"/>
      <c r="C13" s="4"/>
      <c r="D13" s="42" t="s">
        <v>12</v>
      </c>
      <c r="E13" s="42">
        <v>0</v>
      </c>
      <c r="F13" s="42" t="s">
        <v>10</v>
      </c>
      <c r="G13" s="42">
        <v>1260</v>
      </c>
      <c r="H13" s="8">
        <f t="shared" si="0"/>
        <v>0</v>
      </c>
      <c r="I13" s="4" t="s">
        <v>27</v>
      </c>
      <c r="J13" s="5">
        <f t="shared" si="4"/>
        <v>0</v>
      </c>
      <c r="K13" s="5">
        <f t="shared" si="1"/>
        <v>0</v>
      </c>
      <c r="L13" s="5">
        <f t="shared" si="2"/>
        <v>0</v>
      </c>
      <c r="M13" s="5">
        <f t="shared" si="3"/>
        <v>0</v>
      </c>
    </row>
    <row r="14" spans="2:13" x14ac:dyDescent="0.25">
      <c r="B14" s="129"/>
      <c r="C14" s="4"/>
      <c r="D14" s="6" t="s">
        <v>14</v>
      </c>
      <c r="E14" s="6">
        <v>10</v>
      </c>
      <c r="F14" s="6" t="s">
        <v>10</v>
      </c>
      <c r="G14" s="6">
        <v>350</v>
      </c>
      <c r="H14" s="8">
        <f t="shared" si="0"/>
        <v>3500</v>
      </c>
      <c r="I14" s="4" t="s">
        <v>28</v>
      </c>
      <c r="J14" s="5">
        <f t="shared" si="4"/>
        <v>1750</v>
      </c>
      <c r="K14" s="5">
        <f t="shared" si="1"/>
        <v>350</v>
      </c>
      <c r="L14" s="5">
        <f t="shared" si="2"/>
        <v>262.5</v>
      </c>
      <c r="M14" s="5">
        <f t="shared" si="3"/>
        <v>5862.5</v>
      </c>
    </row>
    <row r="15" spans="2:13" x14ac:dyDescent="0.25">
      <c r="B15" s="129"/>
      <c r="C15" s="4"/>
      <c r="D15" s="6" t="s">
        <v>21</v>
      </c>
      <c r="E15" s="6">
        <v>20</v>
      </c>
      <c r="F15" s="6" t="s">
        <v>10</v>
      </c>
      <c r="G15" s="6">
        <v>300</v>
      </c>
      <c r="H15" s="8">
        <f t="shared" si="0"/>
        <v>6000</v>
      </c>
      <c r="I15" s="4" t="s">
        <v>29</v>
      </c>
      <c r="J15" s="5">
        <f t="shared" si="4"/>
        <v>3000</v>
      </c>
      <c r="K15" s="5">
        <f t="shared" si="1"/>
        <v>600</v>
      </c>
      <c r="L15" s="5">
        <f t="shared" si="2"/>
        <v>450</v>
      </c>
      <c r="M15" s="5">
        <f t="shared" si="3"/>
        <v>10050</v>
      </c>
    </row>
    <row r="16" spans="2:13" x14ac:dyDescent="0.25">
      <c r="B16" s="129"/>
      <c r="C16" s="4"/>
      <c r="D16" s="42" t="s">
        <v>16</v>
      </c>
      <c r="E16" s="42">
        <v>40</v>
      </c>
      <c r="F16" s="42" t="s">
        <v>10</v>
      </c>
      <c r="G16" s="42">
        <v>630</v>
      </c>
      <c r="H16" s="8">
        <f t="shared" si="0"/>
        <v>25200</v>
      </c>
      <c r="I16" s="4" t="s">
        <v>30</v>
      </c>
      <c r="J16" s="5">
        <f t="shared" si="4"/>
        <v>12600</v>
      </c>
      <c r="K16" s="5">
        <f t="shared" si="1"/>
        <v>2520</v>
      </c>
      <c r="L16" s="5">
        <f t="shared" si="2"/>
        <v>1890</v>
      </c>
      <c r="M16" s="5">
        <f t="shared" si="3"/>
        <v>42210</v>
      </c>
    </row>
    <row r="17" spans="2:13" x14ac:dyDescent="0.25">
      <c r="B17" s="129"/>
      <c r="C17" s="16" t="s">
        <v>31</v>
      </c>
      <c r="D17" s="6" t="s">
        <v>9</v>
      </c>
      <c r="E17" s="6">
        <v>30</v>
      </c>
      <c r="F17" s="6" t="s">
        <v>10</v>
      </c>
      <c r="G17" s="6">
        <v>6000</v>
      </c>
      <c r="H17" s="8">
        <f t="shared" si="0"/>
        <v>180000</v>
      </c>
      <c r="I17" s="4" t="s">
        <v>32</v>
      </c>
      <c r="J17" s="5">
        <f t="shared" si="4"/>
        <v>90000</v>
      </c>
      <c r="K17" s="5">
        <f t="shared" si="1"/>
        <v>18000</v>
      </c>
      <c r="L17" s="5">
        <f t="shared" si="2"/>
        <v>13500</v>
      </c>
      <c r="M17" s="5">
        <f t="shared" si="3"/>
        <v>301500</v>
      </c>
    </row>
    <row r="18" spans="2:13" x14ac:dyDescent="0.25">
      <c r="B18" s="129"/>
      <c r="C18" s="4"/>
      <c r="D18" s="42" t="s">
        <v>12</v>
      </c>
      <c r="E18" s="42">
        <v>6</v>
      </c>
      <c r="F18" s="42" t="s">
        <v>10</v>
      </c>
      <c r="G18" s="42">
        <v>5335</v>
      </c>
      <c r="H18" s="8">
        <f t="shared" si="0"/>
        <v>32010</v>
      </c>
      <c r="I18" s="4" t="s">
        <v>33</v>
      </c>
      <c r="J18" s="5">
        <f t="shared" si="4"/>
        <v>16005</v>
      </c>
      <c r="K18" s="5">
        <f t="shared" si="1"/>
        <v>3201</v>
      </c>
      <c r="L18" s="5">
        <f t="shared" si="2"/>
        <v>2400.75</v>
      </c>
      <c r="M18" s="5">
        <f t="shared" si="3"/>
        <v>53616.75</v>
      </c>
    </row>
    <row r="19" spans="2:13" x14ac:dyDescent="0.25">
      <c r="D19" s="1"/>
      <c r="E19" s="1"/>
      <c r="F19" s="133" t="s">
        <v>202</v>
      </c>
      <c r="G19" s="133"/>
      <c r="H19" s="50">
        <f>SUM(H3:H18)</f>
        <v>489500</v>
      </c>
      <c r="I19" s="49"/>
      <c r="J19" s="50">
        <f>SUM(J3:J18)</f>
        <v>244750</v>
      </c>
      <c r="K19" s="50">
        <f>SUM(K3:K18)</f>
        <v>48950</v>
      </c>
      <c r="L19" s="50">
        <f>SUM(L3:L18)</f>
        <v>36712.5</v>
      </c>
      <c r="M19" s="50">
        <f>SUM(M3:M18)</f>
        <v>819912.5</v>
      </c>
    </row>
    <row r="20" spans="2:13" x14ac:dyDescent="0.25">
      <c r="F20" s="133" t="s">
        <v>201</v>
      </c>
      <c r="G20" s="133"/>
      <c r="H20" s="51">
        <f>'Sion stock'!G21</f>
        <v>104492.34</v>
      </c>
      <c r="I20" s="16" t="s">
        <v>200</v>
      </c>
      <c r="J20" s="52">
        <f>'Sion stock'!G20+'Sion stock'!G26+'Sion stock'!G42</f>
        <v>16597.539999999997</v>
      </c>
      <c r="K20" s="49"/>
      <c r="L20" s="52">
        <f>'Sion stock'!G12</f>
        <v>9268.27</v>
      </c>
      <c r="M20" s="53">
        <f>SUM(H20:L20)</f>
        <v>130358.15</v>
      </c>
    </row>
    <row r="21" spans="2:13" x14ac:dyDescent="0.25">
      <c r="F21" s="133" t="s">
        <v>266</v>
      </c>
      <c r="G21" s="133"/>
      <c r="H21" s="86">
        <f>Material!H15+Material!H18+Material!H19</f>
        <v>215510</v>
      </c>
      <c r="I21" s="87"/>
      <c r="J21" s="52">
        <v>10000</v>
      </c>
      <c r="K21" s="49"/>
      <c r="L21" s="52"/>
      <c r="M21" s="53">
        <f>H21+J21+K21+L21</f>
        <v>225510</v>
      </c>
    </row>
    <row r="22" spans="2:13" x14ac:dyDescent="0.25">
      <c r="J22" s="134" t="s">
        <v>204</v>
      </c>
      <c r="K22" s="134"/>
      <c r="L22" s="134"/>
      <c r="M22" s="55">
        <f>M19-M20</f>
        <v>689554.35</v>
      </c>
    </row>
    <row r="24" spans="2:13" x14ac:dyDescent="0.25">
      <c r="B24" s="50" t="s">
        <v>0</v>
      </c>
      <c r="C24" s="50" t="s">
        <v>1</v>
      </c>
      <c r="D24" s="50" t="s">
        <v>2</v>
      </c>
      <c r="E24" s="50" t="s">
        <v>199</v>
      </c>
      <c r="F24" s="50" t="s">
        <v>150</v>
      </c>
      <c r="G24" s="50" t="s">
        <v>151</v>
      </c>
      <c r="H24" s="50" t="s">
        <v>203</v>
      </c>
      <c r="I24" s="50" t="s">
        <v>4</v>
      </c>
      <c r="J24" s="50" t="s">
        <v>5</v>
      </c>
      <c r="K24" s="50" t="s">
        <v>6</v>
      </c>
      <c r="L24" s="50" t="s">
        <v>34</v>
      </c>
    </row>
    <row r="25" spans="2:13" s="90" customFormat="1" x14ac:dyDescent="0.25">
      <c r="B25" s="129" t="s">
        <v>39</v>
      </c>
      <c r="C25" s="4" t="s">
        <v>40</v>
      </c>
      <c r="D25" s="42" t="s">
        <v>9</v>
      </c>
      <c r="E25" s="42">
        <v>5</v>
      </c>
      <c r="F25" s="42"/>
      <c r="G25" s="42"/>
      <c r="H25" s="6">
        <f t="shared" ref="H25:H27" si="5">E25-F25</f>
        <v>5</v>
      </c>
      <c r="I25" s="42" t="s">
        <v>41</v>
      </c>
      <c r="J25" s="42">
        <v>53400</v>
      </c>
      <c r="K25" s="88">
        <f>J25*H25</f>
        <v>267000</v>
      </c>
      <c r="L25" s="89"/>
    </row>
    <row r="26" spans="2:13" s="90" customFormat="1" x14ac:dyDescent="0.25">
      <c r="B26" s="129"/>
      <c r="C26" s="4"/>
      <c r="D26" s="42" t="s">
        <v>12</v>
      </c>
      <c r="E26" s="42">
        <v>5</v>
      </c>
      <c r="F26" s="42"/>
      <c r="G26" s="42"/>
      <c r="H26" s="6">
        <f t="shared" si="5"/>
        <v>5</v>
      </c>
      <c r="I26" s="42" t="s">
        <v>41</v>
      </c>
      <c r="J26" s="42">
        <v>26000</v>
      </c>
      <c r="K26" s="88">
        <f t="shared" ref="K26:K50" si="6">J26*H26</f>
        <v>130000</v>
      </c>
      <c r="L26" s="89"/>
    </row>
    <row r="27" spans="2:13" s="90" customFormat="1" x14ac:dyDescent="0.25">
      <c r="B27" s="129"/>
      <c r="C27" s="4"/>
      <c r="D27" s="42" t="s">
        <v>16</v>
      </c>
      <c r="E27" s="42">
        <v>4</v>
      </c>
      <c r="F27" s="42"/>
      <c r="G27" s="42"/>
      <c r="H27" s="6">
        <f t="shared" si="5"/>
        <v>4</v>
      </c>
      <c r="I27" s="42" t="s">
        <v>42</v>
      </c>
      <c r="J27" s="42">
        <v>6100</v>
      </c>
      <c r="K27" s="88">
        <f t="shared" si="6"/>
        <v>24400</v>
      </c>
      <c r="L27" s="89"/>
    </row>
    <row r="28" spans="2:13" s="93" customFormat="1" ht="30" x14ac:dyDescent="0.25">
      <c r="B28" s="129"/>
      <c r="C28" s="40" t="s">
        <v>43</v>
      </c>
      <c r="D28" s="40" t="s">
        <v>9</v>
      </c>
      <c r="E28" s="40">
        <v>4</v>
      </c>
      <c r="F28" s="40">
        <v>4</v>
      </c>
      <c r="G28" s="40"/>
      <c r="H28" s="40">
        <f>E28-F28</f>
        <v>0</v>
      </c>
      <c r="I28" s="40" t="s">
        <v>41</v>
      </c>
      <c r="J28" s="40">
        <v>40000</v>
      </c>
      <c r="K28" s="91">
        <f t="shared" si="6"/>
        <v>0</v>
      </c>
      <c r="L28" s="92" t="s">
        <v>197</v>
      </c>
    </row>
    <row r="29" spans="2:13" s="90" customFormat="1" x14ac:dyDescent="0.25">
      <c r="B29" s="129"/>
      <c r="C29" s="4"/>
      <c r="D29" s="42" t="s">
        <v>12</v>
      </c>
      <c r="E29" s="42">
        <v>1</v>
      </c>
      <c r="F29" s="42">
        <v>1</v>
      </c>
      <c r="G29" s="42"/>
      <c r="H29" s="42">
        <f t="shared" ref="H29:H50" si="7">E29-F29</f>
        <v>0</v>
      </c>
      <c r="I29" s="42" t="s">
        <v>41</v>
      </c>
      <c r="J29" s="42">
        <v>25000</v>
      </c>
      <c r="K29" s="88">
        <f t="shared" si="6"/>
        <v>0</v>
      </c>
      <c r="L29" s="4" t="s">
        <v>195</v>
      </c>
    </row>
    <row r="30" spans="2:13" s="90" customFormat="1" ht="39" x14ac:dyDescent="0.25">
      <c r="B30" s="129"/>
      <c r="C30" s="48"/>
      <c r="D30" s="40" t="s">
        <v>16</v>
      </c>
      <c r="E30" s="40">
        <v>2</v>
      </c>
      <c r="F30" s="40">
        <v>2</v>
      </c>
      <c r="G30" s="40"/>
      <c r="H30" s="40">
        <f t="shared" si="7"/>
        <v>0</v>
      </c>
      <c r="I30" s="40" t="s">
        <v>41</v>
      </c>
      <c r="J30" s="40">
        <v>21500</v>
      </c>
      <c r="K30" s="91">
        <f t="shared" si="6"/>
        <v>0</v>
      </c>
      <c r="L30" s="94" t="s">
        <v>198</v>
      </c>
    </row>
    <row r="31" spans="2:13" s="90" customFormat="1" x14ac:dyDescent="0.25">
      <c r="B31" s="129"/>
      <c r="C31" s="4" t="s">
        <v>25</v>
      </c>
      <c r="D31" s="42" t="s">
        <v>9</v>
      </c>
      <c r="E31" s="42">
        <v>1</v>
      </c>
      <c r="F31" s="42"/>
      <c r="G31" s="21">
        <v>1</v>
      </c>
      <c r="H31" s="42">
        <f>E31-G31</f>
        <v>0</v>
      </c>
      <c r="I31" s="42" t="s">
        <v>41</v>
      </c>
      <c r="J31" s="42">
        <v>22200</v>
      </c>
      <c r="K31" s="88">
        <f t="shared" si="6"/>
        <v>0</v>
      </c>
      <c r="L31" s="95" t="s">
        <v>267</v>
      </c>
    </row>
    <row r="32" spans="2:13" s="90" customFormat="1" ht="25.5" x14ac:dyDescent="0.25">
      <c r="B32" s="129"/>
      <c r="C32" s="40"/>
      <c r="D32" s="40" t="s">
        <v>12</v>
      </c>
      <c r="E32" s="40">
        <v>2</v>
      </c>
      <c r="F32" s="40">
        <v>2</v>
      </c>
      <c r="G32" s="40"/>
      <c r="H32" s="40">
        <f t="shared" si="7"/>
        <v>0</v>
      </c>
      <c r="I32" s="40" t="s">
        <v>41</v>
      </c>
      <c r="J32" s="40">
        <v>12450</v>
      </c>
      <c r="K32" s="91">
        <f t="shared" si="6"/>
        <v>0</v>
      </c>
      <c r="L32" s="96" t="s">
        <v>196</v>
      </c>
    </row>
    <row r="33" spans="2:12" s="90" customFormat="1" x14ac:dyDescent="0.25">
      <c r="B33" s="129"/>
      <c r="C33" s="4"/>
      <c r="D33" s="42" t="s">
        <v>14</v>
      </c>
      <c r="E33" s="42">
        <v>6</v>
      </c>
      <c r="F33" s="42">
        <v>6</v>
      </c>
      <c r="G33" s="42"/>
      <c r="H33" s="42">
        <f t="shared" si="7"/>
        <v>0</v>
      </c>
      <c r="I33" s="42" t="s">
        <v>41</v>
      </c>
      <c r="J33" s="42">
        <v>6200</v>
      </c>
      <c r="K33" s="88">
        <f t="shared" si="6"/>
        <v>0</v>
      </c>
      <c r="L33" s="4"/>
    </row>
    <row r="34" spans="2:12" s="90" customFormat="1" x14ac:dyDescent="0.25">
      <c r="B34" s="129"/>
      <c r="C34" s="4"/>
      <c r="D34" s="42" t="s">
        <v>16</v>
      </c>
      <c r="E34" s="42">
        <v>4</v>
      </c>
      <c r="F34" s="42">
        <v>4</v>
      </c>
      <c r="G34" s="42"/>
      <c r="H34" s="42">
        <f t="shared" si="7"/>
        <v>0</v>
      </c>
      <c r="I34" s="42" t="s">
        <v>41</v>
      </c>
      <c r="J34" s="42">
        <v>2640</v>
      </c>
      <c r="K34" s="88">
        <f t="shared" si="6"/>
        <v>0</v>
      </c>
      <c r="L34" s="89"/>
    </row>
    <row r="35" spans="2:12" s="90" customFormat="1" x14ac:dyDescent="0.25">
      <c r="B35" s="129"/>
      <c r="C35" s="4" t="s">
        <v>44</v>
      </c>
      <c r="D35" s="42" t="s">
        <v>12</v>
      </c>
      <c r="E35" s="42">
        <v>4</v>
      </c>
      <c r="F35" s="42"/>
      <c r="G35" s="42"/>
      <c r="H35" s="6">
        <f t="shared" si="7"/>
        <v>4</v>
      </c>
      <c r="I35" s="42" t="s">
        <v>41</v>
      </c>
      <c r="J35" s="42">
        <v>7500</v>
      </c>
      <c r="K35" s="88">
        <f t="shared" si="6"/>
        <v>30000</v>
      </c>
      <c r="L35" s="89"/>
    </row>
    <row r="36" spans="2:12" s="90" customFormat="1" x14ac:dyDescent="0.25">
      <c r="B36" s="129"/>
      <c r="C36" s="4"/>
      <c r="D36" s="42" t="s">
        <v>14</v>
      </c>
      <c r="E36" s="42">
        <v>13</v>
      </c>
      <c r="F36" s="42"/>
      <c r="G36" s="21">
        <v>2</v>
      </c>
      <c r="H36" s="6">
        <f>E36-G36</f>
        <v>11</v>
      </c>
      <c r="I36" s="42" t="s">
        <v>41</v>
      </c>
      <c r="J36" s="42">
        <v>5600</v>
      </c>
      <c r="K36" s="88">
        <f t="shared" si="6"/>
        <v>61600</v>
      </c>
      <c r="L36" s="4" t="s">
        <v>268</v>
      </c>
    </row>
    <row r="37" spans="2:12" s="90" customFormat="1" x14ac:dyDescent="0.25">
      <c r="B37" s="129"/>
      <c r="C37" s="4"/>
      <c r="D37" s="42" t="s">
        <v>21</v>
      </c>
      <c r="E37" s="42">
        <v>2</v>
      </c>
      <c r="F37" s="42"/>
      <c r="G37" s="42"/>
      <c r="H37" s="6">
        <f t="shared" si="7"/>
        <v>2</v>
      </c>
      <c r="I37" s="42" t="s">
        <v>41</v>
      </c>
      <c r="J37" s="42">
        <v>5472</v>
      </c>
      <c r="K37" s="88">
        <f t="shared" si="6"/>
        <v>10944</v>
      </c>
      <c r="L37" s="4"/>
    </row>
    <row r="38" spans="2:12" s="90" customFormat="1" x14ac:dyDescent="0.25">
      <c r="B38" s="129"/>
      <c r="C38" s="4"/>
      <c r="D38" s="42" t="s">
        <v>16</v>
      </c>
      <c r="E38" s="42">
        <v>2</v>
      </c>
      <c r="F38" s="42"/>
      <c r="G38" s="42"/>
      <c r="H38" s="6">
        <f t="shared" si="7"/>
        <v>2</v>
      </c>
      <c r="I38" s="42" t="s">
        <v>41</v>
      </c>
      <c r="J38" s="42">
        <v>1540</v>
      </c>
      <c r="K38" s="88">
        <f t="shared" si="6"/>
        <v>3080</v>
      </c>
      <c r="L38" s="4"/>
    </row>
    <row r="39" spans="2:12" s="90" customFormat="1" x14ac:dyDescent="0.25">
      <c r="B39" s="129"/>
      <c r="C39" s="4"/>
      <c r="D39" s="42" t="s">
        <v>23</v>
      </c>
      <c r="E39" s="42">
        <v>20</v>
      </c>
      <c r="F39" s="42"/>
      <c r="G39" s="21">
        <v>20</v>
      </c>
      <c r="H39" s="42">
        <f>E39-G39</f>
        <v>0</v>
      </c>
      <c r="I39" s="42" t="s">
        <v>41</v>
      </c>
      <c r="J39" s="42">
        <v>1100</v>
      </c>
      <c r="K39" s="88">
        <f t="shared" si="6"/>
        <v>0</v>
      </c>
      <c r="L39" s="4" t="s">
        <v>269</v>
      </c>
    </row>
    <row r="40" spans="2:12" s="90" customFormat="1" x14ac:dyDescent="0.25">
      <c r="B40" s="129"/>
      <c r="C40" s="4"/>
      <c r="D40" s="42"/>
      <c r="E40" s="42"/>
      <c r="F40" s="42"/>
      <c r="G40" s="42"/>
      <c r="H40" s="42">
        <f t="shared" si="7"/>
        <v>0</v>
      </c>
      <c r="I40" s="42"/>
      <c r="J40" s="42"/>
      <c r="K40" s="88">
        <f t="shared" si="6"/>
        <v>0</v>
      </c>
      <c r="L40" s="4"/>
    </row>
    <row r="41" spans="2:12" s="90" customFormat="1" x14ac:dyDescent="0.25">
      <c r="B41" s="42" t="s">
        <v>38</v>
      </c>
      <c r="C41" s="4" t="s">
        <v>45</v>
      </c>
      <c r="D41" s="42" t="s">
        <v>23</v>
      </c>
      <c r="E41" s="42">
        <v>10</v>
      </c>
      <c r="F41" s="42">
        <v>10</v>
      </c>
      <c r="G41" s="42"/>
      <c r="H41" s="42">
        <f t="shared" si="7"/>
        <v>0</v>
      </c>
      <c r="I41" s="42" t="s">
        <v>41</v>
      </c>
      <c r="J41" s="42">
        <v>3000</v>
      </c>
      <c r="K41" s="88">
        <f t="shared" si="6"/>
        <v>0</v>
      </c>
      <c r="L41" s="4"/>
    </row>
    <row r="42" spans="2:12" s="90" customFormat="1" x14ac:dyDescent="0.25">
      <c r="B42" s="129" t="s">
        <v>46</v>
      </c>
      <c r="C42" s="4" t="s">
        <v>45</v>
      </c>
      <c r="D42" s="42" t="s">
        <v>9</v>
      </c>
      <c r="E42" s="42">
        <v>1</v>
      </c>
      <c r="F42" s="42"/>
      <c r="G42" s="21">
        <v>1</v>
      </c>
      <c r="H42" s="42">
        <f>E42-G42</f>
        <v>0</v>
      </c>
      <c r="I42" s="42" t="s">
        <v>41</v>
      </c>
      <c r="J42" s="42">
        <v>22000</v>
      </c>
      <c r="K42" s="88">
        <f t="shared" si="6"/>
        <v>0</v>
      </c>
      <c r="L42" s="4" t="s">
        <v>270</v>
      </c>
    </row>
    <row r="43" spans="2:12" s="90" customFormat="1" x14ac:dyDescent="0.25">
      <c r="B43" s="129"/>
      <c r="C43" s="4"/>
      <c r="D43" s="42" t="s">
        <v>14</v>
      </c>
      <c r="E43" s="42">
        <v>1</v>
      </c>
      <c r="F43" s="42"/>
      <c r="G43" s="42"/>
      <c r="H43" s="6">
        <f t="shared" si="7"/>
        <v>1</v>
      </c>
      <c r="I43" s="42" t="s">
        <v>41</v>
      </c>
      <c r="J43" s="42">
        <v>2500</v>
      </c>
      <c r="K43" s="88">
        <f t="shared" si="6"/>
        <v>2500</v>
      </c>
      <c r="L43" s="4"/>
    </row>
    <row r="44" spans="2:12" s="90" customFormat="1" x14ac:dyDescent="0.25">
      <c r="B44" s="129"/>
      <c r="C44" s="4" t="s">
        <v>25</v>
      </c>
      <c r="D44" s="42" t="s">
        <v>12</v>
      </c>
      <c r="E44" s="42">
        <v>1</v>
      </c>
      <c r="F44" s="42"/>
      <c r="G44" s="21">
        <v>1</v>
      </c>
      <c r="H44" s="42">
        <f>E44-G44</f>
        <v>0</v>
      </c>
      <c r="I44" s="42" t="s">
        <v>41</v>
      </c>
      <c r="J44" s="42">
        <v>12000</v>
      </c>
      <c r="K44" s="88">
        <f t="shared" si="6"/>
        <v>0</v>
      </c>
      <c r="L44" s="4" t="s">
        <v>271</v>
      </c>
    </row>
    <row r="45" spans="2:12" s="90" customFormat="1" x14ac:dyDescent="0.25">
      <c r="B45" s="129"/>
      <c r="C45" s="4"/>
      <c r="D45" s="42" t="s">
        <v>14</v>
      </c>
      <c r="E45" s="42">
        <v>1</v>
      </c>
      <c r="F45" s="42"/>
      <c r="G45" s="21">
        <v>1</v>
      </c>
      <c r="H45" s="42">
        <f>E45-G45</f>
        <v>0</v>
      </c>
      <c r="I45" s="42" t="s">
        <v>41</v>
      </c>
      <c r="J45" s="42">
        <v>5800</v>
      </c>
      <c r="K45" s="88">
        <f t="shared" si="6"/>
        <v>0</v>
      </c>
      <c r="L45" s="4" t="s">
        <v>272</v>
      </c>
    </row>
    <row r="46" spans="2:12" s="90" customFormat="1" x14ac:dyDescent="0.25">
      <c r="B46" s="129"/>
      <c r="C46" s="4" t="s">
        <v>31</v>
      </c>
      <c r="D46" s="42" t="s">
        <v>9</v>
      </c>
      <c r="E46" s="42">
        <v>0</v>
      </c>
      <c r="F46" s="42"/>
      <c r="G46" s="42"/>
      <c r="H46" s="42">
        <f t="shared" si="7"/>
        <v>0</v>
      </c>
      <c r="I46" s="42" t="s">
        <v>41</v>
      </c>
      <c r="J46" s="42">
        <v>45000</v>
      </c>
      <c r="K46" s="88">
        <f t="shared" si="6"/>
        <v>0</v>
      </c>
      <c r="L46" s="4"/>
    </row>
    <row r="47" spans="2:12" s="90" customFormat="1" x14ac:dyDescent="0.25">
      <c r="B47" s="129"/>
      <c r="C47" s="4"/>
      <c r="D47" s="42"/>
      <c r="E47" s="42"/>
      <c r="F47" s="42"/>
      <c r="G47" s="42"/>
      <c r="H47" s="42">
        <f t="shared" si="7"/>
        <v>0</v>
      </c>
      <c r="I47" s="42"/>
      <c r="J47" s="42"/>
      <c r="K47" s="88">
        <f t="shared" si="6"/>
        <v>0</v>
      </c>
      <c r="L47" s="89"/>
    </row>
    <row r="48" spans="2:12" s="90" customFormat="1" x14ac:dyDescent="0.25">
      <c r="B48" s="42" t="s">
        <v>47</v>
      </c>
      <c r="C48" s="4"/>
      <c r="D48" s="42"/>
      <c r="E48" s="42">
        <v>1</v>
      </c>
      <c r="F48" s="42"/>
      <c r="G48" s="42"/>
      <c r="H48" s="6">
        <f t="shared" si="7"/>
        <v>1</v>
      </c>
      <c r="I48" s="42" t="s">
        <v>48</v>
      </c>
      <c r="J48" s="42">
        <v>100000</v>
      </c>
      <c r="K48" s="88">
        <f t="shared" si="6"/>
        <v>100000</v>
      </c>
      <c r="L48" s="89"/>
    </row>
    <row r="49" spans="2:12" s="90" customFormat="1" x14ac:dyDescent="0.25">
      <c r="B49" s="42" t="s">
        <v>49</v>
      </c>
      <c r="C49" s="4" t="s">
        <v>50</v>
      </c>
      <c r="D49" s="42"/>
      <c r="E49" s="42">
        <v>1</v>
      </c>
      <c r="F49" s="42"/>
      <c r="G49" s="42"/>
      <c r="H49" s="6">
        <f t="shared" si="7"/>
        <v>1</v>
      </c>
      <c r="I49" s="42" t="s">
        <v>48</v>
      </c>
      <c r="J49" s="42">
        <v>150000</v>
      </c>
      <c r="K49" s="88">
        <f t="shared" si="6"/>
        <v>150000</v>
      </c>
      <c r="L49" s="89"/>
    </row>
    <row r="50" spans="2:12" s="90" customFormat="1" x14ac:dyDescent="0.25">
      <c r="B50" s="42" t="s">
        <v>35</v>
      </c>
      <c r="C50" s="4" t="s">
        <v>25</v>
      </c>
      <c r="D50" s="42" t="s">
        <v>51</v>
      </c>
      <c r="E50" s="42">
        <v>310</v>
      </c>
      <c r="F50" s="42">
        <v>152</v>
      </c>
      <c r="G50" s="42"/>
      <c r="H50" s="6">
        <f t="shared" si="7"/>
        <v>158</v>
      </c>
      <c r="I50" s="42" t="s">
        <v>10</v>
      </c>
      <c r="J50" s="42">
        <v>160</v>
      </c>
      <c r="K50" s="88">
        <f t="shared" si="6"/>
        <v>25280</v>
      </c>
      <c r="L50" s="89"/>
    </row>
    <row r="51" spans="2:12" s="90" customFormat="1" x14ac:dyDescent="0.25">
      <c r="B51" s="4"/>
      <c r="C51" s="4"/>
      <c r="D51" s="42"/>
      <c r="E51" s="42"/>
      <c r="F51" s="42"/>
      <c r="G51" s="42"/>
      <c r="H51" s="42"/>
      <c r="I51" s="131" t="s">
        <v>62</v>
      </c>
      <c r="J51" s="132"/>
      <c r="K51" s="56">
        <f>SUM(K25:K50)</f>
        <v>804804</v>
      </c>
      <c r="L51" s="89"/>
    </row>
  </sheetData>
  <mergeCells count="8">
    <mergeCell ref="B42:B47"/>
    <mergeCell ref="I51:J51"/>
    <mergeCell ref="B3:B18"/>
    <mergeCell ref="F19:G19"/>
    <mergeCell ref="F20:G20"/>
    <mergeCell ref="F21:G21"/>
    <mergeCell ref="J22:L22"/>
    <mergeCell ref="B25: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7"/>
  <sheetViews>
    <sheetView topLeftCell="A10" workbookViewId="0">
      <selection activeCell="J21" sqref="J21"/>
    </sheetView>
  </sheetViews>
  <sheetFormatPr defaultRowHeight="15" x14ac:dyDescent="0.25"/>
  <cols>
    <col min="2" max="2" width="5.7109375" style="1" bestFit="1" customWidth="1"/>
    <col min="3" max="3" width="45.140625" bestFit="1" customWidth="1"/>
    <col min="4" max="4" width="5" style="1" bestFit="1" customWidth="1"/>
    <col min="5" max="5" width="4.7109375" style="1" bestFit="1" customWidth="1"/>
    <col min="6" max="6" width="7" style="1" bestFit="1" customWidth="1"/>
    <col min="7" max="7" width="11.28515625" style="1" bestFit="1" customWidth="1"/>
    <col min="8" max="8" width="12.28515625" bestFit="1" customWidth="1"/>
  </cols>
  <sheetData>
    <row r="3" spans="2:7" ht="15.75" x14ac:dyDescent="0.25">
      <c r="B3" s="135" t="s">
        <v>59</v>
      </c>
      <c r="C3" s="135"/>
      <c r="D3" s="135"/>
      <c r="E3" s="135"/>
      <c r="F3" s="135"/>
      <c r="G3" s="135"/>
    </row>
    <row r="4" spans="2:7" x14ac:dyDescent="0.25">
      <c r="B4" s="12"/>
      <c r="C4" s="11"/>
      <c r="D4" s="12"/>
      <c r="E4" s="12"/>
      <c r="F4" s="12"/>
      <c r="G4" s="12"/>
    </row>
    <row r="5" spans="2:7" x14ac:dyDescent="0.25">
      <c r="B5" s="41" t="s">
        <v>60</v>
      </c>
      <c r="C5" s="41" t="s">
        <v>61</v>
      </c>
      <c r="D5" s="41" t="s">
        <v>3</v>
      </c>
      <c r="E5" s="41" t="s">
        <v>4</v>
      </c>
      <c r="F5" s="41" t="s">
        <v>5</v>
      </c>
      <c r="G5" s="41" t="s">
        <v>62</v>
      </c>
    </row>
    <row r="6" spans="2:7" x14ac:dyDescent="0.25">
      <c r="B6" s="42" t="s">
        <v>63</v>
      </c>
      <c r="C6" s="17" t="s">
        <v>64</v>
      </c>
      <c r="D6" s="42"/>
      <c r="E6" s="42"/>
      <c r="F6" s="42"/>
      <c r="G6" s="42"/>
    </row>
    <row r="7" spans="2:7" x14ac:dyDescent="0.25">
      <c r="B7" s="42">
        <v>1</v>
      </c>
      <c r="C7" s="4" t="s">
        <v>65</v>
      </c>
      <c r="D7" s="42">
        <f>Material!Q24</f>
        <v>300</v>
      </c>
      <c r="E7" s="42" t="s">
        <v>66</v>
      </c>
      <c r="F7" s="42">
        <v>348</v>
      </c>
      <c r="G7" s="20">
        <f>F7*D7</f>
        <v>104400</v>
      </c>
    </row>
    <row r="8" spans="2:7" x14ac:dyDescent="0.25">
      <c r="B8" s="42">
        <v>2</v>
      </c>
      <c r="C8" s="4" t="s">
        <v>67</v>
      </c>
      <c r="D8" s="42">
        <f>Material!Q25</f>
        <v>310</v>
      </c>
      <c r="E8" s="42" t="s">
        <v>68</v>
      </c>
      <c r="F8" s="42">
        <v>190</v>
      </c>
      <c r="G8" s="20">
        <f t="shared" ref="G8:G31" si="0">F8*D8</f>
        <v>58900</v>
      </c>
    </row>
    <row r="9" spans="2:7" x14ac:dyDescent="0.25">
      <c r="B9" s="42">
        <v>3</v>
      </c>
      <c r="C9" s="4" t="s">
        <v>69</v>
      </c>
      <c r="D9" s="42">
        <f>Material!Q13</f>
        <v>1053</v>
      </c>
      <c r="E9" s="42" t="s">
        <v>66</v>
      </c>
      <c r="F9" s="42">
        <v>210</v>
      </c>
      <c r="G9" s="20">
        <f t="shared" si="0"/>
        <v>221130</v>
      </c>
    </row>
    <row r="10" spans="2:7" x14ac:dyDescent="0.25">
      <c r="B10" s="42">
        <v>4</v>
      </c>
      <c r="C10" s="4" t="s">
        <v>70</v>
      </c>
      <c r="D10" s="42">
        <v>100</v>
      </c>
      <c r="E10" s="42" t="s">
        <v>71</v>
      </c>
      <c r="F10" s="42">
        <v>147</v>
      </c>
      <c r="G10" s="20">
        <f t="shared" si="0"/>
        <v>14700</v>
      </c>
    </row>
    <row r="11" spans="2:7" x14ac:dyDescent="0.25">
      <c r="B11" s="42">
        <v>5</v>
      </c>
      <c r="C11" s="4" t="s">
        <v>72</v>
      </c>
      <c r="D11" s="42">
        <v>300</v>
      </c>
      <c r="E11" s="42" t="s">
        <v>71</v>
      </c>
      <c r="F11" s="42">
        <v>126</v>
      </c>
      <c r="G11" s="20">
        <f t="shared" si="0"/>
        <v>37800</v>
      </c>
    </row>
    <row r="12" spans="2:7" x14ac:dyDescent="0.25">
      <c r="B12" s="42">
        <v>6</v>
      </c>
      <c r="C12" s="4" t="s">
        <v>73</v>
      </c>
      <c r="D12" s="42">
        <v>4</v>
      </c>
      <c r="E12" s="42" t="s">
        <v>41</v>
      </c>
      <c r="F12" s="42">
        <v>2500</v>
      </c>
      <c r="G12" s="20">
        <f t="shared" si="0"/>
        <v>10000</v>
      </c>
    </row>
    <row r="13" spans="2:7" x14ac:dyDescent="0.25">
      <c r="B13" s="42">
        <v>7</v>
      </c>
      <c r="C13" s="4" t="s">
        <v>74</v>
      </c>
      <c r="D13" s="42">
        <v>4</v>
      </c>
      <c r="E13" s="42" t="s">
        <v>41</v>
      </c>
      <c r="F13" s="42">
        <v>6000</v>
      </c>
      <c r="G13" s="20">
        <f t="shared" si="0"/>
        <v>24000</v>
      </c>
    </row>
    <row r="14" spans="2:7" x14ac:dyDescent="0.25">
      <c r="B14" s="42">
        <v>8</v>
      </c>
      <c r="C14" s="4" t="s">
        <v>75</v>
      </c>
      <c r="D14" s="42">
        <v>60</v>
      </c>
      <c r="E14" s="42" t="s">
        <v>71</v>
      </c>
      <c r="F14" s="42">
        <v>588</v>
      </c>
      <c r="G14" s="20">
        <f t="shared" si="0"/>
        <v>35280</v>
      </c>
    </row>
    <row r="15" spans="2:7" x14ac:dyDescent="0.25">
      <c r="B15" s="42">
        <v>9</v>
      </c>
      <c r="C15" s="4" t="s">
        <v>76</v>
      </c>
      <c r="D15" s="42">
        <v>50</v>
      </c>
      <c r="E15" s="42" t="s">
        <v>71</v>
      </c>
      <c r="F15" s="42">
        <v>378</v>
      </c>
      <c r="G15" s="20">
        <f t="shared" si="0"/>
        <v>18900</v>
      </c>
    </row>
    <row r="16" spans="2:7" x14ac:dyDescent="0.25">
      <c r="B16" s="42">
        <v>10</v>
      </c>
      <c r="C16" s="4" t="s">
        <v>77</v>
      </c>
      <c r="D16" s="42">
        <f>Material!Q46</f>
        <v>160</v>
      </c>
      <c r="E16" s="42" t="s">
        <v>71</v>
      </c>
      <c r="F16" s="42">
        <v>126</v>
      </c>
      <c r="G16" s="20">
        <f t="shared" si="0"/>
        <v>20160</v>
      </c>
    </row>
    <row r="17" spans="2:8" x14ac:dyDescent="0.25">
      <c r="B17" s="42">
        <v>11</v>
      </c>
      <c r="C17" s="4" t="s">
        <v>78</v>
      </c>
      <c r="D17" s="42">
        <v>300</v>
      </c>
      <c r="E17" s="42" t="s">
        <v>71</v>
      </c>
      <c r="F17" s="42">
        <v>31.5</v>
      </c>
      <c r="G17" s="20">
        <f t="shared" si="0"/>
        <v>9450</v>
      </c>
    </row>
    <row r="18" spans="2:8" x14ac:dyDescent="0.25">
      <c r="B18" s="42">
        <v>12</v>
      </c>
      <c r="C18" s="4" t="s">
        <v>79</v>
      </c>
      <c r="D18" s="42">
        <v>100</v>
      </c>
      <c r="E18" s="42" t="s">
        <v>71</v>
      </c>
      <c r="F18" s="42">
        <v>336</v>
      </c>
      <c r="G18" s="20">
        <f t="shared" si="0"/>
        <v>33600</v>
      </c>
      <c r="H18" t="s">
        <v>118</v>
      </c>
    </row>
    <row r="19" spans="2:8" x14ac:dyDescent="0.25">
      <c r="B19" s="42">
        <v>13</v>
      </c>
      <c r="C19" s="4" t="s">
        <v>80</v>
      </c>
      <c r="D19" s="42">
        <v>100</v>
      </c>
      <c r="E19" s="42" t="s">
        <v>66</v>
      </c>
      <c r="F19" s="42">
        <v>225</v>
      </c>
      <c r="G19" s="20">
        <f t="shared" si="0"/>
        <v>22500</v>
      </c>
    </row>
    <row r="20" spans="2:8" x14ac:dyDescent="0.25">
      <c r="B20" s="42">
        <v>14</v>
      </c>
      <c r="C20" s="4" t="s">
        <v>81</v>
      </c>
      <c r="D20" s="42">
        <v>100</v>
      </c>
      <c r="E20" s="42" t="s">
        <v>66</v>
      </c>
      <c r="F20" s="42">
        <v>120</v>
      </c>
      <c r="G20" s="20">
        <f t="shared" si="0"/>
        <v>12000</v>
      </c>
    </row>
    <row r="21" spans="2:8" x14ac:dyDescent="0.25">
      <c r="B21" s="42">
        <v>15</v>
      </c>
      <c r="C21" s="4" t="s">
        <v>82</v>
      </c>
      <c r="D21" s="42">
        <f>Material!P55</f>
        <v>3</v>
      </c>
      <c r="E21" s="42" t="s">
        <v>83</v>
      </c>
      <c r="F21" s="42">
        <v>6500</v>
      </c>
      <c r="G21" s="20">
        <f t="shared" si="0"/>
        <v>19500</v>
      </c>
    </row>
    <row r="22" spans="2:8" x14ac:dyDescent="0.25">
      <c r="B22" s="42">
        <v>16</v>
      </c>
      <c r="C22" s="4" t="s">
        <v>84</v>
      </c>
      <c r="D22" s="42">
        <v>10</v>
      </c>
      <c r="E22" s="42" t="s">
        <v>83</v>
      </c>
      <c r="F22" s="42">
        <v>4725</v>
      </c>
      <c r="G22" s="20">
        <f t="shared" si="0"/>
        <v>47250</v>
      </c>
    </row>
    <row r="23" spans="2:8" x14ac:dyDescent="0.25">
      <c r="B23" s="42">
        <v>17</v>
      </c>
      <c r="C23" s="4" t="s">
        <v>85</v>
      </c>
      <c r="D23" s="21">
        <v>0</v>
      </c>
      <c r="E23" s="42" t="s">
        <v>48</v>
      </c>
      <c r="F23" s="42">
        <v>130000</v>
      </c>
      <c r="G23" s="20">
        <f t="shared" si="0"/>
        <v>0</v>
      </c>
    </row>
    <row r="24" spans="2:8" x14ac:dyDescent="0.25">
      <c r="B24" s="42">
        <v>18</v>
      </c>
      <c r="C24" s="4" t="s">
        <v>86</v>
      </c>
      <c r="D24" s="21">
        <v>0</v>
      </c>
      <c r="E24" s="42" t="s">
        <v>83</v>
      </c>
      <c r="F24" s="42">
        <v>6000</v>
      </c>
      <c r="G24" s="20">
        <f t="shared" si="0"/>
        <v>0</v>
      </c>
    </row>
    <row r="25" spans="2:8" x14ac:dyDescent="0.25">
      <c r="B25" s="42">
        <v>19</v>
      </c>
      <c r="C25" s="4" t="s">
        <v>87</v>
      </c>
      <c r="D25" s="42">
        <v>1</v>
      </c>
      <c r="E25" s="42" t="s">
        <v>48</v>
      </c>
      <c r="F25" s="42">
        <v>35000</v>
      </c>
      <c r="G25" s="20">
        <f t="shared" si="0"/>
        <v>35000</v>
      </c>
    </row>
    <row r="26" spans="2:8" x14ac:dyDescent="0.25">
      <c r="B26" s="42">
        <v>20</v>
      </c>
      <c r="C26" s="4" t="s">
        <v>88</v>
      </c>
      <c r="D26" s="42">
        <v>1</v>
      </c>
      <c r="E26" s="42" t="s">
        <v>48</v>
      </c>
      <c r="F26" s="42">
        <v>15000</v>
      </c>
      <c r="G26" s="20">
        <f t="shared" si="0"/>
        <v>15000</v>
      </c>
    </row>
    <row r="27" spans="2:8" x14ac:dyDescent="0.25">
      <c r="B27" s="42">
        <v>21</v>
      </c>
      <c r="C27" s="4" t="s">
        <v>89</v>
      </c>
      <c r="D27" s="42">
        <v>1</v>
      </c>
      <c r="E27" s="42" t="s">
        <v>48</v>
      </c>
      <c r="F27" s="42">
        <v>300000</v>
      </c>
      <c r="G27" s="20">
        <f t="shared" si="0"/>
        <v>300000</v>
      </c>
    </row>
    <row r="28" spans="2:8" x14ac:dyDescent="0.25">
      <c r="B28" s="42">
        <v>22</v>
      </c>
      <c r="C28" s="4" t="s">
        <v>90</v>
      </c>
      <c r="D28" s="42">
        <v>1</v>
      </c>
      <c r="E28" s="42" t="s">
        <v>48</v>
      </c>
      <c r="F28" s="42">
        <v>0</v>
      </c>
      <c r="G28" s="20">
        <f t="shared" si="0"/>
        <v>0</v>
      </c>
      <c r="H28" t="s">
        <v>119</v>
      </c>
    </row>
    <row r="29" spans="2:8" x14ac:dyDescent="0.25">
      <c r="B29" s="42">
        <v>23</v>
      </c>
      <c r="C29" s="4" t="s">
        <v>91</v>
      </c>
      <c r="D29" s="42">
        <v>1</v>
      </c>
      <c r="E29" s="42" t="s">
        <v>83</v>
      </c>
      <c r="F29" s="42">
        <v>15000</v>
      </c>
      <c r="G29" s="20">
        <f t="shared" si="0"/>
        <v>15000</v>
      </c>
    </row>
    <row r="30" spans="2:8" x14ac:dyDescent="0.25">
      <c r="B30" s="42">
        <v>24</v>
      </c>
      <c r="C30" s="4" t="s">
        <v>92</v>
      </c>
      <c r="D30" s="42">
        <v>1</v>
      </c>
      <c r="E30" s="42" t="s">
        <v>48</v>
      </c>
      <c r="F30" s="42">
        <v>0</v>
      </c>
      <c r="G30" s="20">
        <f t="shared" si="0"/>
        <v>0</v>
      </c>
      <c r="H30" t="s">
        <v>119</v>
      </c>
    </row>
    <row r="31" spans="2:8" x14ac:dyDescent="0.25">
      <c r="B31" s="42">
        <v>25</v>
      </c>
      <c r="C31" s="4" t="s">
        <v>93</v>
      </c>
      <c r="D31" s="42">
        <v>2</v>
      </c>
      <c r="E31" s="42" t="s">
        <v>83</v>
      </c>
      <c r="F31" s="42">
        <v>5000</v>
      </c>
      <c r="G31" s="20">
        <f t="shared" si="0"/>
        <v>10000</v>
      </c>
    </row>
    <row r="32" spans="2:8" x14ac:dyDescent="0.25">
      <c r="B32" s="42"/>
      <c r="C32" s="4"/>
      <c r="D32" s="42"/>
      <c r="E32" s="42"/>
      <c r="F32" s="42"/>
      <c r="G32" s="24">
        <f>SUM(G7:G31)</f>
        <v>1064570</v>
      </c>
    </row>
    <row r="33" spans="2:7" x14ac:dyDescent="0.25">
      <c r="B33" s="42"/>
      <c r="C33" s="4" t="s">
        <v>94</v>
      </c>
      <c r="D33" s="42"/>
      <c r="E33" s="42"/>
      <c r="F33" s="42"/>
      <c r="G33" s="24">
        <f>G32*14.5%</f>
        <v>154362.65</v>
      </c>
    </row>
    <row r="34" spans="2:7" x14ac:dyDescent="0.25">
      <c r="B34" s="42"/>
      <c r="C34" s="17" t="s">
        <v>62</v>
      </c>
      <c r="D34" s="42"/>
      <c r="E34" s="42"/>
      <c r="F34" s="42"/>
      <c r="G34" s="25">
        <f>SUM(G32:G33)</f>
        <v>1218932.6499999999</v>
      </c>
    </row>
    <row r="35" spans="2:7" x14ac:dyDescent="0.25">
      <c r="B35" s="42"/>
      <c r="C35" s="17"/>
      <c r="D35" s="42"/>
      <c r="E35" s="42"/>
      <c r="F35" s="42"/>
      <c r="G35" s="23"/>
    </row>
    <row r="36" spans="2:7" x14ac:dyDescent="0.25">
      <c r="B36" s="42" t="s">
        <v>95</v>
      </c>
      <c r="C36" s="17" t="s">
        <v>96</v>
      </c>
      <c r="D36" s="42"/>
      <c r="E36" s="42"/>
      <c r="F36" s="42"/>
      <c r="G36" s="42"/>
    </row>
    <row r="37" spans="2:7" x14ac:dyDescent="0.25">
      <c r="B37" s="42">
        <v>1</v>
      </c>
      <c r="C37" s="4" t="s">
        <v>97</v>
      </c>
      <c r="D37" s="21">
        <v>0</v>
      </c>
      <c r="E37" s="42" t="s">
        <v>48</v>
      </c>
      <c r="F37" s="42">
        <v>75000</v>
      </c>
      <c r="G37" s="20">
        <f t="shared" ref="G37:G44" si="1">F37*D37</f>
        <v>0</v>
      </c>
    </row>
    <row r="38" spans="2:7" x14ac:dyDescent="0.25">
      <c r="B38" s="42">
        <v>2</v>
      </c>
      <c r="C38" s="4" t="s">
        <v>98</v>
      </c>
      <c r="D38" s="42">
        <v>100</v>
      </c>
      <c r="E38" s="42" t="s">
        <v>99</v>
      </c>
      <c r="F38" s="42">
        <v>800</v>
      </c>
      <c r="G38" s="20">
        <f t="shared" si="1"/>
        <v>80000</v>
      </c>
    </row>
    <row r="39" spans="2:7" x14ac:dyDescent="0.25">
      <c r="B39" s="42">
        <v>3</v>
      </c>
      <c r="C39" s="4" t="s">
        <v>109</v>
      </c>
      <c r="D39" s="42">
        <v>60</v>
      </c>
      <c r="E39" s="42" t="s">
        <v>99</v>
      </c>
      <c r="F39" s="42">
        <v>1120</v>
      </c>
      <c r="G39" s="20">
        <f t="shared" si="1"/>
        <v>67200</v>
      </c>
    </row>
    <row r="40" spans="2:7" x14ac:dyDescent="0.25">
      <c r="B40" s="42">
        <v>5</v>
      </c>
      <c r="C40" s="4" t="s">
        <v>110</v>
      </c>
      <c r="D40" s="42">
        <v>300</v>
      </c>
      <c r="E40" s="42" t="s">
        <v>99</v>
      </c>
      <c r="F40" s="42">
        <v>1250</v>
      </c>
      <c r="G40" s="20">
        <f t="shared" si="1"/>
        <v>375000</v>
      </c>
    </row>
    <row r="41" spans="2:7" x14ac:dyDescent="0.25">
      <c r="B41" s="42">
        <v>6</v>
      </c>
      <c r="C41" s="4" t="s">
        <v>100</v>
      </c>
      <c r="D41" s="21">
        <v>0</v>
      </c>
      <c r="E41" s="42" t="s">
        <v>99</v>
      </c>
      <c r="F41" s="42">
        <v>1350</v>
      </c>
      <c r="G41" s="20">
        <f t="shared" si="1"/>
        <v>0</v>
      </c>
    </row>
    <row r="42" spans="2:7" x14ac:dyDescent="0.25">
      <c r="B42" s="42">
        <v>7</v>
      </c>
      <c r="C42" s="4" t="s">
        <v>101</v>
      </c>
      <c r="D42" s="21">
        <v>5</v>
      </c>
      <c r="E42" s="42" t="s">
        <v>99</v>
      </c>
      <c r="F42" s="42">
        <v>1500</v>
      </c>
      <c r="G42" s="20">
        <f t="shared" si="1"/>
        <v>7500</v>
      </c>
    </row>
    <row r="43" spans="2:7" x14ac:dyDescent="0.25">
      <c r="B43" s="42">
        <v>8</v>
      </c>
      <c r="C43" s="4" t="s">
        <v>102</v>
      </c>
      <c r="D43" s="42">
        <v>100</v>
      </c>
      <c r="E43" s="42" t="s">
        <v>99</v>
      </c>
      <c r="F43" s="42">
        <v>135</v>
      </c>
      <c r="G43" s="20">
        <f t="shared" si="1"/>
        <v>13500</v>
      </c>
    </row>
    <row r="44" spans="2:7" x14ac:dyDescent="0.25">
      <c r="B44" s="42">
        <v>9</v>
      </c>
      <c r="C44" s="4" t="s">
        <v>103</v>
      </c>
      <c r="D44" s="42">
        <v>200</v>
      </c>
      <c r="E44" s="42" t="s">
        <v>99</v>
      </c>
      <c r="F44" s="42">
        <v>75</v>
      </c>
      <c r="G44" s="20">
        <f t="shared" si="1"/>
        <v>15000</v>
      </c>
    </row>
    <row r="45" spans="2:7" x14ac:dyDescent="0.25">
      <c r="B45" s="42"/>
      <c r="C45" s="4"/>
      <c r="D45" s="42"/>
      <c r="E45" s="42"/>
      <c r="F45" s="42"/>
      <c r="G45" s="22">
        <f>SUM(G37:G44)</f>
        <v>558200</v>
      </c>
    </row>
    <row r="46" spans="2:7" x14ac:dyDescent="0.25">
      <c r="B46" s="42"/>
      <c r="C46" s="4" t="s">
        <v>94</v>
      </c>
      <c r="D46" s="42"/>
      <c r="E46" s="42"/>
      <c r="F46" s="42"/>
      <c r="G46" s="22">
        <f>G45*0.145</f>
        <v>80939</v>
      </c>
    </row>
    <row r="47" spans="2:7" x14ac:dyDescent="0.25">
      <c r="B47" s="42"/>
      <c r="C47" s="17" t="s">
        <v>62</v>
      </c>
      <c r="D47" s="42"/>
      <c r="E47" s="42"/>
      <c r="F47" s="42"/>
      <c r="G47" s="23">
        <f>SUM(G45:G46)</f>
        <v>639139</v>
      </c>
    </row>
  </sheetData>
  <mergeCells count="1">
    <mergeCell ref="B3: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2"/>
  <sheetViews>
    <sheetView topLeftCell="A8" workbookViewId="0">
      <selection activeCell="I49" sqref="I49"/>
    </sheetView>
  </sheetViews>
  <sheetFormatPr defaultRowHeight="15" x14ac:dyDescent="0.25"/>
  <cols>
    <col min="2" max="2" width="10.5703125" bestFit="1" customWidth="1"/>
    <col min="3" max="3" width="13.7109375" bestFit="1" customWidth="1"/>
    <col min="4" max="4" width="41.7109375" bestFit="1" customWidth="1"/>
    <col min="5" max="5" width="17" style="1" bestFit="1" customWidth="1"/>
    <col min="6" max="6" width="5.7109375" style="1" bestFit="1" customWidth="1"/>
    <col min="7" max="7" width="17.5703125" style="1" bestFit="1" customWidth="1"/>
    <col min="8" max="8" width="4.7109375" style="1" bestFit="1" customWidth="1"/>
  </cols>
  <sheetData>
    <row r="2" spans="2:8" x14ac:dyDescent="0.25">
      <c r="B2" s="123" t="s">
        <v>152</v>
      </c>
      <c r="C2" s="123"/>
      <c r="D2" s="123"/>
      <c r="E2" s="123"/>
      <c r="F2" s="123"/>
      <c r="G2" s="123"/>
      <c r="H2" s="123"/>
    </row>
    <row r="3" spans="2:8" x14ac:dyDescent="0.25">
      <c r="B3" s="43" t="s">
        <v>153</v>
      </c>
      <c r="C3" s="43" t="s">
        <v>154</v>
      </c>
      <c r="D3" s="43" t="s">
        <v>155</v>
      </c>
      <c r="E3" s="43" t="s">
        <v>156</v>
      </c>
      <c r="F3" s="43" t="s">
        <v>157</v>
      </c>
      <c r="G3" s="43" t="s">
        <v>158</v>
      </c>
      <c r="H3" s="43" t="s">
        <v>159</v>
      </c>
    </row>
    <row r="4" spans="2:8" x14ac:dyDescent="0.25">
      <c r="B4" s="44">
        <v>101</v>
      </c>
      <c r="C4" s="44">
        <v>1304795</v>
      </c>
      <c r="D4" s="37" t="s">
        <v>169</v>
      </c>
      <c r="E4" s="44">
        <v>20.111999999999998</v>
      </c>
      <c r="F4" s="44" t="s">
        <v>170</v>
      </c>
      <c r="G4" s="45">
        <v>1570.75</v>
      </c>
      <c r="H4" s="44" t="s">
        <v>162</v>
      </c>
    </row>
    <row r="5" spans="2:8" x14ac:dyDescent="0.25">
      <c r="B5" s="44">
        <v>101</v>
      </c>
      <c r="C5" s="44">
        <v>1304796</v>
      </c>
      <c r="D5" s="37" t="s">
        <v>171</v>
      </c>
      <c r="E5" s="44">
        <v>17.399999999999999</v>
      </c>
      <c r="F5" s="44" t="s">
        <v>170</v>
      </c>
      <c r="G5" s="45">
        <v>1230.92</v>
      </c>
      <c r="H5" s="44" t="s">
        <v>162</v>
      </c>
    </row>
    <row r="6" spans="2:8" x14ac:dyDescent="0.25">
      <c r="B6" s="44">
        <v>101</v>
      </c>
      <c r="C6" s="44">
        <v>1304798</v>
      </c>
      <c r="D6" s="37" t="s">
        <v>172</v>
      </c>
      <c r="E6" s="44">
        <v>11.5</v>
      </c>
      <c r="F6" s="44" t="s">
        <v>170</v>
      </c>
      <c r="G6" s="44">
        <v>647.94000000000005</v>
      </c>
      <c r="H6" s="44" t="s">
        <v>162</v>
      </c>
    </row>
    <row r="7" spans="2:8" x14ac:dyDescent="0.25">
      <c r="B7" s="44">
        <v>101</v>
      </c>
      <c r="C7" s="44">
        <v>1304812</v>
      </c>
      <c r="D7" s="37" t="s">
        <v>173</v>
      </c>
      <c r="E7" s="44">
        <v>4.8719999999999999</v>
      </c>
      <c r="F7" s="44" t="s">
        <v>170</v>
      </c>
      <c r="G7" s="44">
        <v>270.58999999999997</v>
      </c>
      <c r="H7" s="44" t="s">
        <v>162</v>
      </c>
    </row>
    <row r="8" spans="2:8" x14ac:dyDescent="0.25">
      <c r="B8" s="44">
        <v>101</v>
      </c>
      <c r="C8" s="44">
        <v>1304813</v>
      </c>
      <c r="D8" s="37" t="s">
        <v>174</v>
      </c>
      <c r="E8" s="44">
        <v>9.1989999999999998</v>
      </c>
      <c r="F8" s="44" t="s">
        <v>170</v>
      </c>
      <c r="G8" s="44">
        <v>367.98</v>
      </c>
      <c r="H8" s="44" t="s">
        <v>162</v>
      </c>
    </row>
    <row r="9" spans="2:8" x14ac:dyDescent="0.25">
      <c r="B9" s="44">
        <v>101</v>
      </c>
      <c r="C9" s="44">
        <v>1304814</v>
      </c>
      <c r="D9" s="37" t="s">
        <v>175</v>
      </c>
      <c r="E9" s="44">
        <v>10.128</v>
      </c>
      <c r="F9" s="44" t="s">
        <v>170</v>
      </c>
      <c r="G9" s="44">
        <v>597.5</v>
      </c>
      <c r="H9" s="44" t="s">
        <v>162</v>
      </c>
    </row>
    <row r="10" spans="2:8" x14ac:dyDescent="0.25">
      <c r="B10" s="44">
        <v>101</v>
      </c>
      <c r="C10" s="44">
        <v>1304832</v>
      </c>
      <c r="D10" s="37" t="s">
        <v>176</v>
      </c>
      <c r="E10" s="44">
        <v>10.981</v>
      </c>
      <c r="F10" s="44" t="s">
        <v>170</v>
      </c>
      <c r="G10" s="44">
        <v>616.64</v>
      </c>
      <c r="H10" s="44" t="s">
        <v>162</v>
      </c>
    </row>
    <row r="11" spans="2:8" x14ac:dyDescent="0.25">
      <c r="B11" s="44">
        <v>101</v>
      </c>
      <c r="C11" s="44">
        <v>1304833</v>
      </c>
      <c r="D11" s="37" t="s">
        <v>177</v>
      </c>
      <c r="E11" s="44">
        <v>69.05</v>
      </c>
      <c r="F11" s="44" t="s">
        <v>170</v>
      </c>
      <c r="G11" s="45">
        <v>3965.95</v>
      </c>
      <c r="H11" s="44" t="s">
        <v>162</v>
      </c>
    </row>
    <row r="12" spans="2:8" x14ac:dyDescent="0.25">
      <c r="G12" s="46">
        <f>SUM(G4:G11)</f>
        <v>9268.27</v>
      </c>
    </row>
    <row r="13" spans="2:8" x14ac:dyDescent="0.25">
      <c r="B13" s="44">
        <v>101</v>
      </c>
      <c r="C13" s="44">
        <v>1304538</v>
      </c>
      <c r="D13" s="37" t="s">
        <v>160</v>
      </c>
      <c r="E13" s="44">
        <v>12</v>
      </c>
      <c r="F13" s="44" t="s">
        <v>161</v>
      </c>
      <c r="G13" s="44">
        <v>748.8</v>
      </c>
      <c r="H13" s="44" t="s">
        <v>162</v>
      </c>
    </row>
    <row r="14" spans="2:8" x14ac:dyDescent="0.25">
      <c r="B14" s="44">
        <v>101</v>
      </c>
      <c r="C14" s="44">
        <v>1304622</v>
      </c>
      <c r="D14" s="37" t="s">
        <v>163</v>
      </c>
      <c r="E14" s="44">
        <v>5</v>
      </c>
      <c r="F14" s="44" t="s">
        <v>161</v>
      </c>
      <c r="G14" s="44">
        <v>333.32</v>
      </c>
      <c r="H14" s="44" t="s">
        <v>162</v>
      </c>
    </row>
    <row r="15" spans="2:8" x14ac:dyDescent="0.25">
      <c r="B15" s="44">
        <v>101</v>
      </c>
      <c r="C15" s="44">
        <v>1304627</v>
      </c>
      <c r="D15" s="37" t="s">
        <v>164</v>
      </c>
      <c r="E15" s="44">
        <v>4</v>
      </c>
      <c r="F15" s="44" t="s">
        <v>161</v>
      </c>
      <c r="G15" s="44">
        <v>927.68</v>
      </c>
      <c r="H15" s="44" t="s">
        <v>162</v>
      </c>
    </row>
    <row r="16" spans="2:8" x14ac:dyDescent="0.25">
      <c r="B16" s="44">
        <v>101</v>
      </c>
      <c r="C16" s="44">
        <v>1304662</v>
      </c>
      <c r="D16" s="37" t="s">
        <v>165</v>
      </c>
      <c r="E16" s="44">
        <v>2</v>
      </c>
      <c r="F16" s="44" t="s">
        <v>161</v>
      </c>
      <c r="G16" s="44">
        <v>692.64</v>
      </c>
      <c r="H16" s="44" t="s">
        <v>162</v>
      </c>
    </row>
    <row r="17" spans="2:8" x14ac:dyDescent="0.25">
      <c r="B17" s="44">
        <v>101</v>
      </c>
      <c r="C17" s="44">
        <v>1304690</v>
      </c>
      <c r="D17" s="37" t="s">
        <v>166</v>
      </c>
      <c r="E17" s="44">
        <v>4</v>
      </c>
      <c r="F17" s="44" t="s">
        <v>161</v>
      </c>
      <c r="G17" s="44">
        <v>373.65</v>
      </c>
      <c r="H17" s="44" t="s">
        <v>162</v>
      </c>
    </row>
    <row r="18" spans="2:8" x14ac:dyDescent="0.25">
      <c r="B18" s="44">
        <v>101</v>
      </c>
      <c r="C18" s="44">
        <v>1304716</v>
      </c>
      <c r="D18" s="37" t="s">
        <v>167</v>
      </c>
      <c r="E18" s="44">
        <v>4</v>
      </c>
      <c r="F18" s="44" t="s">
        <v>161</v>
      </c>
      <c r="G18" s="45">
        <v>4840</v>
      </c>
      <c r="H18" s="44" t="s">
        <v>162</v>
      </c>
    </row>
    <row r="19" spans="2:8" x14ac:dyDescent="0.25">
      <c r="B19" s="44">
        <v>101</v>
      </c>
      <c r="C19" s="44">
        <v>1304772</v>
      </c>
      <c r="D19" s="37" t="s">
        <v>168</v>
      </c>
      <c r="E19" s="44">
        <v>1</v>
      </c>
      <c r="F19" s="44" t="s">
        <v>161</v>
      </c>
      <c r="G19" s="44">
        <v>428.48</v>
      </c>
      <c r="H19" s="44" t="s">
        <v>162</v>
      </c>
    </row>
    <row r="20" spans="2:8" x14ac:dyDescent="0.25">
      <c r="G20" s="2">
        <f>SUM(G13:G19)</f>
        <v>8344.57</v>
      </c>
    </row>
    <row r="21" spans="2:8" x14ac:dyDescent="0.25">
      <c r="B21" s="44">
        <v>101</v>
      </c>
      <c r="C21" s="44">
        <v>1308420</v>
      </c>
      <c r="D21" s="37" t="s">
        <v>180</v>
      </c>
      <c r="E21" s="44">
        <v>24.99</v>
      </c>
      <c r="F21" s="44" t="s">
        <v>10</v>
      </c>
      <c r="G21" s="47">
        <v>104492.34</v>
      </c>
      <c r="H21" s="44" t="s">
        <v>162</v>
      </c>
    </row>
    <row r="22" spans="2:8" x14ac:dyDescent="0.25">
      <c r="B22" s="44">
        <v>101</v>
      </c>
      <c r="C22" s="44">
        <v>1306516</v>
      </c>
      <c r="D22" s="37" t="s">
        <v>179</v>
      </c>
      <c r="E22" s="44">
        <v>152</v>
      </c>
      <c r="F22" s="44" t="s">
        <v>10</v>
      </c>
      <c r="G22" s="45">
        <v>25201.29</v>
      </c>
      <c r="H22" s="44" t="s">
        <v>162</v>
      </c>
    </row>
    <row r="23" spans="2:8" x14ac:dyDescent="0.25">
      <c r="B23" s="44"/>
      <c r="C23" s="44"/>
      <c r="D23" s="37"/>
      <c r="E23" s="44"/>
      <c r="F23" s="44"/>
      <c r="G23" s="47">
        <f>SUM(G21:G22)</f>
        <v>129693.63</v>
      </c>
      <c r="H23" s="44"/>
    </row>
    <row r="24" spans="2:8" x14ac:dyDescent="0.25">
      <c r="B24" s="44">
        <v>101</v>
      </c>
      <c r="C24" s="44">
        <v>1306148</v>
      </c>
      <c r="D24" s="37" t="s">
        <v>273</v>
      </c>
      <c r="E24" s="44">
        <v>24</v>
      </c>
      <c r="F24" s="44" t="s">
        <v>161</v>
      </c>
      <c r="G24" s="45">
        <v>8252.94</v>
      </c>
      <c r="H24" s="44" t="s">
        <v>162</v>
      </c>
    </row>
    <row r="25" spans="2:8" x14ac:dyDescent="0.25">
      <c r="B25" s="44">
        <v>101</v>
      </c>
      <c r="C25" s="44">
        <v>1316529</v>
      </c>
      <c r="D25" s="37" t="s">
        <v>194</v>
      </c>
      <c r="E25" s="44">
        <v>2</v>
      </c>
      <c r="F25" s="44" t="s">
        <v>161</v>
      </c>
      <c r="G25" s="44">
        <v>0.02</v>
      </c>
      <c r="H25" s="44" t="s">
        <v>162</v>
      </c>
    </row>
    <row r="26" spans="2:8" x14ac:dyDescent="0.25">
      <c r="G26" s="46">
        <f>SUM(G24:G25)</f>
        <v>8252.9600000000009</v>
      </c>
    </row>
    <row r="27" spans="2:8" x14ac:dyDescent="0.25">
      <c r="B27" s="44">
        <v>101</v>
      </c>
      <c r="C27" s="44">
        <v>1312069</v>
      </c>
      <c r="D27" s="37" t="s">
        <v>183</v>
      </c>
      <c r="E27" s="44">
        <v>2</v>
      </c>
      <c r="F27" s="44" t="s">
        <v>161</v>
      </c>
      <c r="G27" s="44">
        <v>0.02</v>
      </c>
      <c r="H27" s="44" t="s">
        <v>162</v>
      </c>
    </row>
    <row r="28" spans="2:8" x14ac:dyDescent="0.25">
      <c r="B28" s="44">
        <v>101</v>
      </c>
      <c r="C28" s="44">
        <v>1312077</v>
      </c>
      <c r="D28" s="37" t="s">
        <v>184</v>
      </c>
      <c r="E28" s="44">
        <v>6</v>
      </c>
      <c r="F28" s="44" t="s">
        <v>161</v>
      </c>
      <c r="G28" s="44">
        <v>0.06</v>
      </c>
      <c r="H28" s="44" t="s">
        <v>162</v>
      </c>
    </row>
    <row r="29" spans="2:8" x14ac:dyDescent="0.25">
      <c r="B29" s="44">
        <v>101</v>
      </c>
      <c r="C29" s="44">
        <v>1312083</v>
      </c>
      <c r="D29" s="37" t="s">
        <v>185</v>
      </c>
      <c r="E29" s="44">
        <v>45</v>
      </c>
      <c r="F29" s="44" t="s">
        <v>161</v>
      </c>
      <c r="G29" s="44">
        <v>7.0000000000000007E-2</v>
      </c>
      <c r="H29" s="44" t="s">
        <v>162</v>
      </c>
    </row>
    <row r="30" spans="2:8" x14ac:dyDescent="0.25">
      <c r="B30" s="44">
        <v>101</v>
      </c>
      <c r="C30" s="44">
        <v>1312085</v>
      </c>
      <c r="D30" s="37" t="s">
        <v>186</v>
      </c>
      <c r="E30" s="44">
        <v>22</v>
      </c>
      <c r="F30" s="44" t="s">
        <v>161</v>
      </c>
      <c r="G30" s="44">
        <v>0.02</v>
      </c>
      <c r="H30" s="44" t="s">
        <v>162</v>
      </c>
    </row>
    <row r="31" spans="2:8" x14ac:dyDescent="0.25">
      <c r="B31" s="44">
        <v>101</v>
      </c>
      <c r="C31" s="44">
        <v>1312089</v>
      </c>
      <c r="D31" s="37" t="s">
        <v>187</v>
      </c>
      <c r="E31" s="44">
        <v>8</v>
      </c>
      <c r="F31" s="44" t="s">
        <v>161</v>
      </c>
      <c r="G31" s="44">
        <v>0.08</v>
      </c>
      <c r="H31" s="44" t="s">
        <v>162</v>
      </c>
    </row>
    <row r="32" spans="2:8" x14ac:dyDescent="0.25">
      <c r="B32" s="44">
        <v>101</v>
      </c>
      <c r="C32" s="44">
        <v>1312090</v>
      </c>
      <c r="D32" s="37" t="s">
        <v>188</v>
      </c>
      <c r="E32" s="44">
        <v>1</v>
      </c>
      <c r="F32" s="44" t="s">
        <v>161</v>
      </c>
      <c r="G32" s="44">
        <v>0.01</v>
      </c>
      <c r="H32" s="44" t="s">
        <v>162</v>
      </c>
    </row>
    <row r="33" spans="2:8" x14ac:dyDescent="0.25">
      <c r="B33" s="44">
        <v>101</v>
      </c>
      <c r="C33" s="44">
        <v>1312101</v>
      </c>
      <c r="D33" s="37" t="s">
        <v>189</v>
      </c>
      <c r="E33" s="44">
        <v>6</v>
      </c>
      <c r="F33" s="44" t="s">
        <v>161</v>
      </c>
      <c r="G33" s="44">
        <v>0.06</v>
      </c>
      <c r="H33" s="44" t="s">
        <v>162</v>
      </c>
    </row>
    <row r="34" spans="2:8" x14ac:dyDescent="0.25">
      <c r="B34" s="44">
        <v>101</v>
      </c>
      <c r="C34" s="44">
        <v>1312102</v>
      </c>
      <c r="D34" s="37" t="s">
        <v>190</v>
      </c>
      <c r="E34" s="44">
        <v>3</v>
      </c>
      <c r="F34" s="44" t="s">
        <v>161</v>
      </c>
      <c r="G34" s="44">
        <v>0.03</v>
      </c>
      <c r="H34" s="44" t="s">
        <v>162</v>
      </c>
    </row>
    <row r="35" spans="2:8" x14ac:dyDescent="0.25">
      <c r="B35" s="44">
        <v>101</v>
      </c>
      <c r="C35" s="44">
        <v>1312178</v>
      </c>
      <c r="D35" s="37" t="s">
        <v>191</v>
      </c>
      <c r="E35" s="44">
        <v>1</v>
      </c>
      <c r="F35" s="44" t="s">
        <v>161</v>
      </c>
      <c r="G35" s="44">
        <v>1</v>
      </c>
      <c r="H35" s="44" t="s">
        <v>162</v>
      </c>
    </row>
    <row r="36" spans="2:8" x14ac:dyDescent="0.25">
      <c r="B36" s="44">
        <v>101</v>
      </c>
      <c r="C36" s="44">
        <v>1312349</v>
      </c>
      <c r="D36" s="37" t="s">
        <v>192</v>
      </c>
      <c r="E36" s="44">
        <v>8</v>
      </c>
      <c r="F36" s="44" t="s">
        <v>161</v>
      </c>
      <c r="G36" s="45">
        <v>304200</v>
      </c>
      <c r="H36" s="44" t="s">
        <v>162</v>
      </c>
    </row>
    <row r="37" spans="2:8" x14ac:dyDescent="0.25">
      <c r="B37" s="44">
        <v>101</v>
      </c>
      <c r="C37" s="44">
        <v>1312353</v>
      </c>
      <c r="D37" s="37" t="s">
        <v>193</v>
      </c>
      <c r="E37" s="44">
        <v>2</v>
      </c>
      <c r="F37" s="44" t="s">
        <v>161</v>
      </c>
      <c r="G37" s="44">
        <v>0.02</v>
      </c>
      <c r="H37" s="44" t="s">
        <v>162</v>
      </c>
    </row>
    <row r="38" spans="2:8" x14ac:dyDescent="0.25">
      <c r="G38" s="2">
        <f>SUM(G27:G37)</f>
        <v>304201.37</v>
      </c>
    </row>
    <row r="39" spans="2:8" x14ac:dyDescent="0.25">
      <c r="B39" s="44">
        <v>101</v>
      </c>
      <c r="C39" s="44">
        <v>1310151</v>
      </c>
      <c r="D39" s="37" t="s">
        <v>181</v>
      </c>
      <c r="E39" s="44">
        <v>3</v>
      </c>
      <c r="F39" s="44" t="s">
        <v>161</v>
      </c>
      <c r="G39" s="44">
        <v>0.03</v>
      </c>
      <c r="H39" s="44" t="s">
        <v>162</v>
      </c>
    </row>
    <row r="40" spans="2:8" x14ac:dyDescent="0.25">
      <c r="B40" s="44">
        <v>101</v>
      </c>
      <c r="C40" s="44">
        <v>1310155</v>
      </c>
      <c r="D40" s="37" t="s">
        <v>182</v>
      </c>
      <c r="E40" s="44">
        <v>7</v>
      </c>
      <c r="F40" s="44" t="s">
        <v>161</v>
      </c>
      <c r="G40" s="45">
        <v>21064.84</v>
      </c>
      <c r="H40" s="44" t="s">
        <v>162</v>
      </c>
    </row>
    <row r="41" spans="2:8" x14ac:dyDescent="0.25">
      <c r="G41" s="2">
        <f>SUM(G39:G40)</f>
        <v>21064.87</v>
      </c>
    </row>
    <row r="42" spans="2:8" x14ac:dyDescent="0.25">
      <c r="B42" s="44">
        <v>101</v>
      </c>
      <c r="C42" s="44">
        <v>1306245</v>
      </c>
      <c r="D42" s="37" t="s">
        <v>178</v>
      </c>
      <c r="E42" s="44">
        <v>12</v>
      </c>
      <c r="F42" s="44" t="s">
        <v>161</v>
      </c>
      <c r="G42" s="44">
        <v>0.01</v>
      </c>
      <c r="H42" s="44" t="s">
        <v>162</v>
      </c>
    </row>
  </sheetData>
  <mergeCells count="1">
    <mergeCell ref="B2:H2"/>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0"/>
  <sheetViews>
    <sheetView workbookViewId="0">
      <selection activeCell="I49" sqref="I49"/>
    </sheetView>
  </sheetViews>
  <sheetFormatPr defaultRowHeight="15" x14ac:dyDescent="0.25"/>
  <cols>
    <col min="8" max="8" width="16.140625" bestFit="1" customWidth="1"/>
    <col min="12" max="12" width="13.5703125" bestFit="1" customWidth="1"/>
  </cols>
  <sheetData>
    <row r="2" spans="3:12" x14ac:dyDescent="0.25">
      <c r="C2" s="136" t="s">
        <v>274</v>
      </c>
      <c r="D2" s="136"/>
      <c r="E2" s="136"/>
      <c r="F2" s="136"/>
      <c r="G2" s="136"/>
      <c r="H2" s="136"/>
      <c r="I2" s="136"/>
      <c r="J2" s="136"/>
      <c r="K2" s="136"/>
      <c r="L2" s="136"/>
    </row>
    <row r="3" spans="3:12" x14ac:dyDescent="0.25">
      <c r="C3" s="41" t="s">
        <v>0</v>
      </c>
      <c r="D3" s="41" t="s">
        <v>1</v>
      </c>
      <c r="E3" s="41" t="s">
        <v>2</v>
      </c>
      <c r="F3" s="41" t="s">
        <v>275</v>
      </c>
      <c r="G3" s="41" t="s">
        <v>276</v>
      </c>
      <c r="H3" s="41" t="s">
        <v>277</v>
      </c>
      <c r="I3" s="41" t="s">
        <v>4</v>
      </c>
      <c r="J3" s="41" t="s">
        <v>5</v>
      </c>
      <c r="K3" s="41" t="s">
        <v>6</v>
      </c>
      <c r="L3" s="3" t="s">
        <v>34</v>
      </c>
    </row>
    <row r="4" spans="3:12" s="90" customFormat="1" x14ac:dyDescent="0.25">
      <c r="C4" s="129" t="s">
        <v>7</v>
      </c>
      <c r="D4" s="4" t="s">
        <v>8</v>
      </c>
      <c r="E4" s="42" t="s">
        <v>9</v>
      </c>
      <c r="F4" s="42">
        <v>30</v>
      </c>
      <c r="G4" s="42"/>
      <c r="H4" s="42">
        <f>F4-G4</f>
        <v>30</v>
      </c>
      <c r="I4" s="42" t="s">
        <v>10</v>
      </c>
      <c r="J4" s="42">
        <v>1000</v>
      </c>
      <c r="K4" s="97">
        <f>J4*H4</f>
        <v>30000</v>
      </c>
      <c r="L4" s="89"/>
    </row>
    <row r="5" spans="3:12" s="90" customFormat="1" x14ac:dyDescent="0.25">
      <c r="C5" s="129"/>
      <c r="D5" s="4"/>
      <c r="E5" s="42" t="s">
        <v>12</v>
      </c>
      <c r="F5" s="42">
        <v>200</v>
      </c>
      <c r="G5" s="42"/>
      <c r="H5" s="42">
        <f t="shared" ref="H5:H14" si="0">F5-G5</f>
        <v>200</v>
      </c>
      <c r="I5" s="42" t="s">
        <v>10</v>
      </c>
      <c r="J5" s="42">
        <v>694</v>
      </c>
      <c r="K5" s="97">
        <f t="shared" ref="K5:K19" si="1">J5*H5</f>
        <v>138800</v>
      </c>
      <c r="L5" s="89"/>
    </row>
    <row r="6" spans="3:12" s="90" customFormat="1" x14ac:dyDescent="0.25">
      <c r="C6" s="129"/>
      <c r="D6" s="4"/>
      <c r="E6" s="42" t="s">
        <v>14</v>
      </c>
      <c r="F6" s="42">
        <v>30</v>
      </c>
      <c r="G6" s="42"/>
      <c r="H6" s="42">
        <f t="shared" si="0"/>
        <v>30</v>
      </c>
      <c r="I6" s="42" t="s">
        <v>10</v>
      </c>
      <c r="J6" s="42">
        <v>345</v>
      </c>
      <c r="K6" s="97">
        <f t="shared" si="1"/>
        <v>10350</v>
      </c>
      <c r="L6" s="89"/>
    </row>
    <row r="7" spans="3:12" s="90" customFormat="1" x14ac:dyDescent="0.25">
      <c r="C7" s="129"/>
      <c r="D7" s="4"/>
      <c r="E7" s="7" t="s">
        <v>16</v>
      </c>
      <c r="F7" s="42">
        <v>100</v>
      </c>
      <c r="G7" s="42"/>
      <c r="H7" s="42">
        <f t="shared" si="0"/>
        <v>100</v>
      </c>
      <c r="I7" s="42" t="s">
        <v>10</v>
      </c>
      <c r="J7" s="42">
        <v>165</v>
      </c>
      <c r="K7" s="97">
        <f t="shared" si="1"/>
        <v>16500</v>
      </c>
      <c r="L7" s="89"/>
    </row>
    <row r="8" spans="3:12" s="90" customFormat="1" x14ac:dyDescent="0.25">
      <c r="C8" s="129"/>
      <c r="D8" s="4" t="s">
        <v>18</v>
      </c>
      <c r="E8" s="42" t="s">
        <v>12</v>
      </c>
      <c r="F8" s="42">
        <v>18</v>
      </c>
      <c r="G8" s="42"/>
      <c r="H8" s="42">
        <f t="shared" si="0"/>
        <v>18</v>
      </c>
      <c r="I8" s="42" t="s">
        <v>10</v>
      </c>
      <c r="J8" s="42">
        <v>390</v>
      </c>
      <c r="K8" s="97">
        <f t="shared" si="1"/>
        <v>7020</v>
      </c>
      <c r="L8" s="89"/>
    </row>
    <row r="9" spans="3:12" s="90" customFormat="1" x14ac:dyDescent="0.25">
      <c r="C9" s="129"/>
      <c r="D9" s="4"/>
      <c r="E9" s="42" t="s">
        <v>14</v>
      </c>
      <c r="F9" s="42">
        <v>10</v>
      </c>
      <c r="G9" s="42"/>
      <c r="H9" s="42">
        <f t="shared" si="0"/>
        <v>10</v>
      </c>
      <c r="I9" s="42" t="s">
        <v>10</v>
      </c>
      <c r="J9" s="42">
        <v>270</v>
      </c>
      <c r="K9" s="97">
        <f t="shared" si="1"/>
        <v>2700</v>
      </c>
      <c r="L9" s="89"/>
    </row>
    <row r="10" spans="3:12" s="90" customFormat="1" x14ac:dyDescent="0.25">
      <c r="C10" s="129"/>
      <c r="D10" s="4"/>
      <c r="E10" s="42" t="s">
        <v>21</v>
      </c>
      <c r="F10" s="42">
        <v>10</v>
      </c>
      <c r="G10" s="42"/>
      <c r="H10" s="42">
        <f t="shared" si="0"/>
        <v>10</v>
      </c>
      <c r="I10" s="42" t="s">
        <v>10</v>
      </c>
      <c r="J10" s="42">
        <v>220</v>
      </c>
      <c r="K10" s="97">
        <f t="shared" si="1"/>
        <v>2200</v>
      </c>
      <c r="L10" s="89"/>
    </row>
    <row r="11" spans="3:12" s="90" customFormat="1" x14ac:dyDescent="0.25">
      <c r="C11" s="129"/>
      <c r="D11" s="4"/>
      <c r="E11" s="42" t="s">
        <v>16</v>
      </c>
      <c r="F11" s="42">
        <v>24</v>
      </c>
      <c r="G11" s="42"/>
      <c r="H11" s="42">
        <f t="shared" si="0"/>
        <v>24</v>
      </c>
      <c r="I11" s="42" t="s">
        <v>10</v>
      </c>
      <c r="J11" s="42">
        <v>130</v>
      </c>
      <c r="K11" s="97">
        <f t="shared" si="1"/>
        <v>3120</v>
      </c>
      <c r="L11" s="89"/>
    </row>
    <row r="12" spans="3:12" s="90" customFormat="1" x14ac:dyDescent="0.25">
      <c r="C12" s="129"/>
      <c r="D12" s="4"/>
      <c r="E12" s="42" t="s">
        <v>23</v>
      </c>
      <c r="F12" s="42">
        <v>60</v>
      </c>
      <c r="G12" s="42"/>
      <c r="H12" s="42">
        <f t="shared" si="0"/>
        <v>60</v>
      </c>
      <c r="I12" s="42" t="s">
        <v>10</v>
      </c>
      <c r="J12" s="42">
        <v>70</v>
      </c>
      <c r="K12" s="97">
        <f t="shared" si="1"/>
        <v>4200</v>
      </c>
      <c r="L12" s="89"/>
    </row>
    <row r="13" spans="3:12" s="90" customFormat="1" x14ac:dyDescent="0.25">
      <c r="C13" s="129"/>
      <c r="D13" s="4" t="s">
        <v>25</v>
      </c>
      <c r="E13" s="42" t="s">
        <v>9</v>
      </c>
      <c r="F13" s="42">
        <v>18</v>
      </c>
      <c r="G13" s="42"/>
      <c r="H13" s="42">
        <f t="shared" si="0"/>
        <v>18</v>
      </c>
      <c r="I13" s="42" t="s">
        <v>10</v>
      </c>
      <c r="J13" s="42">
        <v>1550</v>
      </c>
      <c r="K13" s="97">
        <f t="shared" si="1"/>
        <v>27900</v>
      </c>
      <c r="L13" s="89"/>
    </row>
    <row r="14" spans="3:12" s="90" customFormat="1" x14ac:dyDescent="0.25">
      <c r="C14" s="129"/>
      <c r="D14" s="4"/>
      <c r="E14" s="42" t="s">
        <v>12</v>
      </c>
      <c r="F14" s="42">
        <v>0</v>
      </c>
      <c r="G14" s="42"/>
      <c r="H14" s="42">
        <f t="shared" si="0"/>
        <v>0</v>
      </c>
      <c r="I14" s="42" t="s">
        <v>10</v>
      </c>
      <c r="J14" s="42">
        <v>1260</v>
      </c>
      <c r="K14" s="97">
        <f t="shared" si="1"/>
        <v>0</v>
      </c>
      <c r="L14" s="89"/>
    </row>
    <row r="15" spans="3:12" s="90" customFormat="1" x14ac:dyDescent="0.25">
      <c r="C15" s="129"/>
      <c r="D15" s="4"/>
      <c r="E15" s="42" t="s">
        <v>14</v>
      </c>
      <c r="F15" s="42">
        <v>10</v>
      </c>
      <c r="G15" s="21">
        <v>10</v>
      </c>
      <c r="H15" s="42">
        <f>F15-G15</f>
        <v>0</v>
      </c>
      <c r="I15" s="42" t="s">
        <v>10</v>
      </c>
      <c r="J15" s="42">
        <v>350</v>
      </c>
      <c r="K15" s="98">
        <f t="shared" si="1"/>
        <v>0</v>
      </c>
      <c r="L15" s="4" t="s">
        <v>278</v>
      </c>
    </row>
    <row r="16" spans="3:12" s="90" customFormat="1" x14ac:dyDescent="0.25">
      <c r="C16" s="129"/>
      <c r="D16" s="4"/>
      <c r="E16" s="42" t="s">
        <v>21</v>
      </c>
      <c r="F16" s="42">
        <v>20</v>
      </c>
      <c r="G16" s="42"/>
      <c r="H16" s="42">
        <f t="shared" ref="H16:H19" si="2">F16-G16</f>
        <v>20</v>
      </c>
      <c r="I16" s="42" t="s">
        <v>10</v>
      </c>
      <c r="J16" s="42">
        <v>300</v>
      </c>
      <c r="K16" s="97">
        <f t="shared" si="1"/>
        <v>6000</v>
      </c>
      <c r="L16" s="89"/>
    </row>
    <row r="17" spans="3:12" s="90" customFormat="1" x14ac:dyDescent="0.25">
      <c r="C17" s="129"/>
      <c r="D17" s="4"/>
      <c r="E17" s="42" t="s">
        <v>16</v>
      </c>
      <c r="F17" s="42">
        <v>40</v>
      </c>
      <c r="G17" s="42"/>
      <c r="H17" s="42">
        <f t="shared" si="2"/>
        <v>40</v>
      </c>
      <c r="I17" s="42" t="s">
        <v>10</v>
      </c>
      <c r="J17" s="42">
        <v>630</v>
      </c>
      <c r="K17" s="97">
        <f t="shared" si="1"/>
        <v>25200</v>
      </c>
      <c r="L17" s="89"/>
    </row>
    <row r="18" spans="3:12" s="90" customFormat="1" x14ac:dyDescent="0.25">
      <c r="C18" s="129"/>
      <c r="D18" s="4" t="s">
        <v>31</v>
      </c>
      <c r="E18" s="42" t="s">
        <v>9</v>
      </c>
      <c r="F18" s="42">
        <v>30</v>
      </c>
      <c r="G18" s="21">
        <v>30</v>
      </c>
      <c r="H18" s="42">
        <f t="shared" si="2"/>
        <v>0</v>
      </c>
      <c r="I18" s="42" t="s">
        <v>10</v>
      </c>
      <c r="J18" s="42">
        <v>6000</v>
      </c>
      <c r="K18" s="98">
        <f t="shared" si="1"/>
        <v>0</v>
      </c>
      <c r="L18" s="89"/>
    </row>
    <row r="19" spans="3:12" s="90" customFormat="1" x14ac:dyDescent="0.25">
      <c r="C19" s="129"/>
      <c r="D19" s="4"/>
      <c r="E19" s="42" t="s">
        <v>12</v>
      </c>
      <c r="F19" s="42">
        <v>6</v>
      </c>
      <c r="G19" s="21">
        <v>6</v>
      </c>
      <c r="H19" s="42">
        <f t="shared" si="2"/>
        <v>0</v>
      </c>
      <c r="I19" s="42" t="s">
        <v>10</v>
      </c>
      <c r="J19" s="42">
        <v>5335</v>
      </c>
      <c r="K19" s="98">
        <f t="shared" si="1"/>
        <v>0</v>
      </c>
      <c r="L19" s="89"/>
    </row>
    <row r="20" spans="3:12" x14ac:dyDescent="0.25">
      <c r="K20" s="99">
        <f>SUM(K4:K19)</f>
        <v>273990</v>
      </c>
    </row>
  </sheetData>
  <mergeCells count="2">
    <mergeCell ref="C2:L2"/>
    <mergeCell ref="C4:C1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ETS Baddi_Instrument</vt:lpstr>
      <vt:lpstr>Mech.sum</vt:lpstr>
      <vt:lpstr>Material</vt:lpstr>
      <vt:lpstr>Required material</vt:lpstr>
      <vt:lpstr>Services</vt:lpstr>
      <vt:lpstr>Sion stock</vt:lpstr>
      <vt:lpstr>Taloja stock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2016-06-09T06:09:21Z</dcterms:modified>
</cp:coreProperties>
</file>