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73" i="1" l="1"/>
  <c r="E73" i="1"/>
  <c r="J49" i="1"/>
  <c r="M48" i="1"/>
  <c r="L48" i="1"/>
  <c r="K48" i="1"/>
  <c r="J48" i="1"/>
  <c r="I48" i="1"/>
  <c r="H48" i="1"/>
  <c r="C48" i="1"/>
  <c r="B48" i="1"/>
  <c r="N47" i="1"/>
  <c r="F46" i="1"/>
  <c r="N46" i="1" s="1"/>
  <c r="N45" i="1"/>
  <c r="J45" i="1"/>
  <c r="E45" i="1"/>
  <c r="D45" i="1"/>
  <c r="N44" i="1"/>
  <c r="N43" i="1"/>
  <c r="N42" i="1"/>
  <c r="N41" i="1"/>
  <c r="G40" i="1"/>
  <c r="G48" i="1" s="1"/>
  <c r="F40" i="1"/>
  <c r="F48" i="1" s="1"/>
  <c r="E40" i="1"/>
  <c r="E48" i="1" s="1"/>
  <c r="D40" i="1"/>
  <c r="D48" i="1" s="1"/>
  <c r="L35" i="1"/>
  <c r="K35" i="1"/>
  <c r="J35" i="1"/>
  <c r="I35" i="1"/>
  <c r="H35" i="1"/>
  <c r="E35" i="1"/>
  <c r="C35" i="1"/>
  <c r="B35" i="1"/>
  <c r="G34" i="1"/>
  <c r="N34" i="1" s="1"/>
  <c r="N33" i="1"/>
  <c r="M32" i="1"/>
  <c r="M35" i="1" s="1"/>
  <c r="G32" i="1"/>
  <c r="F32" i="1"/>
  <c r="D32" i="1"/>
  <c r="N31" i="1"/>
  <c r="N30" i="1"/>
  <c r="N29" i="1"/>
  <c r="N28" i="1"/>
  <c r="G27" i="1"/>
  <c r="G35" i="1" s="1"/>
  <c r="F27" i="1"/>
  <c r="F35" i="1" s="1"/>
  <c r="F37" i="1" s="1"/>
  <c r="D27" i="1"/>
  <c r="M23" i="1"/>
  <c r="K23" i="1"/>
  <c r="H23" i="1"/>
  <c r="E23" i="1"/>
  <c r="E24" i="1" s="1"/>
  <c r="C23" i="1"/>
  <c r="L22" i="1"/>
  <c r="L23" i="1" s="1"/>
  <c r="G22" i="1"/>
  <c r="N21" i="1"/>
  <c r="G20" i="1"/>
  <c r="D20" i="1"/>
  <c r="N20" i="1" s="1"/>
  <c r="B20" i="1"/>
  <c r="N19" i="1"/>
  <c r="N18" i="1"/>
  <c r="N17" i="1"/>
  <c r="N16" i="1"/>
  <c r="J15" i="1"/>
  <c r="J23" i="1" s="1"/>
  <c r="I15" i="1"/>
  <c r="I23" i="1" s="1"/>
  <c r="G15" i="1"/>
  <c r="F15" i="1"/>
  <c r="F23" i="1" s="1"/>
  <c r="D15" i="1"/>
  <c r="B15" i="1"/>
  <c r="B23" i="1" s="1"/>
  <c r="L11" i="1"/>
  <c r="K11" i="1"/>
  <c r="H11" i="1"/>
  <c r="E11" i="1"/>
  <c r="C11" i="1"/>
  <c r="B11" i="1"/>
  <c r="B12" i="1" s="1"/>
  <c r="M10" i="1"/>
  <c r="M11" i="1" s="1"/>
  <c r="J10" i="1"/>
  <c r="G10" i="1"/>
  <c r="N10" i="1" s="1"/>
  <c r="N9" i="1"/>
  <c r="J8" i="1"/>
  <c r="I8" i="1"/>
  <c r="I11" i="1" s="1"/>
  <c r="G8" i="1"/>
  <c r="G11" i="1" s="1"/>
  <c r="D8" i="1"/>
  <c r="J7" i="1"/>
  <c r="N7" i="1" s="1"/>
  <c r="J6" i="1"/>
  <c r="D6" i="1"/>
  <c r="N5" i="1"/>
  <c r="N4" i="1"/>
  <c r="J3" i="1"/>
  <c r="N3" i="1" s="1"/>
  <c r="F3" i="1"/>
  <c r="F11" i="1" s="1"/>
  <c r="D3" i="1"/>
  <c r="J11" i="1" l="1"/>
  <c r="N11" i="1" s="1"/>
  <c r="E55" i="1" s="1"/>
  <c r="N32" i="1"/>
  <c r="D35" i="1"/>
  <c r="D23" i="1"/>
  <c r="N27" i="1"/>
  <c r="N8" i="1"/>
  <c r="N22" i="1"/>
  <c r="N48" i="1"/>
  <c r="E59" i="1" s="1"/>
  <c r="E70" i="1" s="1"/>
  <c r="E71" i="1" s="1"/>
  <c r="B24" i="1"/>
  <c r="N35" i="1"/>
  <c r="D11" i="1"/>
  <c r="G23" i="1"/>
  <c r="N23" i="1" s="1"/>
  <c r="N40" i="1"/>
  <c r="N6" i="1"/>
  <c r="N15" i="1"/>
  <c r="E56" i="1" l="1"/>
  <c r="E66" i="1" s="1"/>
  <c r="E67" i="1" s="1"/>
  <c r="E57" i="1" l="1"/>
  <c r="E61" i="1"/>
</calcChain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 processing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of Vegacid 1890
Int M/D 10.29 MT mixed in Residue shown as residue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Vegacid 24.44 MT not considered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108.762 MT of C1214 used as Seed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90.59 MT  Int C1214 used as Seed Alc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 C1214 used as Seed alc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L/E as intermediate in Production Reoprt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Vegacid
</t>
        </r>
      </text>
    </comment>
    <comment ref="B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85.68 C2022 Int Alc shown as Residue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Used as seed alc ,so not considered</t>
        </r>
      </text>
    </comment>
    <comment ref="F4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 Seed Alc as Seed for C1895 Vegacid run</t>
        </r>
      </text>
    </comment>
  </commentList>
</comments>
</file>

<file path=xl/sharedStrings.xml><?xml version="1.0" encoding="utf-8"?>
<sst xmlns="http://schemas.openxmlformats.org/spreadsheetml/2006/main" count="118" uniqueCount="40">
  <si>
    <t>INTERMEDIATE GENERATION</t>
  </si>
  <si>
    <t>MONTH</t>
  </si>
  <si>
    <t>Apr'16</t>
  </si>
  <si>
    <t>May'16</t>
  </si>
  <si>
    <t>June'16</t>
  </si>
  <si>
    <t>July'16</t>
  </si>
  <si>
    <t>Aug'16</t>
  </si>
  <si>
    <t>Sept'16</t>
  </si>
  <si>
    <t>Oct'16</t>
  </si>
  <si>
    <t>Nov'16</t>
  </si>
  <si>
    <t>Dec'16</t>
  </si>
  <si>
    <t>Jan'17</t>
  </si>
  <si>
    <t>Feb'17</t>
  </si>
  <si>
    <t>Mar'17</t>
  </si>
  <si>
    <t>TOTAL</t>
  </si>
  <si>
    <t>C1214</t>
  </si>
  <si>
    <t>C1216</t>
  </si>
  <si>
    <t>C1218</t>
  </si>
  <si>
    <t>C1698</t>
  </si>
  <si>
    <t>C1898</t>
  </si>
  <si>
    <t>C1618</t>
  </si>
  <si>
    <t>C2022</t>
  </si>
  <si>
    <t>Int Processing</t>
  </si>
  <si>
    <t>LIGHT ENDS</t>
  </si>
  <si>
    <t>RESIDUE</t>
  </si>
  <si>
    <t>Intermediate Consumption</t>
  </si>
  <si>
    <t>not Considered in C2022 run - since as Seed Alc</t>
  </si>
  <si>
    <t>not Considered in C1618 run - since as flushing  Alc</t>
  </si>
  <si>
    <t>108.762 in C1898 run not considered,since used as Seed Alc</t>
  </si>
  <si>
    <t>End Year Review - (April'16 - Mar'17)</t>
  </si>
  <si>
    <t>Int Gen - as changeover</t>
  </si>
  <si>
    <t>MT</t>
  </si>
  <si>
    <t>Int Gen - as Light ends</t>
  </si>
  <si>
    <t>Int Consumed</t>
  </si>
  <si>
    <t>Net Inv. Reduced</t>
  </si>
  <si>
    <t>Op stock of Int alcohol as on 01.04.2016</t>
  </si>
  <si>
    <t>Int. Generation during the year</t>
  </si>
  <si>
    <t>Closing stock of Int alcohol as on 31.03.2017</t>
  </si>
  <si>
    <t>Int. consumed during the year</t>
  </si>
  <si>
    <t>Net Reduction in Intermediate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</si>
</sst>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2" borderId="0" xfId="0" applyFont="1" applyFill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2" fillId="0" borderId="0" xfId="0" applyFont="1" applyBorder="1"/>
    <xf numFmtId="2" fontId="2" fillId="0" borderId="0" xfId="0" applyNumberFormat="1" applyFont="1" applyBorder="1"/>
    <xf numFmtId="2" fontId="5" fillId="0" borderId="0" xfId="0" applyNumberFormat="1" applyFont="1" applyBorder="1"/>
    <xf numFmtId="2" fontId="0" fillId="0" borderId="0" xfId="0" applyNumberFormat="1"/>
    <xf numFmtId="1" fontId="0" fillId="0" borderId="4" xfId="0" applyNumberFormat="1" applyBorder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10" fontId="2" fillId="0" borderId="0" xfId="1" applyNumberFormat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5"/>
  <sheetViews>
    <sheetView tabSelected="1" workbookViewId="0">
      <selection activeCell="K16" sqref="K16"/>
    </sheetView>
  </sheetViews>
  <sheetFormatPr defaultRowHeight="15" x14ac:dyDescent="0.25"/>
  <sheetData>
    <row r="1" spans="1:14" x14ac:dyDescent="0.25">
      <c r="A1" s="1" t="s">
        <v>0</v>
      </c>
      <c r="B1" s="1"/>
      <c r="C1" s="1"/>
    </row>
    <row r="2" spans="1:14" x14ac:dyDescent="0.2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4" t="s">
        <v>14</v>
      </c>
    </row>
    <row r="3" spans="1:14" x14ac:dyDescent="0.25">
      <c r="A3" s="2" t="s">
        <v>15</v>
      </c>
      <c r="B3" s="6">
        <v>114.31</v>
      </c>
      <c r="C3" s="6">
        <v>0</v>
      </c>
      <c r="D3" s="6">
        <f>33.12</f>
        <v>33.119999999999997</v>
      </c>
      <c r="E3" s="6">
        <v>23.48</v>
      </c>
      <c r="F3" s="6">
        <f>23.8+28.24+7.838</f>
        <v>59.878</v>
      </c>
      <c r="G3" s="6">
        <v>28.02</v>
      </c>
      <c r="H3" s="6">
        <v>27.9</v>
      </c>
      <c r="I3" s="6">
        <v>21.36</v>
      </c>
      <c r="J3" s="6">
        <f>16.04</f>
        <v>16.04</v>
      </c>
      <c r="K3" s="6">
        <v>26.08</v>
      </c>
      <c r="L3" s="6">
        <v>0</v>
      </c>
      <c r="M3" s="7">
        <v>11.61</v>
      </c>
      <c r="N3" s="8">
        <f>SUM(B3:M3)</f>
        <v>361.798</v>
      </c>
    </row>
    <row r="4" spans="1:14" x14ac:dyDescent="0.25">
      <c r="A4" s="2" t="s">
        <v>16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7">
        <v>0</v>
      </c>
      <c r="N4" s="8">
        <f t="shared" ref="N4:N11" si="0">SUM(B4:M4)</f>
        <v>0</v>
      </c>
    </row>
    <row r="5" spans="1:14" x14ac:dyDescent="0.25">
      <c r="A5" s="2" t="s">
        <v>17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7">
        <v>0</v>
      </c>
      <c r="N5" s="8">
        <f t="shared" si="0"/>
        <v>0</v>
      </c>
    </row>
    <row r="6" spans="1:14" x14ac:dyDescent="0.25">
      <c r="A6" s="2" t="s">
        <v>18</v>
      </c>
      <c r="B6" s="6">
        <v>0</v>
      </c>
      <c r="C6" s="6">
        <v>0</v>
      </c>
      <c r="D6" s="6">
        <f>37.76</f>
        <v>37.76</v>
      </c>
      <c r="E6" s="6">
        <v>0</v>
      </c>
      <c r="F6" s="6">
        <v>0</v>
      </c>
      <c r="G6" s="6">
        <v>50</v>
      </c>
      <c r="H6" s="6">
        <v>53.07</v>
      </c>
      <c r="I6" s="6">
        <v>0</v>
      </c>
      <c r="J6" s="6">
        <f>19.39</f>
        <v>19.39</v>
      </c>
      <c r="K6" s="6">
        <v>6.33</v>
      </c>
      <c r="L6" s="6">
        <v>0</v>
      </c>
      <c r="M6" s="7">
        <v>68.64</v>
      </c>
      <c r="N6" s="8">
        <f t="shared" si="0"/>
        <v>235.19</v>
      </c>
    </row>
    <row r="7" spans="1:14" x14ac:dyDescent="0.25">
      <c r="A7" s="2" t="s">
        <v>19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35.869999999999997</v>
      </c>
      <c r="I7" s="6">
        <v>0</v>
      </c>
      <c r="J7" s="6">
        <f>32.81</f>
        <v>32.81</v>
      </c>
      <c r="K7" s="6">
        <v>0</v>
      </c>
      <c r="L7" s="6">
        <v>0</v>
      </c>
      <c r="M7" s="7">
        <v>0</v>
      </c>
      <c r="N7" s="8">
        <f t="shared" si="0"/>
        <v>68.680000000000007</v>
      </c>
    </row>
    <row r="8" spans="1:14" x14ac:dyDescent="0.25">
      <c r="A8" s="2" t="s">
        <v>20</v>
      </c>
      <c r="B8" s="6">
        <v>135.41</v>
      </c>
      <c r="C8" s="6">
        <v>0</v>
      </c>
      <c r="D8" s="6">
        <f>71.48+113.85</f>
        <v>185.32999999999998</v>
      </c>
      <c r="E8" s="6">
        <v>128.13999999999999</v>
      </c>
      <c r="F8" s="6">
        <v>0</v>
      </c>
      <c r="G8" s="6">
        <f>61.57+77.48</f>
        <v>139.05000000000001</v>
      </c>
      <c r="H8" s="6">
        <v>0</v>
      </c>
      <c r="I8" s="6">
        <f>79.87+27.79</f>
        <v>107.66</v>
      </c>
      <c r="J8" s="6">
        <f>30.36+58.83</f>
        <v>89.19</v>
      </c>
      <c r="K8" s="6">
        <v>152.97</v>
      </c>
      <c r="L8" s="6">
        <v>47.38</v>
      </c>
      <c r="M8" s="7">
        <v>81.221000000000004</v>
      </c>
      <c r="N8" s="8">
        <f t="shared" si="0"/>
        <v>1066.3510000000001</v>
      </c>
    </row>
    <row r="9" spans="1:14" x14ac:dyDescent="0.25">
      <c r="A9" s="2" t="s">
        <v>21</v>
      </c>
      <c r="B9" s="6">
        <v>85.68</v>
      </c>
      <c r="C9" s="6">
        <v>0</v>
      </c>
      <c r="D9" s="6">
        <v>0</v>
      </c>
      <c r="E9" s="6">
        <v>0</v>
      </c>
      <c r="F9" s="6">
        <v>74.05</v>
      </c>
      <c r="G9" s="6">
        <v>0</v>
      </c>
      <c r="H9" s="6">
        <v>0</v>
      </c>
      <c r="I9" s="6">
        <v>0</v>
      </c>
      <c r="J9" s="6">
        <v>0</v>
      </c>
      <c r="K9" s="6">
        <v>55.28</v>
      </c>
      <c r="L9" s="6">
        <v>0</v>
      </c>
      <c r="M9" s="7">
        <v>0</v>
      </c>
      <c r="N9" s="8">
        <f t="shared" si="0"/>
        <v>215.01000000000002</v>
      </c>
    </row>
    <row r="10" spans="1:14" x14ac:dyDescent="0.25">
      <c r="A10" s="2" t="s">
        <v>22</v>
      </c>
      <c r="B10" s="6">
        <v>0</v>
      </c>
      <c r="C10" s="6">
        <v>0</v>
      </c>
      <c r="D10" s="6">
        <v>0</v>
      </c>
      <c r="E10" s="6">
        <v>0</v>
      </c>
      <c r="F10" s="6">
        <v>68.52</v>
      </c>
      <c r="G10" s="6">
        <f>62.43+176.6</f>
        <v>239.03</v>
      </c>
      <c r="H10" s="6">
        <v>48.67</v>
      </c>
      <c r="I10" s="6">
        <v>0</v>
      </c>
      <c r="J10" s="6">
        <f>42.86+56.443</f>
        <v>99.302999999999997</v>
      </c>
      <c r="K10" s="6">
        <v>0</v>
      </c>
      <c r="L10" s="6">
        <v>75.430000000000007</v>
      </c>
      <c r="M10" s="7">
        <f>17.49+67.93</f>
        <v>85.42</v>
      </c>
      <c r="N10" s="8">
        <f t="shared" si="0"/>
        <v>616.37299999999993</v>
      </c>
    </row>
    <row r="11" spans="1:14" x14ac:dyDescent="0.25">
      <c r="A11" s="2" t="s">
        <v>14</v>
      </c>
      <c r="B11" s="9">
        <f t="shared" ref="B11:M11" si="1">B3+B4+B5+B6+B7+B8+B9+B10</f>
        <v>335.4</v>
      </c>
      <c r="C11" s="9">
        <f t="shared" si="1"/>
        <v>0</v>
      </c>
      <c r="D11" s="9">
        <f t="shared" si="1"/>
        <v>256.20999999999998</v>
      </c>
      <c r="E11" s="9">
        <f t="shared" si="1"/>
        <v>151.61999999999998</v>
      </c>
      <c r="F11" s="9">
        <f t="shared" si="1"/>
        <v>202.44799999999998</v>
      </c>
      <c r="G11" s="9">
        <f t="shared" si="1"/>
        <v>456.1</v>
      </c>
      <c r="H11" s="9">
        <f t="shared" si="1"/>
        <v>165.51</v>
      </c>
      <c r="I11" s="9">
        <f t="shared" si="1"/>
        <v>129.01999999999998</v>
      </c>
      <c r="J11" s="9">
        <f t="shared" si="1"/>
        <v>256.733</v>
      </c>
      <c r="K11" s="9">
        <f t="shared" si="1"/>
        <v>240.66</v>
      </c>
      <c r="L11" s="9">
        <f t="shared" si="1"/>
        <v>122.81</v>
      </c>
      <c r="M11" s="9">
        <f t="shared" si="1"/>
        <v>246.89100000000002</v>
      </c>
      <c r="N11" s="10">
        <f t="shared" si="0"/>
        <v>2563.4019999999996</v>
      </c>
    </row>
    <row r="12" spans="1:14" x14ac:dyDescent="0.25">
      <c r="B12">
        <f>335.4-B11</f>
        <v>0</v>
      </c>
    </row>
    <row r="13" spans="1:14" x14ac:dyDescent="0.25">
      <c r="A13" s="11" t="s">
        <v>23</v>
      </c>
    </row>
    <row r="14" spans="1:14" x14ac:dyDescent="0.25">
      <c r="A14" s="2" t="s">
        <v>1</v>
      </c>
      <c r="B14" s="3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5" t="s">
        <v>13</v>
      </c>
      <c r="N14" s="4" t="s">
        <v>14</v>
      </c>
    </row>
    <row r="15" spans="1:14" x14ac:dyDescent="0.25">
      <c r="A15" s="2" t="s">
        <v>15</v>
      </c>
      <c r="B15" s="6">
        <f>34.526+8.493</f>
        <v>43.019000000000005</v>
      </c>
      <c r="C15" s="12">
        <v>46.54</v>
      </c>
      <c r="D15" s="6">
        <f>38.35+23.21</f>
        <v>61.56</v>
      </c>
      <c r="E15" s="13">
        <v>56.704000000000001</v>
      </c>
      <c r="F15" s="6">
        <f>15.71+19.93</f>
        <v>35.64</v>
      </c>
      <c r="G15" s="13">
        <f>25.042+25.73+2.39</f>
        <v>53.162000000000006</v>
      </c>
      <c r="H15" s="6">
        <v>57.2</v>
      </c>
      <c r="I15" s="13">
        <f>19.222+16.296</f>
        <v>35.518000000000001</v>
      </c>
      <c r="J15" s="13">
        <f>15.703+13.984+20.46</f>
        <v>50.146999999999998</v>
      </c>
      <c r="K15" s="6">
        <v>44.8</v>
      </c>
      <c r="L15" s="6">
        <v>22.82</v>
      </c>
      <c r="M15" s="7">
        <v>41.97</v>
      </c>
      <c r="N15" s="8">
        <f>SUM(B15:M15)</f>
        <v>549.07999999999993</v>
      </c>
    </row>
    <row r="16" spans="1:14" x14ac:dyDescent="0.25">
      <c r="A16" s="2" t="s">
        <v>16</v>
      </c>
      <c r="B16" s="6"/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7">
        <v>0</v>
      </c>
      <c r="N16" s="8">
        <f t="shared" ref="N16:N23" si="2">SUM(B16:M16)</f>
        <v>0</v>
      </c>
    </row>
    <row r="17" spans="1:14" x14ac:dyDescent="0.25">
      <c r="A17" s="2" t="s">
        <v>17</v>
      </c>
      <c r="B17" s="6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7">
        <v>0</v>
      </c>
      <c r="N17" s="8">
        <f t="shared" si="2"/>
        <v>0</v>
      </c>
    </row>
    <row r="18" spans="1:14" x14ac:dyDescent="0.25">
      <c r="A18" s="2" t="s">
        <v>18</v>
      </c>
      <c r="B18" s="6"/>
      <c r="C18" s="6">
        <v>0</v>
      </c>
      <c r="D18" s="6">
        <v>103.35</v>
      </c>
      <c r="E18" s="6">
        <v>0</v>
      </c>
      <c r="F18" s="6">
        <v>0</v>
      </c>
      <c r="G18" s="6">
        <v>60.87</v>
      </c>
      <c r="H18" s="6">
        <v>56.122</v>
      </c>
      <c r="I18" s="6">
        <v>0</v>
      </c>
      <c r="J18" s="6">
        <v>75.900000000000006</v>
      </c>
      <c r="K18" s="6">
        <v>81.86</v>
      </c>
      <c r="L18" s="6">
        <v>20.46</v>
      </c>
      <c r="M18" s="7">
        <v>35.49</v>
      </c>
      <c r="N18" s="8">
        <f t="shared" si="2"/>
        <v>434.05199999999996</v>
      </c>
    </row>
    <row r="19" spans="1:14" x14ac:dyDescent="0.25">
      <c r="A19" s="2" t="s">
        <v>19</v>
      </c>
      <c r="B19" s="6"/>
      <c r="C19" s="6">
        <v>197.18</v>
      </c>
      <c r="D19" s="6">
        <v>0</v>
      </c>
      <c r="E19" s="6">
        <v>77.185000000000002</v>
      </c>
      <c r="F19" s="6">
        <v>72.010000000000005</v>
      </c>
      <c r="G19" s="6">
        <v>0</v>
      </c>
      <c r="H19" s="6">
        <v>70.75</v>
      </c>
      <c r="I19" s="6">
        <v>0</v>
      </c>
      <c r="J19" s="6">
        <v>60.08</v>
      </c>
      <c r="K19" s="6">
        <v>0</v>
      </c>
      <c r="L19" s="6">
        <v>80.319999999999993</v>
      </c>
      <c r="M19" s="7">
        <v>16.46</v>
      </c>
      <c r="N19" s="8">
        <f t="shared" si="2"/>
        <v>573.98500000000001</v>
      </c>
    </row>
    <row r="20" spans="1:14" x14ac:dyDescent="0.25">
      <c r="A20" s="2" t="s">
        <v>20</v>
      </c>
      <c r="B20" s="6">
        <f>67.21</f>
        <v>67.209999999999994</v>
      </c>
      <c r="C20" s="6">
        <v>14.18</v>
      </c>
      <c r="D20" s="6">
        <f>12.643+21.68+122.751</f>
        <v>157.07400000000001</v>
      </c>
      <c r="E20" s="6">
        <v>101.88</v>
      </c>
      <c r="F20" s="6">
        <v>58.24</v>
      </c>
      <c r="G20" s="6">
        <f>4.14+62.71</f>
        <v>66.849999999999994</v>
      </c>
      <c r="H20" s="6">
        <v>47.64</v>
      </c>
      <c r="I20" s="6">
        <v>130.59</v>
      </c>
      <c r="J20" s="6">
        <v>34.200000000000003</v>
      </c>
      <c r="K20" s="6">
        <v>44.244</v>
      </c>
      <c r="L20" s="6">
        <v>30.32</v>
      </c>
      <c r="M20" s="7">
        <v>67.319999999999993</v>
      </c>
      <c r="N20" s="8">
        <f t="shared" si="2"/>
        <v>819.74800000000005</v>
      </c>
    </row>
    <row r="21" spans="1:14" x14ac:dyDescent="0.25">
      <c r="A21" s="2" t="s">
        <v>21</v>
      </c>
      <c r="B21" s="6">
        <v>251.33199999999999</v>
      </c>
      <c r="C21" s="6">
        <v>0</v>
      </c>
      <c r="D21" s="6">
        <v>0</v>
      </c>
      <c r="E21" s="6"/>
      <c r="F21" s="6">
        <v>245.85</v>
      </c>
      <c r="G21" s="6">
        <v>0</v>
      </c>
      <c r="H21" s="6">
        <v>0</v>
      </c>
      <c r="I21" s="6">
        <v>0</v>
      </c>
      <c r="J21" s="6">
        <v>0</v>
      </c>
      <c r="K21" s="6">
        <v>127.51</v>
      </c>
      <c r="L21" s="6">
        <v>0</v>
      </c>
      <c r="M21" s="7">
        <v>0</v>
      </c>
      <c r="N21" s="8">
        <f t="shared" si="2"/>
        <v>624.69200000000001</v>
      </c>
    </row>
    <row r="22" spans="1:14" x14ac:dyDescent="0.25">
      <c r="A22" s="2" t="s">
        <v>22</v>
      </c>
      <c r="B22" s="6"/>
      <c r="C22" s="6"/>
      <c r="D22" s="6">
        <v>0</v>
      </c>
      <c r="E22" s="6">
        <v>35.701000000000001</v>
      </c>
      <c r="F22" s="6">
        <v>144.28</v>
      </c>
      <c r="G22" s="6">
        <f>20.53+53.08</f>
        <v>73.61</v>
      </c>
      <c r="H22" s="6">
        <v>45.851999999999997</v>
      </c>
      <c r="I22" s="6">
        <v>0</v>
      </c>
      <c r="J22" s="6">
        <v>41.094999999999999</v>
      </c>
      <c r="K22" s="6">
        <v>0</v>
      </c>
      <c r="L22" s="6">
        <f>47.08</f>
        <v>47.08</v>
      </c>
      <c r="M22" s="7">
        <v>66.239999999999995</v>
      </c>
      <c r="N22" s="8">
        <f t="shared" si="2"/>
        <v>453.858</v>
      </c>
    </row>
    <row r="23" spans="1:14" x14ac:dyDescent="0.25">
      <c r="A23" s="2" t="s">
        <v>14</v>
      </c>
      <c r="B23" s="9">
        <f t="shared" ref="B23:M23" si="3">B15+B16+B17+B18+B19+B20+B21+B22</f>
        <v>361.56099999999998</v>
      </c>
      <c r="C23" s="9">
        <f t="shared" si="3"/>
        <v>257.89999999999998</v>
      </c>
      <c r="D23" s="9">
        <f t="shared" si="3"/>
        <v>321.98400000000004</v>
      </c>
      <c r="E23" s="9">
        <f t="shared" si="3"/>
        <v>271.47000000000003</v>
      </c>
      <c r="F23" s="9">
        <f t="shared" si="3"/>
        <v>556.02</v>
      </c>
      <c r="G23" s="9">
        <f t="shared" si="3"/>
        <v>254.49200000000002</v>
      </c>
      <c r="H23" s="9">
        <f t="shared" si="3"/>
        <v>277.56399999999996</v>
      </c>
      <c r="I23" s="14">
        <f t="shared" si="3"/>
        <v>166.108</v>
      </c>
      <c r="J23" s="9">
        <f t="shared" si="3"/>
        <v>261.42200000000003</v>
      </c>
      <c r="K23" s="9">
        <f t="shared" si="3"/>
        <v>298.41399999999999</v>
      </c>
      <c r="L23" s="9">
        <f t="shared" si="3"/>
        <v>201</v>
      </c>
      <c r="M23" s="9">
        <f t="shared" si="3"/>
        <v>227.48000000000002</v>
      </c>
      <c r="N23" s="10">
        <f t="shared" si="2"/>
        <v>3455.4150000000004</v>
      </c>
    </row>
    <row r="24" spans="1:14" x14ac:dyDescent="0.25">
      <c r="B24">
        <f>B23-336.91</f>
        <v>24.650999999999954</v>
      </c>
      <c r="E24">
        <f>271.47-E23</f>
        <v>0</v>
      </c>
    </row>
    <row r="25" spans="1:14" x14ac:dyDescent="0.25">
      <c r="A25" s="11" t="s">
        <v>24</v>
      </c>
    </row>
    <row r="26" spans="1:14" x14ac:dyDescent="0.25">
      <c r="A26" s="2" t="s">
        <v>1</v>
      </c>
      <c r="B26" s="3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5" t="s">
        <v>13</v>
      </c>
      <c r="N26" s="4" t="s">
        <v>14</v>
      </c>
    </row>
    <row r="27" spans="1:14" x14ac:dyDescent="0.25">
      <c r="A27" s="2" t="s">
        <v>15</v>
      </c>
      <c r="B27" s="6"/>
      <c r="C27" s="6">
        <v>6.14</v>
      </c>
      <c r="D27" s="6">
        <f>28.3+11.3</f>
        <v>39.6</v>
      </c>
      <c r="E27" s="6">
        <v>0</v>
      </c>
      <c r="F27" s="6">
        <f>68.63+23.93</f>
        <v>92.56</v>
      </c>
      <c r="G27" s="6">
        <f>3.04+13.61</f>
        <v>16.649999999999999</v>
      </c>
      <c r="H27" s="6">
        <v>6.98</v>
      </c>
      <c r="I27" s="6">
        <v>0</v>
      </c>
      <c r="J27" s="6">
        <v>1.62</v>
      </c>
      <c r="K27" s="6">
        <v>6.8</v>
      </c>
      <c r="L27" s="6">
        <v>0</v>
      </c>
      <c r="M27" s="7">
        <v>0</v>
      </c>
      <c r="N27" s="8">
        <f>SUM(B27:M27)</f>
        <v>170.35000000000002</v>
      </c>
    </row>
    <row r="28" spans="1:14" x14ac:dyDescent="0.25">
      <c r="A28" s="2" t="s">
        <v>16</v>
      </c>
      <c r="B28" s="6"/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7">
        <v>0</v>
      </c>
      <c r="N28" s="8">
        <f t="shared" ref="N28:N35" si="4">SUM(B28:M28)</f>
        <v>0</v>
      </c>
    </row>
    <row r="29" spans="1:14" x14ac:dyDescent="0.25">
      <c r="A29" s="2" t="s">
        <v>17</v>
      </c>
      <c r="B29" s="6"/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7">
        <v>0</v>
      </c>
      <c r="N29" s="8">
        <f t="shared" si="4"/>
        <v>0</v>
      </c>
    </row>
    <row r="30" spans="1:14" x14ac:dyDescent="0.25">
      <c r="A30" s="2" t="s">
        <v>18</v>
      </c>
      <c r="B30" s="6"/>
      <c r="C30" s="6"/>
      <c r="D30" s="6">
        <v>27.94</v>
      </c>
      <c r="E30" s="6">
        <v>0</v>
      </c>
      <c r="F30" s="6">
        <v>0</v>
      </c>
      <c r="G30" s="6">
        <v>30.63</v>
      </c>
      <c r="H30" s="6">
        <v>42.21</v>
      </c>
      <c r="I30" s="6">
        <v>0</v>
      </c>
      <c r="J30" s="6">
        <v>29.72</v>
      </c>
      <c r="K30" s="6">
        <v>10.79</v>
      </c>
      <c r="L30" s="6">
        <v>0</v>
      </c>
      <c r="M30" s="7">
        <v>40.950000000000003</v>
      </c>
      <c r="N30" s="8">
        <f t="shared" si="4"/>
        <v>182.24</v>
      </c>
    </row>
    <row r="31" spans="1:14" x14ac:dyDescent="0.25">
      <c r="A31" s="2" t="s">
        <v>19</v>
      </c>
      <c r="B31" s="6"/>
      <c r="C31" s="6"/>
      <c r="D31" s="6">
        <v>0</v>
      </c>
      <c r="E31" s="6">
        <v>0</v>
      </c>
      <c r="F31" s="6">
        <v>0</v>
      </c>
      <c r="G31" s="6">
        <v>0</v>
      </c>
      <c r="H31" s="6">
        <v>37.71</v>
      </c>
      <c r="I31" s="6">
        <v>0</v>
      </c>
      <c r="J31" s="6">
        <v>32.950000000000003</v>
      </c>
      <c r="K31" s="6">
        <v>0</v>
      </c>
      <c r="L31" s="6">
        <v>0</v>
      </c>
      <c r="M31" s="7">
        <v>0</v>
      </c>
      <c r="N31" s="8">
        <f t="shared" si="4"/>
        <v>70.66</v>
      </c>
    </row>
    <row r="32" spans="1:14" x14ac:dyDescent="0.25">
      <c r="A32" s="2" t="s">
        <v>20</v>
      </c>
      <c r="B32" s="6">
        <v>72.569999999999993</v>
      </c>
      <c r="C32" s="6"/>
      <c r="D32" s="6">
        <f>48.37+65.03+9.352</f>
        <v>122.75200000000001</v>
      </c>
      <c r="E32" s="6">
        <v>211.702</v>
      </c>
      <c r="F32" s="6">
        <f>31.56+4.68</f>
        <v>36.239999999999995</v>
      </c>
      <c r="G32" s="6">
        <f>55.2+40.41</f>
        <v>95.61</v>
      </c>
      <c r="H32" s="6">
        <v>0</v>
      </c>
      <c r="I32" s="6">
        <v>54.39</v>
      </c>
      <c r="J32" s="6">
        <v>81.99</v>
      </c>
      <c r="K32" s="6">
        <v>58.96</v>
      </c>
      <c r="L32" s="6">
        <v>67.84</v>
      </c>
      <c r="M32" s="7">
        <f>80.04+43.26</f>
        <v>123.30000000000001</v>
      </c>
      <c r="N32" s="8">
        <f t="shared" si="4"/>
        <v>925.35400000000004</v>
      </c>
    </row>
    <row r="33" spans="1:14" x14ac:dyDescent="0.25">
      <c r="A33" s="2" t="s">
        <v>21</v>
      </c>
      <c r="B33" s="6">
        <v>38.590000000000003</v>
      </c>
      <c r="C33" s="6"/>
      <c r="D33" s="6"/>
      <c r="E33" s="6">
        <v>0</v>
      </c>
      <c r="F33" s="6">
        <v>159.11000000000001</v>
      </c>
      <c r="G33" s="6">
        <v>0</v>
      </c>
      <c r="H33" s="6">
        <v>0</v>
      </c>
      <c r="I33" s="6">
        <v>0</v>
      </c>
      <c r="J33" s="6">
        <v>0</v>
      </c>
      <c r="K33" s="6">
        <v>81.48</v>
      </c>
      <c r="L33" s="6">
        <v>0</v>
      </c>
      <c r="M33" s="7">
        <v>0</v>
      </c>
      <c r="N33" s="8">
        <f t="shared" si="4"/>
        <v>279.18</v>
      </c>
    </row>
    <row r="34" spans="1:14" x14ac:dyDescent="0.25">
      <c r="A34" s="2" t="s">
        <v>22</v>
      </c>
      <c r="B34" s="6"/>
      <c r="C34" s="6"/>
      <c r="D34" s="6"/>
      <c r="E34" s="6">
        <v>10.653</v>
      </c>
      <c r="F34" s="6">
        <v>41.66</v>
      </c>
      <c r="G34" s="6">
        <f>19.5+16.3</f>
        <v>35.799999999999997</v>
      </c>
      <c r="H34" s="6">
        <v>18.79</v>
      </c>
      <c r="I34" s="6">
        <v>0</v>
      </c>
      <c r="J34" s="13">
        <v>17.399999999999999</v>
      </c>
      <c r="K34" s="6"/>
      <c r="L34" s="6">
        <v>33.450000000000003</v>
      </c>
      <c r="M34" s="7">
        <v>114.21</v>
      </c>
      <c r="N34" s="8">
        <f t="shared" si="4"/>
        <v>271.96299999999997</v>
      </c>
    </row>
    <row r="35" spans="1:14" x14ac:dyDescent="0.25">
      <c r="A35" s="2" t="s">
        <v>14</v>
      </c>
      <c r="B35" s="9">
        <f t="shared" ref="B35:M35" si="5">B27+B28+B29+B30+B31+B32+B33+B34</f>
        <v>111.16</v>
      </c>
      <c r="C35" s="9">
        <f t="shared" si="5"/>
        <v>6.14</v>
      </c>
      <c r="D35" s="9">
        <f t="shared" si="5"/>
        <v>190.29200000000003</v>
      </c>
      <c r="E35" s="9">
        <f t="shared" si="5"/>
        <v>222.35499999999999</v>
      </c>
      <c r="F35" s="9">
        <f t="shared" si="5"/>
        <v>329.57000000000005</v>
      </c>
      <c r="G35" s="9">
        <f t="shared" si="5"/>
        <v>178.69</v>
      </c>
      <c r="H35" s="9">
        <f t="shared" si="5"/>
        <v>105.69</v>
      </c>
      <c r="I35" s="9">
        <f t="shared" si="5"/>
        <v>54.39</v>
      </c>
      <c r="J35" s="14">
        <f t="shared" si="5"/>
        <v>163.68</v>
      </c>
      <c r="K35" s="9">
        <f t="shared" si="5"/>
        <v>158.03</v>
      </c>
      <c r="L35" s="9">
        <f t="shared" si="5"/>
        <v>101.29</v>
      </c>
      <c r="M35" s="9">
        <f t="shared" si="5"/>
        <v>278.45999999999998</v>
      </c>
      <c r="N35" s="10">
        <f t="shared" si="4"/>
        <v>1899.7470000000003</v>
      </c>
    </row>
    <row r="36" spans="1:14" x14ac:dyDescent="0.25">
      <c r="B36">
        <v>85.68</v>
      </c>
    </row>
    <row r="37" spans="1:14" x14ac:dyDescent="0.25">
      <c r="F37">
        <f>F35-231</f>
        <v>98.57000000000005</v>
      </c>
    </row>
    <row r="38" spans="1:14" x14ac:dyDescent="0.25">
      <c r="A38" s="15" t="s">
        <v>25</v>
      </c>
      <c r="B38" s="15"/>
      <c r="C38" s="15"/>
    </row>
    <row r="39" spans="1:14" x14ac:dyDescent="0.25">
      <c r="A39" s="2" t="s">
        <v>1</v>
      </c>
      <c r="B39" s="3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5" t="s">
        <v>13</v>
      </c>
      <c r="N39" s="4" t="s">
        <v>14</v>
      </c>
    </row>
    <row r="40" spans="1:14" x14ac:dyDescent="0.25">
      <c r="A40" s="2" t="s">
        <v>15</v>
      </c>
      <c r="B40" s="6">
        <v>108.97</v>
      </c>
      <c r="C40" s="6"/>
      <c r="D40" s="6">
        <f>230.49</f>
        <v>230.49</v>
      </c>
      <c r="E40" s="6">
        <f>100.53+120.12+133.84</f>
        <v>354.49</v>
      </c>
      <c r="F40" s="6">
        <f>147.11</f>
        <v>147.11000000000001</v>
      </c>
      <c r="G40" s="6">
        <f>184.961+459.7</f>
        <v>644.66100000000006</v>
      </c>
      <c r="H40" s="6">
        <v>99.54</v>
      </c>
      <c r="I40" s="6"/>
      <c r="J40" s="6"/>
      <c r="K40" s="6"/>
      <c r="L40" s="6">
        <v>290.56</v>
      </c>
      <c r="M40" s="6">
        <v>655.26</v>
      </c>
      <c r="N40" s="8">
        <f>SUM(B40:M40)</f>
        <v>2531.0810000000001</v>
      </c>
    </row>
    <row r="41" spans="1:14" x14ac:dyDescent="0.25">
      <c r="A41" s="2" t="s">
        <v>16</v>
      </c>
      <c r="B41" s="6"/>
      <c r="C41" s="6"/>
      <c r="D41" s="6">
        <v>0</v>
      </c>
      <c r="E41" s="6"/>
      <c r="F41" s="6"/>
      <c r="G41" s="6"/>
      <c r="H41" s="6"/>
      <c r="I41" s="6"/>
      <c r="J41" s="6"/>
      <c r="K41" s="6"/>
      <c r="L41" s="6">
        <v>0</v>
      </c>
      <c r="M41" s="6">
        <v>0</v>
      </c>
      <c r="N41" s="8">
        <f t="shared" ref="N41:N48" si="6">SUM(B41:M41)</f>
        <v>0</v>
      </c>
    </row>
    <row r="42" spans="1:14" x14ac:dyDescent="0.25">
      <c r="A42" s="2" t="s">
        <v>17</v>
      </c>
      <c r="B42" s="6"/>
      <c r="C42" s="6"/>
      <c r="D42" s="6">
        <v>0</v>
      </c>
      <c r="E42" s="6"/>
      <c r="F42" s="6"/>
      <c r="G42" s="6"/>
      <c r="H42" s="6"/>
      <c r="I42" s="6"/>
      <c r="J42" s="6"/>
      <c r="K42" s="6"/>
      <c r="L42" s="6">
        <v>0</v>
      </c>
      <c r="M42" s="6">
        <v>0</v>
      </c>
      <c r="N42" s="8">
        <f t="shared" si="6"/>
        <v>0</v>
      </c>
    </row>
    <row r="43" spans="1:14" x14ac:dyDescent="0.25">
      <c r="A43" s="2" t="s">
        <v>18</v>
      </c>
      <c r="B43" s="6"/>
      <c r="C43" s="6"/>
      <c r="D43" s="6">
        <v>0</v>
      </c>
      <c r="E43" s="6"/>
      <c r="F43" s="6"/>
      <c r="G43" s="6"/>
      <c r="H43" s="6"/>
      <c r="I43" s="6"/>
      <c r="J43" s="6"/>
      <c r="K43" s="6"/>
      <c r="L43" s="6">
        <v>0</v>
      </c>
      <c r="M43" s="6">
        <v>0</v>
      </c>
      <c r="N43" s="8">
        <f t="shared" si="6"/>
        <v>0</v>
      </c>
    </row>
    <row r="44" spans="1:14" x14ac:dyDescent="0.25">
      <c r="A44" s="2" t="s">
        <v>19</v>
      </c>
      <c r="B44" s="6"/>
      <c r="C44" s="16">
        <v>108.762</v>
      </c>
      <c r="D44" s="6">
        <v>0</v>
      </c>
      <c r="E44" s="6"/>
      <c r="F44" s="6"/>
      <c r="G44" s="6"/>
      <c r="H44" s="6"/>
      <c r="I44" s="6"/>
      <c r="J44" s="6"/>
      <c r="K44" s="6"/>
      <c r="L44" s="6">
        <v>0</v>
      </c>
      <c r="M44" s="6">
        <v>0</v>
      </c>
      <c r="N44" s="8">
        <f t="shared" si="6"/>
        <v>108.762</v>
      </c>
    </row>
    <row r="45" spans="1:14" x14ac:dyDescent="0.25">
      <c r="A45" s="2" t="s">
        <v>20</v>
      </c>
      <c r="B45" s="6">
        <v>89.5</v>
      </c>
      <c r="C45" s="6">
        <v>74.28</v>
      </c>
      <c r="D45" s="6">
        <f>24.98+188.14+289.96</f>
        <v>503.07999999999993</v>
      </c>
      <c r="E45" s="6">
        <f>241.48+95.014</f>
        <v>336.49399999999997</v>
      </c>
      <c r="F45" s="6">
        <v>230.1</v>
      </c>
      <c r="G45" s="6">
        <v>65.2</v>
      </c>
      <c r="H45" s="6"/>
      <c r="I45" s="6">
        <v>189.55</v>
      </c>
      <c r="J45" s="6">
        <f>18.9</f>
        <v>18.899999999999999</v>
      </c>
      <c r="K45" s="6">
        <v>410.23</v>
      </c>
      <c r="L45" s="6">
        <v>74.31</v>
      </c>
      <c r="M45" s="6">
        <v>225.19</v>
      </c>
      <c r="N45" s="8">
        <f t="shared" si="6"/>
        <v>2216.8339999999998</v>
      </c>
    </row>
    <row r="46" spans="1:14" x14ac:dyDescent="0.25">
      <c r="A46" s="2" t="s">
        <v>21</v>
      </c>
      <c r="B46" s="6"/>
      <c r="C46" s="6"/>
      <c r="D46" s="6"/>
      <c r="E46" s="6"/>
      <c r="F46" s="6">
        <f>475.35+125.96</f>
        <v>601.31000000000006</v>
      </c>
      <c r="G46" s="6"/>
      <c r="H46" s="6"/>
      <c r="I46" s="6"/>
      <c r="J46" s="6">
        <v>70.42</v>
      </c>
      <c r="K46" s="13">
        <v>194.59100000000001</v>
      </c>
      <c r="L46" s="6">
        <v>0</v>
      </c>
      <c r="M46" s="6">
        <v>0</v>
      </c>
      <c r="N46" s="8">
        <f t="shared" si="6"/>
        <v>866.32100000000003</v>
      </c>
    </row>
    <row r="47" spans="1:14" x14ac:dyDescent="0.25">
      <c r="A47" s="2" t="s">
        <v>22</v>
      </c>
      <c r="B47" s="6"/>
      <c r="C47" s="6"/>
      <c r="D47" s="6"/>
      <c r="E47" s="6"/>
      <c r="F47" s="6">
        <v>124.39</v>
      </c>
      <c r="G47" s="6"/>
      <c r="H47" s="6"/>
      <c r="I47" s="6"/>
      <c r="J47" s="6">
        <v>224.2</v>
      </c>
      <c r="K47" s="6"/>
      <c r="L47" s="6">
        <v>0</v>
      </c>
      <c r="M47" s="6">
        <v>0</v>
      </c>
      <c r="N47" s="8">
        <f t="shared" si="6"/>
        <v>348.59</v>
      </c>
    </row>
    <row r="48" spans="1:14" x14ac:dyDescent="0.25">
      <c r="A48" s="2" t="s">
        <v>14</v>
      </c>
      <c r="B48" s="17">
        <f>B40+B41+B42+B43+B44+B45+B46+B47</f>
        <v>198.47</v>
      </c>
      <c r="C48" s="17">
        <f>C40+C41+C42+C43+C45+C46+C47</f>
        <v>74.28</v>
      </c>
      <c r="D48" s="17">
        <f t="shared" ref="D48:M48" si="7">D40+D41+D42+D43+D44+D45+D46+D47</f>
        <v>733.56999999999994</v>
      </c>
      <c r="E48" s="17">
        <f t="shared" si="7"/>
        <v>690.98399999999992</v>
      </c>
      <c r="F48" s="17">
        <f t="shared" si="7"/>
        <v>1102.9100000000001</v>
      </c>
      <c r="G48" s="17">
        <f t="shared" si="7"/>
        <v>709.8610000000001</v>
      </c>
      <c r="H48" s="17">
        <f t="shared" si="7"/>
        <v>99.54</v>
      </c>
      <c r="I48" s="17">
        <f t="shared" si="7"/>
        <v>189.55</v>
      </c>
      <c r="J48" s="17">
        <f t="shared" si="7"/>
        <v>313.52</v>
      </c>
      <c r="K48" s="18">
        <f t="shared" si="7"/>
        <v>604.82100000000003</v>
      </c>
      <c r="L48" s="17">
        <f t="shared" si="7"/>
        <v>364.87</v>
      </c>
      <c r="M48" s="17">
        <f t="shared" si="7"/>
        <v>880.45</v>
      </c>
      <c r="N48" s="10">
        <f t="shared" si="6"/>
        <v>5962.8259999999991</v>
      </c>
    </row>
    <row r="49" spans="2:10" x14ac:dyDescent="0.25">
      <c r="B49">
        <v>90.59</v>
      </c>
      <c r="C49" t="s">
        <v>26</v>
      </c>
      <c r="J49">
        <f>3106-F47</f>
        <v>2981.61</v>
      </c>
    </row>
    <row r="50" spans="2:10" x14ac:dyDescent="0.25">
      <c r="B50">
        <v>51.98</v>
      </c>
      <c r="C50" t="s">
        <v>27</v>
      </c>
    </row>
    <row r="51" spans="2:10" x14ac:dyDescent="0.25">
      <c r="B51" t="s">
        <v>28</v>
      </c>
    </row>
    <row r="54" spans="2:10" x14ac:dyDescent="0.25">
      <c r="B54" s="19"/>
      <c r="C54" s="20" t="s">
        <v>29</v>
      </c>
      <c r="D54" s="21"/>
      <c r="E54" s="21"/>
      <c r="F54" s="19"/>
    </row>
    <row r="55" spans="2:10" x14ac:dyDescent="0.25">
      <c r="B55" s="19"/>
      <c r="C55" s="21" t="s">
        <v>30</v>
      </c>
      <c r="D55" s="19"/>
      <c r="E55" s="22">
        <f>N11</f>
        <v>2563.4019999999996</v>
      </c>
      <c r="F55" s="21" t="s">
        <v>31</v>
      </c>
    </row>
    <row r="56" spans="2:10" x14ac:dyDescent="0.25">
      <c r="B56" s="19"/>
      <c r="C56" s="21" t="s">
        <v>32</v>
      </c>
      <c r="D56" s="19"/>
      <c r="E56" s="22">
        <f>N23-N15-N22</f>
        <v>2452.4770000000003</v>
      </c>
      <c r="F56" s="21" t="s">
        <v>31</v>
      </c>
    </row>
    <row r="57" spans="2:10" x14ac:dyDescent="0.25">
      <c r="B57" s="19"/>
      <c r="C57" s="21"/>
      <c r="D57" s="19"/>
      <c r="E57" s="23">
        <f>SUM(E55:E56)</f>
        <v>5015.8789999999999</v>
      </c>
      <c r="F57" s="21"/>
    </row>
    <row r="58" spans="2:10" x14ac:dyDescent="0.25">
      <c r="B58" s="19"/>
      <c r="C58" s="21"/>
      <c r="D58" s="19"/>
      <c r="E58" s="22"/>
      <c r="F58" s="21"/>
    </row>
    <row r="59" spans="2:10" x14ac:dyDescent="0.25">
      <c r="B59" s="19"/>
      <c r="C59" s="21" t="s">
        <v>33</v>
      </c>
      <c r="D59" s="21"/>
      <c r="E59" s="23">
        <f>N48</f>
        <v>5962.8259999999991</v>
      </c>
      <c r="F59" s="21" t="s">
        <v>31</v>
      </c>
    </row>
    <row r="60" spans="2:10" x14ac:dyDescent="0.25">
      <c r="B60" s="19"/>
      <c r="C60" s="21"/>
      <c r="D60" s="21"/>
      <c r="E60" s="21"/>
      <c r="F60" s="21"/>
    </row>
    <row r="61" spans="2:10" x14ac:dyDescent="0.25">
      <c r="B61" s="19"/>
      <c r="C61" s="19"/>
      <c r="D61" s="20" t="s">
        <v>34</v>
      </c>
      <c r="E61" s="23">
        <f>E55+E56-E59</f>
        <v>-946.94699999999921</v>
      </c>
      <c r="F61" s="20" t="s">
        <v>31</v>
      </c>
    </row>
    <row r="62" spans="2:10" x14ac:dyDescent="0.25">
      <c r="B62" s="19"/>
      <c r="C62" s="19"/>
      <c r="D62" s="19"/>
      <c r="E62" s="19"/>
      <c r="F62" s="19"/>
    </row>
    <row r="63" spans="2:10" x14ac:dyDescent="0.25">
      <c r="H63" s="24"/>
    </row>
    <row r="65" spans="1:15" x14ac:dyDescent="0.25">
      <c r="B65" t="s">
        <v>35</v>
      </c>
      <c r="E65">
        <v>2729</v>
      </c>
      <c r="F65" t="s">
        <v>31</v>
      </c>
      <c r="H65" s="24"/>
    </row>
    <row r="66" spans="1:15" x14ac:dyDescent="0.25">
      <c r="B66" t="s">
        <v>36</v>
      </c>
      <c r="E66" s="25">
        <f>E55+E56</f>
        <v>5015.8789999999999</v>
      </c>
      <c r="F66" t="s">
        <v>31</v>
      </c>
      <c r="G66" s="26"/>
    </row>
    <row r="67" spans="1:15" x14ac:dyDescent="0.25">
      <c r="E67" s="27">
        <f>SUM(E65:E66)</f>
        <v>7744.8789999999999</v>
      </c>
      <c r="G67" s="28"/>
    </row>
    <row r="68" spans="1:15" x14ac:dyDescent="0.25">
      <c r="E68" s="27"/>
      <c r="G68" s="29"/>
      <c r="H68" s="28"/>
    </row>
    <row r="69" spans="1:15" x14ac:dyDescent="0.25">
      <c r="B69" t="s">
        <v>37</v>
      </c>
      <c r="E69">
        <v>1864</v>
      </c>
      <c r="F69" t="s">
        <v>31</v>
      </c>
      <c r="G69" s="27"/>
    </row>
    <row r="70" spans="1:15" x14ac:dyDescent="0.25">
      <c r="B70" t="s">
        <v>38</v>
      </c>
      <c r="E70" s="25">
        <f>E59</f>
        <v>5962.8259999999991</v>
      </c>
      <c r="F70" t="s">
        <v>31</v>
      </c>
    </row>
    <row r="71" spans="1:15" x14ac:dyDescent="0.25">
      <c r="E71" s="27">
        <f>SUM(E69:E70)</f>
        <v>7826.8259999999991</v>
      </c>
      <c r="G71" s="27"/>
    </row>
    <row r="72" spans="1:15" x14ac:dyDescent="0.25">
      <c r="E72" s="27"/>
    </row>
    <row r="73" spans="1:15" x14ac:dyDescent="0.25">
      <c r="B73" t="s">
        <v>39</v>
      </c>
      <c r="E73">
        <f>E65-E69</f>
        <v>865</v>
      </c>
      <c r="F73" s="27" t="s">
        <v>31</v>
      </c>
      <c r="G73" s="29">
        <f>E73/E65</f>
        <v>0.31696592158299741</v>
      </c>
    </row>
    <row r="75" spans="1:15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2017-04-20T12:17:08Z</dcterms:modified>
</cp:coreProperties>
</file>