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55" i="1" l="1"/>
  <c r="D10" i="1" l="1"/>
  <c r="Q49" i="1" l="1"/>
  <c r="N48" i="1"/>
  <c r="N47" i="1"/>
  <c r="O47" i="1" s="1"/>
  <c r="N46" i="1"/>
  <c r="N45" i="1"/>
  <c r="N44" i="1"/>
  <c r="N43" i="1"/>
  <c r="O43" i="1" s="1"/>
  <c r="Q43" i="1" s="1"/>
  <c r="N42" i="1"/>
  <c r="N41" i="1"/>
  <c r="H40" i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Q51" i="1"/>
  <c r="Q50" i="1"/>
  <c r="N40" i="1"/>
  <c r="Q33" i="1"/>
  <c r="Q32" i="1"/>
  <c r="Q31" i="1"/>
  <c r="Q26" i="1"/>
  <c r="Q25" i="1"/>
  <c r="Q24" i="1"/>
  <c r="Q23" i="1"/>
  <c r="Q16" i="1"/>
  <c r="Q15" i="1"/>
  <c r="Q14" i="1"/>
  <c r="Q13" i="1"/>
  <c r="Q12" i="1"/>
  <c r="Q11" i="1"/>
  <c r="O42" i="1" l="1"/>
  <c r="Q42" i="1" s="1"/>
  <c r="O46" i="1"/>
  <c r="O44" i="1"/>
  <c r="Q44" i="1" s="1"/>
  <c r="O48" i="1"/>
  <c r="Q48" i="1" s="1"/>
  <c r="O41" i="1"/>
  <c r="Q41" i="1" s="1"/>
  <c r="O45" i="1"/>
  <c r="O40" i="1"/>
  <c r="Q40" i="1" s="1"/>
  <c r="Q47" i="1"/>
  <c r="Q45" i="1"/>
  <c r="Q46" i="1"/>
  <c r="N30" i="1"/>
  <c r="N29" i="1"/>
  <c r="N28" i="1"/>
  <c r="N27" i="1"/>
  <c r="N22" i="1"/>
  <c r="Q53" i="1" l="1"/>
  <c r="N10" i="1"/>
  <c r="N9" i="1"/>
  <c r="N8" i="1"/>
  <c r="N7" i="1"/>
  <c r="N6" i="1"/>
  <c r="N5" i="1"/>
  <c r="E8" i="1" l="1"/>
  <c r="E9" i="1" l="1"/>
  <c r="E19" i="1" s="1"/>
  <c r="E10" i="1" l="1"/>
  <c r="E11" i="1"/>
  <c r="E12" i="1" s="1"/>
  <c r="E14" i="1" l="1"/>
  <c r="E13" i="1"/>
  <c r="E16" i="1" l="1"/>
  <c r="E17" i="1" l="1"/>
  <c r="E18" i="1" l="1"/>
  <c r="E20" i="1" s="1"/>
  <c r="E23" i="1" l="1"/>
  <c r="E28" i="1" s="1"/>
  <c r="H5" i="1" s="1"/>
  <c r="O5" i="1" l="1"/>
  <c r="Q5" i="1" s="1"/>
  <c r="H6" i="1"/>
  <c r="H7" i="1" l="1"/>
  <c r="O6" i="1"/>
  <c r="Q6" i="1" s="1"/>
  <c r="H8" i="1" l="1"/>
  <c r="O7" i="1"/>
  <c r="Q7" i="1" s="1"/>
  <c r="H9" i="1" l="1"/>
  <c r="O8" i="1"/>
  <c r="Q8" i="1" s="1"/>
  <c r="H10" i="1" l="1"/>
  <c r="O9" i="1"/>
  <c r="Q9" i="1" s="1"/>
  <c r="Q18" i="1" l="1"/>
  <c r="Q20" i="1" s="1"/>
  <c r="H11" i="1"/>
  <c r="H12" i="1" s="1"/>
  <c r="H13" i="1" s="1"/>
  <c r="H14" i="1" s="1"/>
  <c r="H15" i="1" s="1"/>
  <c r="H16" i="1" s="1"/>
  <c r="H22" i="1" s="1"/>
  <c r="O10" i="1"/>
  <c r="Q10" i="1" s="1"/>
  <c r="H23" i="1" l="1"/>
  <c r="H24" i="1" s="1"/>
  <c r="H25" i="1" s="1"/>
  <c r="H26" i="1" s="1"/>
  <c r="H27" i="1" s="1"/>
  <c r="O22" i="1"/>
  <c r="Q22" i="1" s="1"/>
  <c r="H28" i="1" l="1"/>
  <c r="O27" i="1"/>
  <c r="Q27" i="1" s="1"/>
  <c r="H29" i="1" l="1"/>
  <c r="O28" i="1"/>
  <c r="Q28" i="1" s="1"/>
  <c r="H30" i="1" l="1"/>
  <c r="O29" i="1"/>
  <c r="Q29" i="1" s="1"/>
  <c r="H31" i="1" l="1"/>
  <c r="H32" i="1" s="1"/>
  <c r="H33" i="1" s="1"/>
  <c r="O30" i="1"/>
  <c r="Q30" i="1" s="1"/>
  <c r="Q35" i="1" l="1"/>
  <c r="Q37" i="1" s="1"/>
  <c r="Q55" i="1" s="1"/>
</calcChain>
</file>

<file path=xl/sharedStrings.xml><?xml version="1.0" encoding="utf-8"?>
<sst xmlns="http://schemas.openxmlformats.org/spreadsheetml/2006/main" count="127" uniqueCount="56">
  <si>
    <t>Duty Working Casecade</t>
  </si>
  <si>
    <t>CIF</t>
  </si>
  <si>
    <t>Loading 1%</t>
  </si>
  <si>
    <t>CVD @ 12.5%</t>
  </si>
  <si>
    <t>Custom Cess @ 3%</t>
  </si>
  <si>
    <t>SAD @ 4%</t>
  </si>
  <si>
    <t>Less: Loading</t>
  </si>
  <si>
    <t>Add: Clg Chg</t>
  </si>
  <si>
    <t>Add: Freight</t>
  </si>
  <si>
    <t>PKO EG</t>
  </si>
  <si>
    <t>Landed Baddi</t>
  </si>
  <si>
    <t>Rs/MT</t>
  </si>
  <si>
    <t>Basic( $)/MT</t>
  </si>
  <si>
    <t>Exchange ( $/INR)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</si>
  <si>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</si>
  <si>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</si>
  <si>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</si>
  <si>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</si>
  <si>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</si>
  <si>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</si>
  <si>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</si>
  <si>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</si>
  <si>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</si>
  <si>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</si>
  <si>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</si>
  <si>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</si>
  <si>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Contarct Price</t>
  </si>
  <si>
    <t>Consumption  Oil Price</t>
  </si>
  <si>
    <t>PKO</t>
  </si>
  <si>
    <t>Yield</t>
  </si>
  <si>
    <t>Credit</t>
  </si>
  <si>
    <t>Process Cost</t>
  </si>
  <si>
    <t>Process Cost(   Split+Dist)</t>
  </si>
  <si>
    <t>DFA Cost</t>
  </si>
  <si>
    <t>Rs /T</t>
  </si>
  <si>
    <t xml:space="preserve">Credit </t>
  </si>
  <si>
    <t>Diff</t>
  </si>
  <si>
    <t>QTY  SOAP</t>
  </si>
  <si>
    <t>Impact Rs.</t>
  </si>
  <si>
    <t>Contarct Price/DFA</t>
  </si>
  <si>
    <t>CD</t>
  </si>
  <si>
    <t xml:space="preserve">Contracted PKO Price </t>
  </si>
  <si>
    <t>Lauric Impact</t>
  </si>
  <si>
    <t>FRPO</t>
  </si>
  <si>
    <t>Non lauric Impact</t>
  </si>
  <si>
    <t>TOTAL</t>
  </si>
  <si>
    <t>used largly PKO</t>
  </si>
  <si>
    <t>used largly CNO</t>
  </si>
  <si>
    <t>J&amp;j Noodle Contracted Price was 73250/T Jan to Dec 16</t>
  </si>
  <si>
    <t xml:space="preserve">Impact </t>
  </si>
  <si>
    <t>Fresco Benefit</t>
  </si>
  <si>
    <t>Net PKO Impact</t>
  </si>
  <si>
    <t>CNO impact</t>
  </si>
  <si>
    <t>Contarct Price DFA</t>
  </si>
  <si>
    <t>EX CNO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</si>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</sst>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$-409]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0" fontId="3" fillId="0" borderId="0" xfId="0" applyFont="1" applyBorder="1"/>
    <xf numFmtId="165" fontId="3" fillId="0" borderId="0" xfId="1" applyNumberFormat="1" applyFont="1" applyBorder="1"/>
    <xf numFmtId="0" fontId="3" fillId="0" borderId="1" xfId="0" applyFont="1" applyBorder="1"/>
    <xf numFmtId="43" fontId="3" fillId="0" borderId="2" xfId="1" applyFont="1" applyBorder="1"/>
    <xf numFmtId="164" fontId="4" fillId="0" borderId="1" xfId="2" applyNumberFormat="1" applyFont="1" applyBorder="1" applyAlignment="1"/>
    <xf numFmtId="165" fontId="4" fillId="0" borderId="2" xfId="1" applyNumberFormat="1" applyFont="1" applyBorder="1" applyAlignment="1"/>
    <xf numFmtId="0" fontId="4" fillId="0" borderId="1" xfId="3" applyFont="1" applyBorder="1" applyAlignment="1"/>
    <xf numFmtId="10" fontId="4" fillId="0" borderId="1" xfId="3" applyNumberFormat="1" applyFont="1" applyBorder="1" applyAlignment="1"/>
    <xf numFmtId="165" fontId="4" fillId="2" borderId="2" xfId="1" applyNumberFormat="1" applyFont="1" applyFill="1" applyBorder="1" applyAlignment="1"/>
    <xf numFmtId="0" fontId="4" fillId="0" borderId="1" xfId="0" applyFont="1" applyBorder="1"/>
    <xf numFmtId="165" fontId="3" fillId="0" borderId="2" xfId="1" applyNumberFormat="1" applyFont="1" applyBorder="1"/>
    <xf numFmtId="0" fontId="3" fillId="0" borderId="3" xfId="0" applyFont="1" applyBorder="1"/>
    <xf numFmtId="165" fontId="3" fillId="0" borderId="4" xfId="1" applyNumberFormat="1" applyFont="1" applyBorder="1"/>
    <xf numFmtId="0" fontId="3" fillId="0" borderId="5" xfId="0" applyFont="1" applyBorder="1"/>
    <xf numFmtId="0" fontId="3" fillId="0" borderId="6" xfId="0" applyFont="1" applyBorder="1"/>
    <xf numFmtId="164" fontId="4" fillId="0" borderId="6" xfId="2" applyNumberFormat="1" applyFont="1" applyBorder="1" applyAlignment="1"/>
    <xf numFmtId="0" fontId="4" fillId="0" borderId="6" xfId="3" applyFont="1" applyBorder="1" applyAlignment="1"/>
    <xf numFmtId="0" fontId="4" fillId="0" borderId="6" xfId="0" applyFont="1" applyBorder="1"/>
    <xf numFmtId="0" fontId="3" fillId="0" borderId="7" xfId="0" applyFont="1" applyBorder="1"/>
    <xf numFmtId="0" fontId="0" fillId="0" borderId="0" xfId="0" applyAlignment="1">
      <alignment horizontal="center"/>
    </xf>
    <xf numFmtId="43" fontId="0" fillId="0" borderId="0" xfId="1" applyFont="1"/>
    <xf numFmtId="165" fontId="0" fillId="0" borderId="0" xfId="1" applyNumberFormat="1" applyFont="1"/>
    <xf numFmtId="165" fontId="3" fillId="0" borderId="2" xfId="1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6" xfId="0" applyFont="1" applyBorder="1"/>
    <xf numFmtId="0" fontId="5" fillId="0" borderId="1" xfId="0" applyFont="1" applyBorder="1"/>
    <xf numFmtId="165" fontId="5" fillId="0" borderId="2" xfId="1" applyNumberFormat="1" applyFont="1" applyBorder="1"/>
    <xf numFmtId="165" fontId="2" fillId="0" borderId="0" xfId="0" applyNumberFormat="1" applyFont="1"/>
    <xf numFmtId="0" fontId="0" fillId="2" borderId="0" xfId="0" applyFill="1"/>
    <xf numFmtId="43" fontId="0" fillId="0" borderId="0" xfId="0" applyNumberFormat="1"/>
    <xf numFmtId="165" fontId="2" fillId="2" borderId="0" xfId="0" applyNumberFormat="1" applyFont="1" applyFill="1"/>
    <xf numFmtId="0" fontId="2" fillId="0" borderId="0" xfId="0" applyFont="1"/>
    <xf numFmtId="165" fontId="0" fillId="2" borderId="0" xfId="1" applyNumberFormat="1" applyFont="1" applyFill="1"/>
    <xf numFmtId="0" fontId="0" fillId="3" borderId="0" xfId="0" applyFill="1"/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4">
    <cellStyle name="Comma" xfId="1" builtinId="3"/>
    <cellStyle name="Comma 9" xfId="2"/>
    <cellStyle name="Normal" xfId="0" builtinId="0"/>
    <cellStyle name="Normal_VVF Costing own noodles - by HIL Aug'09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56"/>
  <sheetViews>
    <sheetView tabSelected="1" topLeftCell="D35" workbookViewId="0">
      <selection activeCell="Q55" sqref="Q55"/>
    </sheetView>
  </sheetViews>
  <sheetFormatPr defaultRowHeight="15" x14ac:dyDescent="0.25"/>
  <cols>
    <col min="3" max="3" width="22.5703125" bestFit="1" customWidth="1"/>
    <col min="5" max="5" width="12" bestFit="1" customWidth="1"/>
    <col min="8" max="8" width="13.42578125" style="20" bestFit="1" customWidth="1"/>
    <col min="9" max="9" width="9.7109375" customWidth="1"/>
    <col min="10" max="10" width="10.5703125" bestFit="1" customWidth="1"/>
    <col min="12" max="12" width="10.5703125" bestFit="1" customWidth="1"/>
    <col min="13" max="13" width="12" style="22" bestFit="1" customWidth="1"/>
    <col min="14" max="14" width="11.28515625" style="22" bestFit="1" customWidth="1"/>
    <col min="16" max="16" width="14.140625" customWidth="1"/>
    <col min="17" max="17" width="14.28515625" bestFit="1" customWidth="1"/>
    <col min="18" max="18" width="9.5703125" bestFit="1" customWidth="1"/>
  </cols>
  <sheetData>
    <row r="1" spans="3:19" x14ac:dyDescent="0.25">
      <c r="C1" s="35" t="s">
        <v>48</v>
      </c>
      <c r="D1" s="35"/>
      <c r="E1" s="35"/>
      <c r="F1" s="35"/>
    </row>
    <row r="2" spans="3:19" x14ac:dyDescent="0.25">
      <c r="C2" s="38" t="s">
        <v>41</v>
      </c>
      <c r="D2" s="39"/>
      <c r="E2" s="40"/>
    </row>
    <row r="3" spans="3:19" x14ac:dyDescent="0.25">
      <c r="K3" s="21"/>
      <c r="L3" s="22"/>
    </row>
    <row r="4" spans="3:19" x14ac:dyDescent="0.25">
      <c r="C4" s="14" t="s">
        <v>0</v>
      </c>
      <c r="D4" s="36" t="s">
        <v>9</v>
      </c>
      <c r="E4" s="37"/>
      <c r="H4" s="20" t="s">
        <v>39</v>
      </c>
      <c r="I4" t="s">
        <v>27</v>
      </c>
      <c r="J4" t="s">
        <v>34</v>
      </c>
      <c r="K4" t="s">
        <v>29</v>
      </c>
      <c r="L4" t="s">
        <v>35</v>
      </c>
      <c r="M4" s="22" t="s">
        <v>31</v>
      </c>
      <c r="N4" s="22" t="s">
        <v>33</v>
      </c>
      <c r="O4" t="s">
        <v>36</v>
      </c>
      <c r="P4" t="s">
        <v>37</v>
      </c>
      <c r="Q4" s="30" t="s">
        <v>38</v>
      </c>
    </row>
    <row r="5" spans="3:19" x14ac:dyDescent="0.25">
      <c r="C5" s="15" t="s">
        <v>13</v>
      </c>
      <c r="D5" s="3"/>
      <c r="E5" s="4">
        <v>69.452699111280808</v>
      </c>
      <c r="G5" t="s">
        <v>14</v>
      </c>
      <c r="H5" s="25">
        <f>E28</f>
        <v>67188.43895184662</v>
      </c>
      <c r="I5" t="s">
        <v>28</v>
      </c>
      <c r="J5" s="22">
        <v>63229.036578401887</v>
      </c>
      <c r="K5" s="21">
        <v>0.856765</v>
      </c>
      <c r="L5" s="22">
        <v>14238.528900000001</v>
      </c>
      <c r="M5" s="22">
        <v>2906.7486162005216</v>
      </c>
      <c r="N5" s="22">
        <f>(J5-L5+M5)/K5</f>
        <v>60573.501829092471</v>
      </c>
      <c r="O5" s="24">
        <f t="shared" ref="O5:O10" si="0">IF(N5&lt;=H5,0,(N5-H5))</f>
        <v>0</v>
      </c>
      <c r="P5" s="22">
        <v>877.34199999999987</v>
      </c>
      <c r="Q5" s="22">
        <f>P5*95%*80%*60%*O5</f>
        <v>0</v>
      </c>
      <c r="S5" s="31"/>
    </row>
    <row r="6" spans="3:19" x14ac:dyDescent="0.25">
      <c r="C6" s="15" t="s">
        <v>12</v>
      </c>
      <c r="D6" s="3"/>
      <c r="E6" s="11">
        <v>920</v>
      </c>
      <c r="G6" t="s">
        <v>15</v>
      </c>
      <c r="H6" s="25">
        <f>H5</f>
        <v>67188.43895184662</v>
      </c>
      <c r="I6" t="s">
        <v>28</v>
      </c>
      <c r="J6" s="22">
        <v>75351.691038545818</v>
      </c>
      <c r="K6" s="21">
        <v>0.856765</v>
      </c>
      <c r="L6" s="22">
        <v>14238.528900000001</v>
      </c>
      <c r="M6" s="22">
        <v>2906.7486162005216</v>
      </c>
      <c r="N6" s="22">
        <f t="shared" ref="N6:N10" si="1">(J6-L6+M6)/K6</f>
        <v>74722.836197494456</v>
      </c>
      <c r="O6" s="24">
        <f t="shared" si="0"/>
        <v>7534.3972456478368</v>
      </c>
      <c r="P6" s="22">
        <v>787.31200000000013</v>
      </c>
      <c r="Q6" s="22">
        <f t="shared" ref="Q6:Q16" si="2">P6*95%*80%*60%*O6</f>
        <v>2704956.1421050634</v>
      </c>
    </row>
    <row r="7" spans="3:19" x14ac:dyDescent="0.25">
      <c r="C7" s="15"/>
      <c r="D7" s="3"/>
      <c r="E7" s="23" t="s">
        <v>11</v>
      </c>
      <c r="G7" t="s">
        <v>16</v>
      </c>
      <c r="H7" s="25">
        <f t="shared" ref="H7:H16" si="3">H6</f>
        <v>67188.43895184662</v>
      </c>
      <c r="I7" t="s">
        <v>28</v>
      </c>
      <c r="J7" s="22">
        <v>80640.298135471035</v>
      </c>
      <c r="K7" s="21">
        <v>0.856765</v>
      </c>
      <c r="L7" s="22">
        <v>14238.528900000001</v>
      </c>
      <c r="M7" s="22">
        <v>2906.7486162005216</v>
      </c>
      <c r="N7" s="22">
        <f t="shared" si="1"/>
        <v>80895.598970162828</v>
      </c>
      <c r="O7" s="24">
        <f t="shared" si="0"/>
        <v>13707.160018316208</v>
      </c>
      <c r="P7" s="22">
        <v>742.34100000000012</v>
      </c>
      <c r="Q7" s="22">
        <f t="shared" si="2"/>
        <v>4639976.415071534</v>
      </c>
    </row>
    <row r="8" spans="3:19" x14ac:dyDescent="0.25">
      <c r="C8" s="16" t="s">
        <v>1</v>
      </c>
      <c r="D8" s="5"/>
      <c r="E8" s="6">
        <f>E5*E6</f>
        <v>63896.483182378346</v>
      </c>
      <c r="G8" t="s">
        <v>17</v>
      </c>
      <c r="H8" s="25">
        <f t="shared" si="3"/>
        <v>67188.43895184662</v>
      </c>
      <c r="I8" t="s">
        <v>28</v>
      </c>
      <c r="J8" s="22">
        <v>78561.516861703334</v>
      </c>
      <c r="K8" s="21">
        <v>0.856765</v>
      </c>
      <c r="L8" s="22">
        <v>14238.528900000001</v>
      </c>
      <c r="M8" s="22">
        <v>2906.7486162005216</v>
      </c>
      <c r="N8" s="22">
        <f t="shared" si="1"/>
        <v>78469.28455049383</v>
      </c>
      <c r="O8" s="24">
        <f t="shared" si="0"/>
        <v>11280.845598647211</v>
      </c>
      <c r="P8" s="22">
        <v>579.73700000000019</v>
      </c>
      <c r="Q8" s="22">
        <f t="shared" si="2"/>
        <v>2982205.1546792611</v>
      </c>
    </row>
    <row r="9" spans="3:19" x14ac:dyDescent="0.25">
      <c r="C9" s="17" t="s">
        <v>2</v>
      </c>
      <c r="D9" s="7"/>
      <c r="E9" s="6">
        <f>E8*1%</f>
        <v>638.96483182378347</v>
      </c>
      <c r="G9" t="s">
        <v>18</v>
      </c>
      <c r="H9" s="25">
        <f t="shared" si="3"/>
        <v>67188.43895184662</v>
      </c>
      <c r="I9" t="s">
        <v>28</v>
      </c>
      <c r="J9" s="22">
        <v>78382.036226043099</v>
      </c>
      <c r="K9" s="21">
        <v>0.856765</v>
      </c>
      <c r="L9" s="22">
        <v>14238.528900000001</v>
      </c>
      <c r="M9" s="22">
        <v>2906.7486162005216</v>
      </c>
      <c r="N9" s="22">
        <f t="shared" si="1"/>
        <v>78259.798126958514</v>
      </c>
      <c r="O9" s="24">
        <f t="shared" si="0"/>
        <v>11071.359175111895</v>
      </c>
      <c r="P9" s="22">
        <v>677.851</v>
      </c>
      <c r="Q9" s="22">
        <f t="shared" si="2"/>
        <v>3422157.7410231996</v>
      </c>
    </row>
    <row r="10" spans="3:19" x14ac:dyDescent="0.25">
      <c r="C10" s="17" t="s">
        <v>40</v>
      </c>
      <c r="D10" s="8">
        <f>12.5%*0</f>
        <v>0</v>
      </c>
      <c r="E10" s="6">
        <f>SUM(E8:E9)*D10</f>
        <v>0</v>
      </c>
      <c r="G10" t="s">
        <v>19</v>
      </c>
      <c r="H10" s="25">
        <f t="shared" si="3"/>
        <v>67188.43895184662</v>
      </c>
      <c r="I10" t="s">
        <v>28</v>
      </c>
      <c r="J10" s="22">
        <v>78661.590930772465</v>
      </c>
      <c r="K10" s="21">
        <v>0.856765</v>
      </c>
      <c r="L10" s="22">
        <v>14238.528900000001</v>
      </c>
      <c r="M10" s="22">
        <v>2906.7486162005216</v>
      </c>
      <c r="N10" s="22">
        <f t="shared" si="1"/>
        <v>78586.089122423276</v>
      </c>
      <c r="O10" s="24">
        <f t="shared" si="0"/>
        <v>11397.650170576657</v>
      </c>
      <c r="P10" s="22">
        <v>560.47600000000011</v>
      </c>
      <c r="Q10" s="22">
        <f>P10*95%*80%*60%*O10*0</f>
        <v>0</v>
      </c>
      <c r="R10" t="s">
        <v>47</v>
      </c>
    </row>
    <row r="11" spans="3:19" x14ac:dyDescent="0.25">
      <c r="C11" s="17"/>
      <c r="D11" s="7"/>
      <c r="E11" s="6">
        <f t="shared" ref="E11" si="4">SUM(E8:E10)</f>
        <v>64535.448014202128</v>
      </c>
      <c r="G11" t="s">
        <v>20</v>
      </c>
      <c r="H11" s="25">
        <f t="shared" si="3"/>
        <v>67188.43895184662</v>
      </c>
      <c r="I11" t="s">
        <v>28</v>
      </c>
      <c r="J11" s="22"/>
      <c r="K11" s="21"/>
      <c r="L11" s="22"/>
      <c r="P11" s="22">
        <v>539.33900000000017</v>
      </c>
      <c r="Q11" s="22">
        <f t="shared" si="2"/>
        <v>0</v>
      </c>
    </row>
    <row r="12" spans="3:19" x14ac:dyDescent="0.25">
      <c r="C12" s="17" t="s">
        <v>3</v>
      </c>
      <c r="D12" s="8">
        <v>0</v>
      </c>
      <c r="E12" s="9">
        <f>E11*D12</f>
        <v>0</v>
      </c>
      <c r="G12" t="s">
        <v>21</v>
      </c>
      <c r="H12" s="25">
        <f t="shared" si="3"/>
        <v>67188.43895184662</v>
      </c>
      <c r="I12" t="s">
        <v>28</v>
      </c>
      <c r="J12" s="22"/>
      <c r="K12" s="21"/>
      <c r="L12" s="22"/>
      <c r="P12" s="22">
        <v>706.20299999999975</v>
      </c>
      <c r="Q12" s="22">
        <f t="shared" si="2"/>
        <v>0</v>
      </c>
    </row>
    <row r="13" spans="3:19" x14ac:dyDescent="0.25">
      <c r="C13" s="17"/>
      <c r="D13" s="7"/>
      <c r="E13" s="6">
        <f>E11+E12</f>
        <v>64535.448014202128</v>
      </c>
      <c r="G13" t="s">
        <v>22</v>
      </c>
      <c r="H13" s="25">
        <f t="shared" si="3"/>
        <v>67188.43895184662</v>
      </c>
      <c r="I13" t="s">
        <v>28</v>
      </c>
      <c r="J13" s="22"/>
      <c r="K13" s="21"/>
      <c r="L13" s="22"/>
      <c r="P13" s="22">
        <v>204.36500000000004</v>
      </c>
      <c r="Q13" s="22">
        <f t="shared" si="2"/>
        <v>0</v>
      </c>
    </row>
    <row r="14" spans="3:19" x14ac:dyDescent="0.25">
      <c r="C14" s="17" t="s">
        <v>4</v>
      </c>
      <c r="D14" s="8">
        <v>0.03</v>
      </c>
      <c r="E14" s="6">
        <f>(E12+E10)*D14</f>
        <v>0</v>
      </c>
      <c r="G14" t="s">
        <v>23</v>
      </c>
      <c r="H14" s="25">
        <f t="shared" si="3"/>
        <v>67188.43895184662</v>
      </c>
      <c r="I14" t="s">
        <v>28</v>
      </c>
      <c r="J14" s="22"/>
      <c r="K14" s="21"/>
      <c r="L14" s="22"/>
      <c r="P14" s="22">
        <v>446.98200000000008</v>
      </c>
      <c r="Q14" s="22">
        <f t="shared" si="2"/>
        <v>0</v>
      </c>
    </row>
    <row r="15" spans="3:19" x14ac:dyDescent="0.25">
      <c r="C15" s="17"/>
      <c r="D15" s="7"/>
      <c r="E15" s="6"/>
      <c r="G15" t="s">
        <v>24</v>
      </c>
      <c r="H15" s="25">
        <f t="shared" si="3"/>
        <v>67188.43895184662</v>
      </c>
      <c r="I15" t="s">
        <v>28</v>
      </c>
      <c r="J15" s="22"/>
      <c r="K15" s="21"/>
      <c r="L15" s="22"/>
      <c r="P15" s="22">
        <v>468.245</v>
      </c>
      <c r="Q15" s="22">
        <f t="shared" si="2"/>
        <v>0</v>
      </c>
    </row>
    <row r="16" spans="3:19" x14ac:dyDescent="0.25">
      <c r="C16" s="17"/>
      <c r="D16" s="7"/>
      <c r="E16" s="6">
        <f t="shared" ref="E16" si="5">SUM(E13:E15)</f>
        <v>64535.448014202128</v>
      </c>
      <c r="G16" t="s">
        <v>25</v>
      </c>
      <c r="H16" s="25">
        <f t="shared" si="3"/>
        <v>67188.43895184662</v>
      </c>
      <c r="I16" t="s">
        <v>28</v>
      </c>
      <c r="J16" s="22"/>
      <c r="K16" s="21"/>
      <c r="L16" s="22"/>
      <c r="P16" s="22">
        <v>651.47200000000009</v>
      </c>
      <c r="Q16" s="22">
        <f t="shared" si="2"/>
        <v>0</v>
      </c>
    </row>
    <row r="17" spans="3:18" x14ac:dyDescent="0.25">
      <c r="C17" s="17" t="s">
        <v>5</v>
      </c>
      <c r="D17" s="8">
        <v>0</v>
      </c>
      <c r="E17" s="9">
        <f>E16*D17</f>
        <v>0</v>
      </c>
      <c r="J17" s="22"/>
      <c r="K17" s="21"/>
      <c r="L17" s="22"/>
    </row>
    <row r="18" spans="3:18" x14ac:dyDescent="0.25">
      <c r="C18" s="18"/>
      <c r="D18" s="10"/>
      <c r="E18" s="6">
        <f>E16+E17</f>
        <v>64535.448014202128</v>
      </c>
      <c r="P18" t="s">
        <v>49</v>
      </c>
      <c r="Q18" s="29">
        <f>SUM(Q5:Q17)</f>
        <v>13749295.452879058</v>
      </c>
    </row>
    <row r="19" spans="3:18" x14ac:dyDescent="0.25">
      <c r="C19" s="18" t="s">
        <v>6</v>
      </c>
      <c r="D19" s="10"/>
      <c r="E19" s="6">
        <f t="shared" ref="E19" si="6">-E9</f>
        <v>-638.96483182378347</v>
      </c>
      <c r="P19" t="s">
        <v>50</v>
      </c>
      <c r="Q19" s="22">
        <v>17700000</v>
      </c>
    </row>
    <row r="20" spans="3:18" x14ac:dyDescent="0.25">
      <c r="C20" s="18"/>
      <c r="D20" s="10"/>
      <c r="E20" s="6">
        <f>E18+E19</f>
        <v>63896.483182378346</v>
      </c>
      <c r="P20" t="s">
        <v>51</v>
      </c>
      <c r="Q20" s="32">
        <f>Q18-Q19</f>
        <v>-3950704.5471209418</v>
      </c>
    </row>
    <row r="21" spans="3:18" x14ac:dyDescent="0.25">
      <c r="C21" s="18" t="s">
        <v>7</v>
      </c>
      <c r="D21" s="10"/>
      <c r="E21" s="6">
        <v>1000</v>
      </c>
      <c r="H21" s="20" t="s">
        <v>26</v>
      </c>
      <c r="I21" t="s">
        <v>27</v>
      </c>
      <c r="J21" t="s">
        <v>34</v>
      </c>
      <c r="K21" t="s">
        <v>29</v>
      </c>
      <c r="L21" t="s">
        <v>35</v>
      </c>
      <c r="M21" s="22" t="s">
        <v>31</v>
      </c>
      <c r="N21" s="22" t="s">
        <v>33</v>
      </c>
    </row>
    <row r="22" spans="3:18" x14ac:dyDescent="0.25">
      <c r="C22" s="18" t="s">
        <v>8</v>
      </c>
      <c r="D22" s="10"/>
      <c r="E22" s="6">
        <v>4000</v>
      </c>
      <c r="G22" t="s">
        <v>14</v>
      </c>
      <c r="H22" s="25">
        <f>H16</f>
        <v>67188.43895184662</v>
      </c>
      <c r="I22" t="s">
        <v>54</v>
      </c>
      <c r="J22" s="22">
        <v>82565.516722252883</v>
      </c>
      <c r="K22" s="21">
        <v>0.77079999999999993</v>
      </c>
      <c r="L22" s="22">
        <v>28535.040000000001</v>
      </c>
      <c r="M22" s="22">
        <v>2906.7486162005216</v>
      </c>
      <c r="N22" s="22">
        <f>(J22-L22+M22)/K22</f>
        <v>73867.702826223933</v>
      </c>
      <c r="O22" s="24">
        <f>IF(N22&lt;=H22,0,(N22-H22))</f>
        <v>6679.2638743773132</v>
      </c>
      <c r="P22" s="22">
        <v>877.34199999999987</v>
      </c>
      <c r="Q22" s="34">
        <f>P22*95%*80%*60%*O22*0</f>
        <v>0</v>
      </c>
      <c r="R22" t="s">
        <v>46</v>
      </c>
    </row>
    <row r="23" spans="3:18" x14ac:dyDescent="0.25">
      <c r="C23" s="18" t="s">
        <v>10</v>
      </c>
      <c r="D23" s="10"/>
      <c r="E23" s="9">
        <f>SUM(E20:E22)</f>
        <v>68896.483182378346</v>
      </c>
      <c r="G23" t="s">
        <v>15</v>
      </c>
      <c r="H23" s="25">
        <f>H22</f>
        <v>67188.43895184662</v>
      </c>
      <c r="I23" t="s">
        <v>54</v>
      </c>
      <c r="J23" s="22"/>
      <c r="K23" s="21"/>
      <c r="L23" s="22"/>
      <c r="P23" s="22">
        <v>787.31200000000013</v>
      </c>
      <c r="Q23" s="22">
        <f t="shared" ref="Q23:Q33" si="7">P23*95%*80%*60%*O23</f>
        <v>0</v>
      </c>
    </row>
    <row r="24" spans="3:18" x14ac:dyDescent="0.25">
      <c r="C24" s="15"/>
      <c r="D24" s="3"/>
      <c r="E24" s="11"/>
      <c r="G24" t="s">
        <v>16</v>
      </c>
      <c r="H24" s="25">
        <f t="shared" ref="H24:H33" si="8">H23</f>
        <v>67188.43895184662</v>
      </c>
      <c r="I24" t="s">
        <v>54</v>
      </c>
      <c r="J24" s="22"/>
      <c r="K24" s="21"/>
      <c r="L24" s="22"/>
      <c r="P24" s="22">
        <v>742.34100000000012</v>
      </c>
      <c r="Q24" s="22">
        <f t="shared" si="7"/>
        <v>0</v>
      </c>
    </row>
    <row r="25" spans="3:18" x14ac:dyDescent="0.25">
      <c r="C25" s="15" t="s">
        <v>29</v>
      </c>
      <c r="D25" s="3"/>
      <c r="E25" s="4">
        <v>0.856765</v>
      </c>
      <c r="G25" t="s">
        <v>17</v>
      </c>
      <c r="H25" s="25">
        <f t="shared" si="8"/>
        <v>67188.43895184662</v>
      </c>
      <c r="I25" t="s">
        <v>54</v>
      </c>
      <c r="J25" s="22"/>
      <c r="K25" s="21"/>
      <c r="L25" s="22"/>
      <c r="P25" s="22">
        <v>579.73700000000019</v>
      </c>
      <c r="Q25" s="22">
        <f t="shared" si="7"/>
        <v>0</v>
      </c>
    </row>
    <row r="26" spans="3:18" x14ac:dyDescent="0.25">
      <c r="C26" s="15" t="s">
        <v>30</v>
      </c>
      <c r="D26" s="3"/>
      <c r="E26" s="4">
        <v>14238.528900000001</v>
      </c>
      <c r="G26" t="s">
        <v>18</v>
      </c>
      <c r="H26" s="25">
        <f t="shared" si="8"/>
        <v>67188.43895184662</v>
      </c>
      <c r="I26" t="s">
        <v>54</v>
      </c>
      <c r="J26" s="22"/>
      <c r="K26" s="21"/>
      <c r="L26" s="22"/>
      <c r="P26" s="22">
        <v>677.851</v>
      </c>
      <c r="Q26" s="22">
        <f t="shared" si="7"/>
        <v>0</v>
      </c>
    </row>
    <row r="27" spans="3:18" x14ac:dyDescent="0.25">
      <c r="C27" s="15" t="s">
        <v>32</v>
      </c>
      <c r="D27" s="3"/>
      <c r="E27" s="4">
        <v>2906.7486162005216</v>
      </c>
      <c r="G27" t="s">
        <v>19</v>
      </c>
      <c r="H27" s="25">
        <f t="shared" si="8"/>
        <v>67188.43895184662</v>
      </c>
      <c r="I27" t="s">
        <v>54</v>
      </c>
      <c r="J27" s="22">
        <v>83934.173879243128</v>
      </c>
      <c r="K27" s="21">
        <v>0.77079999999999993</v>
      </c>
      <c r="L27" s="22">
        <v>28535.040000000001</v>
      </c>
      <c r="M27" s="22">
        <v>2906.7486162005216</v>
      </c>
      <c r="N27" s="22">
        <f t="shared" ref="N27:N30" si="9">(J27-L27+M27)/K27</f>
        <v>75643.334841001109</v>
      </c>
      <c r="O27" s="24">
        <f>IF(N27&lt;=H27,0,(N27-H27))</f>
        <v>8454.8958891544899</v>
      </c>
      <c r="P27" s="22">
        <v>560.47600000000011</v>
      </c>
      <c r="Q27" s="22">
        <f t="shared" si="7"/>
        <v>2160877.4001366072</v>
      </c>
    </row>
    <row r="28" spans="3:18" x14ac:dyDescent="0.25">
      <c r="C28" s="26" t="s">
        <v>33</v>
      </c>
      <c r="D28" s="27"/>
      <c r="E28" s="28">
        <f>(E23+E27-E26)/E25</f>
        <v>67188.43895184662</v>
      </c>
      <c r="G28" t="s">
        <v>20</v>
      </c>
      <c r="H28" s="25">
        <f t="shared" si="8"/>
        <v>67188.43895184662</v>
      </c>
      <c r="I28" t="s">
        <v>54</v>
      </c>
      <c r="J28" s="22">
        <v>96517.767827482647</v>
      </c>
      <c r="K28" s="21">
        <v>0.77079999999999993</v>
      </c>
      <c r="L28" s="22">
        <v>28535.040000000001</v>
      </c>
      <c r="M28" s="22">
        <v>2906.7486162005216</v>
      </c>
      <c r="N28" s="22">
        <f t="shared" si="9"/>
        <v>91968.703222214812</v>
      </c>
      <c r="O28" s="24">
        <f>IF(N28&lt;=H28,0,(N28-H28))</f>
        <v>24780.264270368192</v>
      </c>
      <c r="P28" s="22">
        <v>539.33900000000017</v>
      </c>
      <c r="Q28" s="22">
        <f t="shared" si="7"/>
        <v>6094423.1058001481</v>
      </c>
    </row>
    <row r="29" spans="3:18" x14ac:dyDescent="0.25">
      <c r="C29" s="19"/>
      <c r="D29" s="12"/>
      <c r="E29" s="13"/>
      <c r="G29" t="s">
        <v>21</v>
      </c>
      <c r="H29" s="25">
        <f t="shared" si="8"/>
        <v>67188.43895184662</v>
      </c>
      <c r="I29" t="s">
        <v>54</v>
      </c>
      <c r="J29" s="22">
        <v>96681.217479990475</v>
      </c>
      <c r="K29" s="21">
        <v>0.77079999999999993</v>
      </c>
      <c r="L29" s="22">
        <v>28535.040000000001</v>
      </c>
      <c r="M29" s="22">
        <v>2906.7486162005216</v>
      </c>
      <c r="N29" s="22">
        <f t="shared" si="9"/>
        <v>92180.755184471971</v>
      </c>
      <c r="O29" s="24">
        <f>IF(N29&lt;=H29,0,(N29-H29))</f>
        <v>24992.316232625351</v>
      </c>
      <c r="P29" s="22">
        <v>706.20299999999975</v>
      </c>
      <c r="Q29" s="22">
        <f t="shared" si="7"/>
        <v>8048239.8073954945</v>
      </c>
    </row>
    <row r="30" spans="3:18" x14ac:dyDescent="0.25">
      <c r="C30" s="1"/>
      <c r="D30" s="1"/>
      <c r="E30" s="2"/>
      <c r="G30" t="s">
        <v>22</v>
      </c>
      <c r="H30" s="25">
        <f t="shared" si="8"/>
        <v>67188.43895184662</v>
      </c>
      <c r="I30" t="s">
        <v>54</v>
      </c>
      <c r="J30" s="22">
        <v>97079.258329303411</v>
      </c>
      <c r="K30" s="21">
        <v>0.77079999999999993</v>
      </c>
      <c r="L30" s="22">
        <v>28535.040000000001</v>
      </c>
      <c r="M30" s="22">
        <v>2906.7486162005216</v>
      </c>
      <c r="N30" s="22">
        <f t="shared" si="9"/>
        <v>92697.154833295193</v>
      </c>
      <c r="O30" s="24">
        <f>IF(N30&lt;=H30,0,(N30-H30))</f>
        <v>25508.715881448574</v>
      </c>
      <c r="P30" s="22">
        <v>204.36500000000004</v>
      </c>
      <c r="Q30" s="22">
        <f t="shared" si="7"/>
        <v>2377168.4568271805</v>
      </c>
    </row>
    <row r="31" spans="3:18" x14ac:dyDescent="0.25">
      <c r="C31" s="1"/>
      <c r="D31" s="1"/>
      <c r="E31" s="2"/>
      <c r="G31" t="s">
        <v>23</v>
      </c>
      <c r="H31" s="25">
        <f t="shared" si="8"/>
        <v>67188.43895184662</v>
      </c>
      <c r="I31" t="s">
        <v>54</v>
      </c>
      <c r="J31" s="22"/>
      <c r="K31" s="21"/>
      <c r="L31" s="22"/>
      <c r="P31" s="22">
        <v>446.98200000000008</v>
      </c>
      <c r="Q31" s="22">
        <f t="shared" si="7"/>
        <v>0</v>
      </c>
    </row>
    <row r="32" spans="3:18" x14ac:dyDescent="0.25">
      <c r="C32" s="1"/>
      <c r="D32" s="1"/>
      <c r="E32" s="2"/>
      <c r="G32" t="s">
        <v>24</v>
      </c>
      <c r="H32" s="25">
        <f t="shared" si="8"/>
        <v>67188.43895184662</v>
      </c>
      <c r="I32" t="s">
        <v>54</v>
      </c>
      <c r="J32" s="22"/>
      <c r="K32" s="21"/>
      <c r="L32" s="22"/>
      <c r="P32" s="22">
        <v>468.245</v>
      </c>
      <c r="Q32" s="22">
        <f t="shared" si="7"/>
        <v>0</v>
      </c>
    </row>
    <row r="33" spans="3:17" x14ac:dyDescent="0.25">
      <c r="C33" s="1"/>
      <c r="D33" s="1"/>
      <c r="E33" s="2"/>
      <c r="G33" t="s">
        <v>25</v>
      </c>
      <c r="H33" s="25">
        <f t="shared" si="8"/>
        <v>67188.43895184662</v>
      </c>
      <c r="I33" t="s">
        <v>54</v>
      </c>
      <c r="J33" s="22"/>
      <c r="K33" s="21"/>
      <c r="L33" s="22"/>
      <c r="P33" s="22">
        <v>651.47200000000009</v>
      </c>
      <c r="Q33" s="22">
        <f t="shared" si="7"/>
        <v>0</v>
      </c>
    </row>
    <row r="34" spans="3:17" x14ac:dyDescent="0.25">
      <c r="C34" s="1"/>
      <c r="D34" s="1"/>
      <c r="E34" s="2"/>
    </row>
    <row r="35" spans="3:17" x14ac:dyDescent="0.25">
      <c r="C35" s="1"/>
      <c r="D35" s="1"/>
      <c r="E35" s="2"/>
      <c r="P35" t="s">
        <v>52</v>
      </c>
      <c r="Q35" s="29">
        <f>SUM(Q22:Q34)</f>
        <v>18680708.770159431</v>
      </c>
    </row>
    <row r="36" spans="3:17" x14ac:dyDescent="0.25">
      <c r="C36" s="1"/>
      <c r="D36" s="1"/>
      <c r="E36" s="2"/>
      <c r="Q36" s="22"/>
    </row>
    <row r="37" spans="3:17" x14ac:dyDescent="0.25">
      <c r="C37" s="1"/>
      <c r="D37" s="1"/>
      <c r="E37" s="2"/>
      <c r="P37" t="s">
        <v>42</v>
      </c>
      <c r="Q37" s="32">
        <f>Q35+Q20</f>
        <v>14730004.223038489</v>
      </c>
    </row>
    <row r="38" spans="3:17" x14ac:dyDescent="0.25">
      <c r="C38" s="1"/>
      <c r="D38" s="1"/>
      <c r="E38" s="2"/>
    </row>
    <row r="39" spans="3:17" x14ac:dyDescent="0.25">
      <c r="C39" s="1"/>
      <c r="D39" s="1"/>
      <c r="E39" s="2"/>
      <c r="H39" s="20" t="s">
        <v>53</v>
      </c>
      <c r="I39" t="s">
        <v>27</v>
      </c>
      <c r="J39" t="s">
        <v>34</v>
      </c>
      <c r="K39" t="s">
        <v>29</v>
      </c>
      <c r="L39" t="s">
        <v>35</v>
      </c>
      <c r="M39" s="22" t="s">
        <v>31</v>
      </c>
      <c r="N39" s="22" t="s">
        <v>33</v>
      </c>
    </row>
    <row r="40" spans="3:17" x14ac:dyDescent="0.25">
      <c r="C40" s="1"/>
      <c r="D40" s="1"/>
      <c r="E40" s="2"/>
      <c r="G40" t="s">
        <v>14</v>
      </c>
      <c r="H40" s="25">
        <f>(44514-3360+2907)/0.89+1200</f>
        <v>50706.741573033709</v>
      </c>
      <c r="I40" t="s">
        <v>43</v>
      </c>
      <c r="J40" s="22">
        <v>46973.200493511707</v>
      </c>
      <c r="K40" s="21">
        <v>0.89</v>
      </c>
      <c r="L40" s="22">
        <v>3360</v>
      </c>
      <c r="M40" s="22">
        <v>2906.7486162005216</v>
      </c>
      <c r="N40" s="22">
        <f>(J40-L40+M40)/K40</f>
        <v>52269.605741249696</v>
      </c>
      <c r="O40" s="24">
        <f t="shared" ref="O40:O48" si="10">IF(N40&lt;=H40,0,(N40-H40))</f>
        <v>1562.8641682159869</v>
      </c>
      <c r="P40" s="22">
        <v>877.34199999999987</v>
      </c>
      <c r="Q40" s="22">
        <f>P40*95%*80%*40%*O40</f>
        <v>416834.57802156894</v>
      </c>
    </row>
    <row r="41" spans="3:17" x14ac:dyDescent="0.25">
      <c r="C41" s="1"/>
      <c r="D41" s="1"/>
      <c r="E41" s="2"/>
      <c r="G41" t="s">
        <v>15</v>
      </c>
      <c r="H41" s="25">
        <f>H40</f>
        <v>50706.741573033709</v>
      </c>
      <c r="I41" t="s">
        <v>43</v>
      </c>
      <c r="J41" s="22">
        <v>52324.243882793307</v>
      </c>
      <c r="K41" s="21">
        <v>0.89</v>
      </c>
      <c r="L41" s="22">
        <v>3360</v>
      </c>
      <c r="M41" s="22">
        <v>2906.7486162005216</v>
      </c>
      <c r="N41" s="22">
        <f t="shared" ref="N41:N48" si="11">(J41-L41+M41)/K41</f>
        <v>58282.014043813288</v>
      </c>
      <c r="O41" s="24">
        <f t="shared" si="10"/>
        <v>7575.2724707795787</v>
      </c>
      <c r="P41" s="22">
        <v>787.31200000000013</v>
      </c>
      <c r="Q41" s="22">
        <f t="shared" ref="Q41:Q51" si="12">P41*95%*80%*60%*O41</f>
        <v>2719630.9312985716</v>
      </c>
    </row>
    <row r="42" spans="3:17" x14ac:dyDescent="0.25">
      <c r="C42" s="1"/>
      <c r="D42" s="1"/>
      <c r="E42" s="2"/>
      <c r="G42" t="s">
        <v>16</v>
      </c>
      <c r="H42" s="25">
        <f t="shared" ref="H42:H51" si="13">H41</f>
        <v>50706.741573033709</v>
      </c>
      <c r="I42" t="s">
        <v>43</v>
      </c>
      <c r="J42" s="22">
        <v>53393.608636995967</v>
      </c>
      <c r="K42" s="21">
        <v>0.89</v>
      </c>
      <c r="L42" s="22">
        <v>3360</v>
      </c>
      <c r="M42" s="22">
        <v>2906.7486162005216</v>
      </c>
      <c r="N42" s="22">
        <f t="shared" si="11"/>
        <v>59483.547475501669</v>
      </c>
      <c r="O42" s="24">
        <f t="shared" si="10"/>
        <v>8776.8059024679605</v>
      </c>
      <c r="P42" s="22">
        <v>742.34100000000012</v>
      </c>
      <c r="Q42" s="22">
        <f t="shared" si="12"/>
        <v>2971014.5889224494</v>
      </c>
    </row>
    <row r="43" spans="3:17" x14ac:dyDescent="0.25">
      <c r="C43" s="1"/>
      <c r="D43" s="1"/>
      <c r="E43" s="2"/>
      <c r="G43" t="s">
        <v>17</v>
      </c>
      <c r="H43" s="25">
        <f t="shared" si="13"/>
        <v>50706.741573033709</v>
      </c>
      <c r="I43" t="s">
        <v>43</v>
      </c>
      <c r="J43" s="22">
        <v>52929.2969997287</v>
      </c>
      <c r="K43" s="21">
        <v>0.89</v>
      </c>
      <c r="L43" s="22">
        <v>3360</v>
      </c>
      <c r="M43" s="22">
        <v>2906.7486162005216</v>
      </c>
      <c r="N43" s="22">
        <f t="shared" si="11"/>
        <v>58961.849006662043</v>
      </c>
      <c r="O43" s="24">
        <f t="shared" si="10"/>
        <v>8255.1074336283345</v>
      </c>
      <c r="P43" s="22">
        <v>579.73700000000019</v>
      </c>
      <c r="Q43" s="22">
        <f t="shared" si="12"/>
        <v>2182320.7955217226</v>
      </c>
    </row>
    <row r="44" spans="3:17" x14ac:dyDescent="0.25">
      <c r="C44" s="1"/>
      <c r="D44" s="1"/>
      <c r="E44" s="2"/>
      <c r="G44" t="s">
        <v>18</v>
      </c>
      <c r="H44" s="25">
        <f t="shared" si="13"/>
        <v>50706.741573033709</v>
      </c>
      <c r="I44" t="s">
        <v>43</v>
      </c>
      <c r="J44" s="22">
        <v>52063.250186976591</v>
      </c>
      <c r="K44" s="21">
        <v>0.89</v>
      </c>
      <c r="L44" s="22">
        <v>3360</v>
      </c>
      <c r="M44" s="22">
        <v>2906.7486162005216</v>
      </c>
      <c r="N44" s="22">
        <f t="shared" si="11"/>
        <v>57988.762700199004</v>
      </c>
      <c r="O44" s="24">
        <f t="shared" si="10"/>
        <v>7282.0211271652952</v>
      </c>
      <c r="P44" s="22">
        <v>677.851</v>
      </c>
      <c r="Q44" s="22">
        <f t="shared" si="12"/>
        <v>2250873.1381999752</v>
      </c>
    </row>
    <row r="45" spans="3:17" x14ac:dyDescent="0.25">
      <c r="E45" s="22"/>
      <c r="G45" t="s">
        <v>19</v>
      </c>
      <c r="H45" s="25">
        <f t="shared" si="13"/>
        <v>50706.741573033709</v>
      </c>
      <c r="I45" t="s">
        <v>43</v>
      </c>
      <c r="J45" s="22">
        <v>54450.524915552232</v>
      </c>
      <c r="K45" s="21">
        <v>0.89</v>
      </c>
      <c r="L45" s="22">
        <v>3360</v>
      </c>
      <c r="M45" s="22">
        <v>2906.7486162005216</v>
      </c>
      <c r="N45" s="22">
        <f t="shared" si="11"/>
        <v>60671.093855901971</v>
      </c>
      <c r="O45" s="24">
        <f t="shared" si="10"/>
        <v>9964.3522828682617</v>
      </c>
      <c r="P45" s="22">
        <v>560.47600000000011</v>
      </c>
      <c r="Q45" s="22">
        <f t="shared" si="12"/>
        <v>2546659.82140235</v>
      </c>
    </row>
    <row r="46" spans="3:17" x14ac:dyDescent="0.25">
      <c r="E46" s="22"/>
      <c r="G46" t="s">
        <v>20</v>
      </c>
      <c r="H46" s="25">
        <f t="shared" si="13"/>
        <v>50706.741573033709</v>
      </c>
      <c r="I46" t="s">
        <v>43</v>
      </c>
      <c r="J46" s="22">
        <v>57789.960603180312</v>
      </c>
      <c r="K46" s="21">
        <v>0.89</v>
      </c>
      <c r="L46" s="22">
        <v>3360</v>
      </c>
      <c r="M46" s="22">
        <v>2906.7486162005216</v>
      </c>
      <c r="N46" s="22">
        <f t="shared" si="11"/>
        <v>64423.268785821165</v>
      </c>
      <c r="O46" s="24">
        <f t="shared" si="10"/>
        <v>13716.527212787456</v>
      </c>
      <c r="P46" s="22">
        <v>539.33900000000017</v>
      </c>
      <c r="Q46" s="22">
        <f t="shared" si="12"/>
        <v>3373423.2801104146</v>
      </c>
    </row>
    <row r="47" spans="3:17" x14ac:dyDescent="0.25">
      <c r="E47" s="22"/>
      <c r="G47" t="s">
        <v>21</v>
      </c>
      <c r="H47" s="25">
        <f t="shared" si="13"/>
        <v>50706.741573033709</v>
      </c>
      <c r="I47" t="s">
        <v>43</v>
      </c>
      <c r="J47" s="22">
        <v>55998.490108339436</v>
      </c>
      <c r="K47" s="21">
        <v>0.89</v>
      </c>
      <c r="L47" s="22">
        <v>3360</v>
      </c>
      <c r="M47" s="22">
        <v>2906.7486162005216</v>
      </c>
      <c r="N47" s="22">
        <f t="shared" si="11"/>
        <v>62410.380589370739</v>
      </c>
      <c r="O47" s="24">
        <f t="shared" si="10"/>
        <v>11703.639016337031</v>
      </c>
      <c r="P47" s="22">
        <v>706.20299999999975</v>
      </c>
      <c r="Q47" s="22">
        <f t="shared" si="12"/>
        <v>3768906.1128199412</v>
      </c>
    </row>
    <row r="48" spans="3:17" x14ac:dyDescent="0.25">
      <c r="E48" s="22"/>
      <c r="G48" t="s">
        <v>22</v>
      </c>
      <c r="H48" s="25">
        <f t="shared" si="13"/>
        <v>50706.741573033709</v>
      </c>
      <c r="I48" t="s">
        <v>43</v>
      </c>
      <c r="J48" s="22">
        <v>56044.505982081013</v>
      </c>
      <c r="K48" s="21">
        <v>0.89</v>
      </c>
      <c r="L48" s="22">
        <v>3360</v>
      </c>
      <c r="M48" s="22">
        <v>2906.7486162005216</v>
      </c>
      <c r="N48" s="22">
        <f t="shared" si="11"/>
        <v>62462.083818293861</v>
      </c>
      <c r="O48" s="24">
        <f t="shared" si="10"/>
        <v>11755.342245260152</v>
      </c>
      <c r="P48" s="22">
        <v>204.36500000000004</v>
      </c>
      <c r="Q48" s="22">
        <f t="shared" si="12"/>
        <v>1095485.5161863815</v>
      </c>
    </row>
    <row r="49" spans="5:19" x14ac:dyDescent="0.25">
      <c r="E49" s="22"/>
      <c r="G49" t="s">
        <v>23</v>
      </c>
      <c r="H49" s="25">
        <f t="shared" si="13"/>
        <v>50706.741573033709</v>
      </c>
      <c r="I49" t="s">
        <v>43</v>
      </c>
      <c r="J49" s="22"/>
      <c r="K49" s="21"/>
      <c r="L49" s="22"/>
      <c r="O49" s="24"/>
      <c r="P49" s="22">
        <v>446.98200000000008</v>
      </c>
      <c r="Q49" s="22">
        <f t="shared" si="12"/>
        <v>0</v>
      </c>
    </row>
    <row r="50" spans="5:19" x14ac:dyDescent="0.25">
      <c r="E50" s="22"/>
      <c r="G50" t="s">
        <v>24</v>
      </c>
      <c r="H50" s="25">
        <f t="shared" si="13"/>
        <v>50706.741573033709</v>
      </c>
      <c r="I50" t="s">
        <v>43</v>
      </c>
      <c r="J50" s="22"/>
      <c r="K50" s="21"/>
      <c r="L50" s="22"/>
      <c r="O50" s="24"/>
      <c r="P50" s="22">
        <v>468.245</v>
      </c>
      <c r="Q50" s="22">
        <f t="shared" si="12"/>
        <v>0</v>
      </c>
    </row>
    <row r="51" spans="5:19" x14ac:dyDescent="0.25">
      <c r="E51" s="22"/>
      <c r="G51" t="s">
        <v>25</v>
      </c>
      <c r="H51" s="25">
        <f t="shared" si="13"/>
        <v>50706.741573033709</v>
      </c>
      <c r="I51" t="s">
        <v>43</v>
      </c>
      <c r="J51" s="22"/>
      <c r="K51" s="21"/>
      <c r="L51" s="22"/>
      <c r="O51" s="24"/>
      <c r="P51" s="22">
        <v>651.47200000000009</v>
      </c>
      <c r="Q51" s="22">
        <f t="shared" si="12"/>
        <v>0</v>
      </c>
    </row>
    <row r="52" spans="5:19" x14ac:dyDescent="0.25">
      <c r="E52" s="22"/>
    </row>
    <row r="53" spans="5:19" x14ac:dyDescent="0.25">
      <c r="E53" s="22"/>
      <c r="P53" t="s">
        <v>44</v>
      </c>
      <c r="Q53" s="29">
        <f>SUM(Q40:Q52)</f>
        <v>21325148.762483377</v>
      </c>
    </row>
    <row r="54" spans="5:19" x14ac:dyDescent="0.25">
      <c r="E54" s="22"/>
    </row>
    <row r="55" spans="5:19" x14ac:dyDescent="0.25">
      <c r="E55" s="22"/>
      <c r="P55" s="33" t="s">
        <v>45</v>
      </c>
      <c r="Q55" s="32">
        <f>Q53+Q37</f>
        <v>36055152.985521868</v>
      </c>
      <c r="R55" s="29">
        <f>Q55/SUM(P40:P51)</f>
        <v>4978.8485086678093</v>
      </c>
      <c r="S55" t="s">
        <v>55</v>
      </c>
    </row>
    <row r="56" spans="5:19" x14ac:dyDescent="0.25">
      <c r="E56" s="22"/>
    </row>
  </sheetData>
  <mergeCells count="2">
    <mergeCell ref="D4:E4"/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Subrata  Debnath</dc:creator>
  <cp:lastModifiedBy>Subrata  Debnath</cp:lastModifiedBy>
  <dcterms:created xsi:type="dcterms:W3CDTF">2017-04-13T18:11:59Z</dcterms:created>
  <dcterms:modified xsi:type="dcterms:W3CDTF">2017-04-23T05:27:17Z</dcterms:modified>
</cp:coreProperties>
</file>