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1" i="1" l="1"/>
  <c r="H102" i="1" s="1"/>
  <c r="H103" i="1" s="1"/>
  <c r="F101" i="1"/>
  <c r="F100" i="1"/>
  <c r="O99" i="1"/>
  <c r="O98" i="1"/>
  <c r="F98" i="1"/>
  <c r="O97" i="1"/>
  <c r="F97" i="1"/>
  <c r="O96" i="1"/>
  <c r="F96" i="1"/>
  <c r="O95" i="1"/>
  <c r="F87" i="1"/>
  <c r="F92" i="1" s="1"/>
  <c r="F103" i="1" s="1"/>
  <c r="E103" i="1" s="1"/>
  <c r="O76" i="1"/>
  <c r="H76" i="1"/>
  <c r="H77" i="1" s="1"/>
  <c r="H78" i="1" s="1"/>
  <c r="F76" i="1"/>
  <c r="O75" i="1"/>
  <c r="F75" i="1"/>
  <c r="O74" i="1"/>
  <c r="O73" i="1"/>
  <c r="F73" i="1"/>
  <c r="O72" i="1"/>
  <c r="F72" i="1"/>
  <c r="F71" i="1"/>
  <c r="P64" i="1"/>
  <c r="F62" i="1"/>
  <c r="F67" i="1" s="1"/>
  <c r="F78" i="1" s="1"/>
  <c r="E78" i="1" s="1"/>
  <c r="P53" i="1"/>
  <c r="H53" i="1"/>
  <c r="H54" i="1" s="1"/>
  <c r="H55" i="1" s="1"/>
  <c r="F53" i="1"/>
  <c r="P52" i="1"/>
  <c r="F52" i="1"/>
  <c r="P51" i="1"/>
  <c r="P50" i="1"/>
  <c r="F50" i="1"/>
  <c r="P49" i="1"/>
  <c r="F49" i="1"/>
  <c r="F48" i="1"/>
  <c r="F39" i="1"/>
  <c r="F43" i="1" s="1"/>
  <c r="F44" i="1" s="1"/>
  <c r="F55" i="1" s="1"/>
  <c r="E55" i="1" s="1"/>
  <c r="M28" i="1"/>
  <c r="H28" i="1"/>
  <c r="H29" i="1" s="1"/>
  <c r="H30" i="1" s="1"/>
  <c r="F28" i="1"/>
  <c r="M27" i="1"/>
  <c r="F27" i="1"/>
  <c r="M26" i="1"/>
  <c r="F25" i="1"/>
  <c r="M24" i="1"/>
  <c r="F24" i="1"/>
  <c r="F23" i="1"/>
  <c r="F18" i="1"/>
  <c r="E18" i="1" s="1"/>
  <c r="P17" i="1"/>
  <c r="F17" i="1"/>
  <c r="P16" i="1"/>
  <c r="P15" i="1"/>
  <c r="P14" i="1"/>
  <c r="F14" i="1"/>
  <c r="P13" i="1"/>
  <c r="P12" i="1"/>
  <c r="I103" i="1" l="1"/>
  <c r="I105" i="1" s="1"/>
  <c r="I30" i="1"/>
  <c r="I32" i="1" s="1"/>
  <c r="I55" i="1"/>
  <c r="H57" i="1" s="1"/>
  <c r="I78" i="1"/>
  <c r="I80" i="1" s="1"/>
  <c r="F19" i="1"/>
  <c r="F30" i="1" s="1"/>
  <c r="E30" i="1" s="1"/>
</calcChain>
</file>

<file path=xl/comments1.xml><?xml version="1.0" encoding="utf-8"?>
<comments xmlns="http://schemas.openxmlformats.org/spreadsheetml/2006/main">
  <authors>
    <author>Author</author>
  </authors>
  <commentList>
    <comment ref="E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 V1698 Credit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 V1698 Credit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 V1698 Credit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 V1698 Credit</t>
        </r>
      </text>
    </comment>
  </commentList>
</comments>
</file>

<file path=xl/sharedStrings.xml><?xml version="1.0" encoding="utf-8"?>
<sst xmlns="http://schemas.openxmlformats.org/spreadsheetml/2006/main" count="157" uniqueCount="67">
  <si>
    <t xml:space="preserve">DFA 1898 - BERGACID </t>
  </si>
  <si>
    <t>SAVINGS</t>
  </si>
  <si>
    <t>PFAD</t>
  </si>
  <si>
    <t>B/P 1218</t>
  </si>
  <si>
    <t>B/P PKO</t>
  </si>
  <si>
    <t>B/P CNO</t>
  </si>
  <si>
    <t>TOTAL SAVINGS</t>
  </si>
  <si>
    <t>Total C1898 produced</t>
  </si>
  <si>
    <t>Price Comparison - C1898 from PFAD and Berg Acid.</t>
  </si>
  <si>
    <t xml:space="preserve">DFA 1898 - From PFAD </t>
  </si>
  <si>
    <t>With V1698 Credit</t>
  </si>
  <si>
    <t>Mar.16</t>
  </si>
  <si>
    <t>TOTal</t>
  </si>
  <si>
    <t>Qty</t>
  </si>
  <si>
    <t>Rate</t>
  </si>
  <si>
    <t>Value</t>
  </si>
  <si>
    <t>SPFAD  for C-1895%</t>
  </si>
  <si>
    <t>Products</t>
  </si>
  <si>
    <t>DFA C16 rich</t>
  </si>
  <si>
    <t>DFA C18&gt;95%</t>
  </si>
  <si>
    <t>Spliting Cost</t>
  </si>
  <si>
    <t>Crude Gly</t>
  </si>
  <si>
    <t>Mix residue</t>
  </si>
  <si>
    <t>SPFAD</t>
  </si>
  <si>
    <t>Distillation Cost</t>
  </si>
  <si>
    <t>Mar</t>
  </si>
  <si>
    <t xml:space="preserve"> - STEAM</t>
  </si>
  <si>
    <t>KGS</t>
  </si>
  <si>
    <t>SPFAD  for DFA C18&gt;95%</t>
  </si>
  <si>
    <t xml:space="preserve"> - COAL FOR TOH</t>
  </si>
  <si>
    <t>Steam (MT)</t>
  </si>
  <si>
    <t xml:space="preserve"> - POWER</t>
  </si>
  <si>
    <t>KWH</t>
  </si>
  <si>
    <t>Berg Acid</t>
  </si>
  <si>
    <t>NG for steam (SCM)</t>
  </si>
  <si>
    <t>TOH *100 (kcal)</t>
  </si>
  <si>
    <t>DFA 16 Rich</t>
  </si>
  <si>
    <t>Coal for TOH (kgs)</t>
  </si>
  <si>
    <t>Residue</t>
  </si>
  <si>
    <t>Power (kWh)</t>
  </si>
  <si>
    <t>DFA 1898</t>
  </si>
  <si>
    <t>SAVINGS IN RS FOR TOTAL QTY</t>
  </si>
  <si>
    <t>\</t>
  </si>
  <si>
    <t>Dec</t>
  </si>
  <si>
    <t>DFA 1898- From B/P 1218</t>
  </si>
  <si>
    <t>B/P C-1218</t>
  </si>
  <si>
    <t>DFA C-16 rich</t>
  </si>
  <si>
    <t>B/P C1218</t>
  </si>
  <si>
    <t>Undistilled C-1214</t>
  </si>
  <si>
    <t>DFA C16 rich (Contamination)</t>
  </si>
  <si>
    <t>DLGMFA</t>
  </si>
  <si>
    <t>DFA C18&gt;95% FOR Alcohol</t>
  </si>
  <si>
    <t>DFA 1898- From B/P PKO</t>
  </si>
  <si>
    <t>B/P PKO for DFA C18 98%</t>
  </si>
  <si>
    <t>DFA C18 98%</t>
  </si>
  <si>
    <t>PKO Residue</t>
  </si>
  <si>
    <t>Aug</t>
  </si>
  <si>
    <t>August</t>
  </si>
  <si>
    <t>Feb.17</t>
  </si>
  <si>
    <t>August.16</t>
  </si>
  <si>
    <t>DFA 1898- From B/P CNO</t>
  </si>
  <si>
    <t>B/P CNO for C-18&gt;95%</t>
  </si>
  <si>
    <t>DMRFA (contamination removal)</t>
  </si>
  <si>
    <t xml:space="preserve">DFA C18&gt;95% </t>
  </si>
  <si>
    <t xml:space="preserve">Split Mix residue </t>
  </si>
  <si>
    <t>Mustard  Residue (contamination)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</si>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</sst>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-[$$-409]* #,##0.00_ ;_-[$$-409]* \-#,##0.00\ ;_-[$$-409]* &quot;-&quot;??_ ;_-@_ "/>
    <numFmt numFmtId="167" formatCode="_-[$$-409]* #,##0_ ;_-[$$-409]* \-#,##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164" fontId="0" fillId="0" borderId="1" xfId="2" applyFont="1" applyBorder="1"/>
    <xf numFmtId="0" fontId="2" fillId="0" borderId="1" xfId="0" applyFont="1" applyBorder="1"/>
    <xf numFmtId="164" fontId="2" fillId="0" borderId="1" xfId="2" applyFont="1" applyBorder="1"/>
    <xf numFmtId="165" fontId="2" fillId="0" borderId="1" xfId="1" applyNumberFormat="1" applyFont="1" applyBorder="1"/>
    <xf numFmtId="43" fontId="0" fillId="0" borderId="1" xfId="0" applyNumberFormat="1" applyBorder="1"/>
    <xf numFmtId="43" fontId="4" fillId="0" borderId="1" xfId="1" applyFont="1" applyBorder="1"/>
    <xf numFmtId="165" fontId="0" fillId="0" borderId="1" xfId="1" applyNumberFormat="1" applyFont="1" applyBorder="1"/>
    <xf numFmtId="166" fontId="0" fillId="0" borderId="0" xfId="0" applyNumberFormat="1"/>
    <xf numFmtId="165" fontId="0" fillId="0" borderId="0" xfId="1" applyNumberFormat="1" applyFont="1"/>
    <xf numFmtId="164" fontId="2" fillId="2" borderId="1" xfId="2" applyFont="1" applyFill="1" applyBorder="1"/>
    <xf numFmtId="43" fontId="0" fillId="2" borderId="1" xfId="1" applyNumberFormat="1" applyFont="1" applyFill="1" applyBorder="1"/>
    <xf numFmtId="164" fontId="0" fillId="3" borderId="0" xfId="0" applyNumberFormat="1" applyFill="1"/>
    <xf numFmtId="167" fontId="0" fillId="0" borderId="0" xfId="0" applyNumberFormat="1"/>
    <xf numFmtId="165" fontId="0" fillId="0" borderId="0" xfId="0" applyNumberFormat="1"/>
    <xf numFmtId="2" fontId="6" fillId="4" borderId="2" xfId="3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 applyProtection="1">
      <alignment horizontal="center" vertical="center"/>
    </xf>
    <xf numFmtId="2" fontId="6" fillId="5" borderId="2" xfId="3" applyNumberFormat="1" applyFont="1" applyFill="1" applyBorder="1" applyAlignment="1" applyProtection="1">
      <alignment horizontal="center" vertical="center"/>
    </xf>
    <xf numFmtId="2" fontId="6" fillId="6" borderId="2" xfId="3" applyNumberFormat="1" applyFont="1" applyFill="1" applyBorder="1" applyAlignment="1" applyProtection="1">
      <alignment horizontal="center" vertical="center"/>
    </xf>
    <xf numFmtId="0" fontId="7" fillId="4" borderId="1" xfId="4" applyFont="1" applyFill="1" applyBorder="1" applyAlignment="1" applyProtection="1">
      <alignment vertical="center"/>
    </xf>
    <xf numFmtId="0" fontId="8" fillId="0" borderId="1" xfId="0" applyFont="1" applyBorder="1" applyAlignment="1">
      <alignment vertical="center"/>
    </xf>
    <xf numFmtId="43" fontId="0" fillId="0" borderId="0" xfId="0" applyNumberFormat="1"/>
    <xf numFmtId="2" fontId="6" fillId="4" borderId="2" xfId="5" applyNumberFormat="1" applyFont="1" applyFill="1" applyBorder="1" applyAlignment="1" applyProtection="1">
      <alignment horizontal="center" vertical="center"/>
    </xf>
    <xf numFmtId="2" fontId="6" fillId="0" borderId="2" xfId="5" applyNumberFormat="1" applyFont="1" applyFill="1" applyBorder="1" applyAlignment="1" applyProtection="1">
      <alignment horizontal="center" vertical="center"/>
    </xf>
    <xf numFmtId="2" fontId="6" fillId="5" borderId="2" xfId="5" applyNumberFormat="1" applyFont="1" applyFill="1" applyBorder="1" applyAlignment="1" applyProtection="1">
      <alignment horizontal="center" vertical="center"/>
    </xf>
    <xf numFmtId="2" fontId="6" fillId="6" borderId="2" xfId="5" applyNumberFormat="1" applyFont="1" applyFill="1" applyBorder="1" applyAlignment="1" applyProtection="1">
      <alignment horizontal="center" vertical="center"/>
    </xf>
    <xf numFmtId="2" fontId="6" fillId="4" borderId="2" xfId="6" applyNumberFormat="1" applyFont="1" applyFill="1" applyBorder="1" applyAlignment="1" applyProtection="1">
      <alignment horizontal="center" vertical="center"/>
    </xf>
    <xf numFmtId="2" fontId="6" fillId="0" borderId="2" xfId="6" applyNumberFormat="1" applyFont="1" applyFill="1" applyBorder="1" applyAlignment="1" applyProtection="1">
      <alignment horizontal="center" vertical="center"/>
    </xf>
    <xf numFmtId="2" fontId="9" fillId="5" borderId="2" xfId="6" applyNumberFormat="1" applyFont="1" applyFill="1" applyBorder="1" applyAlignment="1" applyProtection="1">
      <alignment horizontal="center" vertical="center"/>
    </xf>
    <xf numFmtId="2" fontId="6" fillId="6" borderId="2" xfId="6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/>
    </xf>
  </cellXfs>
  <cellStyles count="7">
    <cellStyle name="Comma" xfId="1" builtinId="3"/>
    <cellStyle name="Comma 2" xfId="2"/>
    <cellStyle name="Normal" xfId="0" builtinId="0"/>
    <cellStyle name="Normal 13" xfId="6"/>
    <cellStyle name="Normal 15" xfId="3"/>
    <cellStyle name="Normal 16 2" xfId="4"/>
    <cellStyle name="Normal 18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110"/>
  <sheetViews>
    <sheetView tabSelected="1" workbookViewId="0">
      <selection activeCell="F8" sqref="F8"/>
    </sheetView>
  </sheetViews>
  <sheetFormatPr defaultRowHeight="15" x14ac:dyDescent="0.25"/>
  <cols>
    <col min="2" max="2" width="26.5703125" customWidth="1"/>
    <col min="3" max="3" width="17.28515625" customWidth="1"/>
    <col min="5" max="5" width="10.28515625" bestFit="1" customWidth="1"/>
    <col min="6" max="6" width="10.5703125" bestFit="1" customWidth="1"/>
    <col min="8" max="8" width="11.28515625" bestFit="1" customWidth="1"/>
    <col min="9" max="9" width="12.7109375" customWidth="1"/>
    <col min="11" max="11" width="18.28515625" bestFit="1" customWidth="1"/>
    <col min="14" max="14" width="8.85546875" customWidth="1"/>
  </cols>
  <sheetData>
    <row r="2" spans="2:16" ht="18.75" x14ac:dyDescent="0.3">
      <c r="B2" s="1" t="s">
        <v>0</v>
      </c>
      <c r="C2" s="1" t="s">
        <v>1</v>
      </c>
    </row>
    <row r="3" spans="2:16" ht="18.75" x14ac:dyDescent="0.3">
      <c r="B3" s="1" t="s">
        <v>2</v>
      </c>
      <c r="C3" s="2">
        <v>8809095.572357716</v>
      </c>
    </row>
    <row r="4" spans="2:16" ht="18.75" x14ac:dyDescent="0.3">
      <c r="B4" s="1" t="s">
        <v>3</v>
      </c>
      <c r="C4" s="2">
        <v>579997.19999999797</v>
      </c>
    </row>
    <row r="5" spans="2:16" ht="18.75" x14ac:dyDescent="0.3">
      <c r="B5" s="1" t="s">
        <v>4</v>
      </c>
      <c r="C5" s="2">
        <v>32013551.399999999</v>
      </c>
    </row>
    <row r="6" spans="2:16" ht="18.75" x14ac:dyDescent="0.3">
      <c r="B6" s="1" t="s">
        <v>5</v>
      </c>
      <c r="C6" s="2">
        <v>34435869.199999988</v>
      </c>
    </row>
    <row r="7" spans="2:16" ht="18.75" x14ac:dyDescent="0.3">
      <c r="B7" s="1" t="s">
        <v>6</v>
      </c>
      <c r="C7" s="2">
        <v>75838513.372357696</v>
      </c>
    </row>
    <row r="9" spans="2:16" ht="15.75" x14ac:dyDescent="0.25">
      <c r="B9" s="3" t="s">
        <v>7</v>
      </c>
      <c r="C9" s="4">
        <v>1502</v>
      </c>
    </row>
    <row r="10" spans="2:16" x14ac:dyDescent="0.25">
      <c r="B10" t="s">
        <v>8</v>
      </c>
    </row>
    <row r="11" spans="2:16" ht="15.75" x14ac:dyDescent="0.25">
      <c r="B11" s="5" t="s">
        <v>9</v>
      </c>
      <c r="D11" s="38" t="s">
        <v>10</v>
      </c>
      <c r="E11" s="38"/>
      <c r="F11" s="38"/>
      <c r="G11" s="6"/>
      <c r="L11" t="s">
        <v>11</v>
      </c>
      <c r="P11" t="s">
        <v>12</v>
      </c>
    </row>
    <row r="12" spans="2:16" x14ac:dyDescent="0.25">
      <c r="B12" s="7"/>
      <c r="C12" s="7"/>
      <c r="D12" s="8" t="s">
        <v>13</v>
      </c>
      <c r="E12" s="8" t="s">
        <v>14</v>
      </c>
      <c r="F12" s="8" t="s">
        <v>15</v>
      </c>
      <c r="K12" t="s">
        <v>16</v>
      </c>
      <c r="L12">
        <v>745.70299999999997</v>
      </c>
      <c r="P12">
        <f>SUM(L12:N12)</f>
        <v>745.70299999999997</v>
      </c>
    </row>
    <row r="13" spans="2:16" x14ac:dyDescent="0.25">
      <c r="B13" s="7"/>
      <c r="C13" s="7"/>
      <c r="D13" s="7"/>
      <c r="E13" s="7"/>
      <c r="F13" s="7"/>
      <c r="K13" t="s">
        <v>17</v>
      </c>
      <c r="L13">
        <v>0</v>
      </c>
      <c r="P13">
        <f t="shared" ref="P13:P17" si="0">SUM(L13:N13)</f>
        <v>0</v>
      </c>
    </row>
    <row r="14" spans="2:16" x14ac:dyDescent="0.25">
      <c r="B14" s="7" t="s">
        <v>2</v>
      </c>
      <c r="C14" s="7"/>
      <c r="D14" s="7">
        <v>745</v>
      </c>
      <c r="E14" s="9">
        <v>49.2</v>
      </c>
      <c r="F14" s="7">
        <f>+E14*D14</f>
        <v>36654</v>
      </c>
      <c r="K14" t="s">
        <v>18</v>
      </c>
      <c r="L14">
        <v>359.90300000000002</v>
      </c>
      <c r="P14">
        <f t="shared" si="0"/>
        <v>359.90300000000002</v>
      </c>
    </row>
    <row r="15" spans="2:16" x14ac:dyDescent="0.25">
      <c r="B15" s="7"/>
      <c r="C15" s="7"/>
      <c r="D15" s="7"/>
      <c r="E15" s="9"/>
      <c r="F15" s="7"/>
      <c r="K15" t="s">
        <v>19</v>
      </c>
      <c r="L15">
        <v>296.87600000000003</v>
      </c>
      <c r="P15">
        <f t="shared" si="0"/>
        <v>296.87600000000003</v>
      </c>
    </row>
    <row r="16" spans="2:16" x14ac:dyDescent="0.25">
      <c r="B16" s="7" t="s">
        <v>20</v>
      </c>
      <c r="C16" s="7"/>
      <c r="D16" s="7"/>
      <c r="E16" s="7"/>
      <c r="F16" s="7">
        <v>1520</v>
      </c>
      <c r="L16">
        <v>0</v>
      </c>
      <c r="P16">
        <f t="shared" si="0"/>
        <v>0</v>
      </c>
    </row>
    <row r="17" spans="2:16" x14ac:dyDescent="0.25">
      <c r="B17" s="7" t="s">
        <v>21</v>
      </c>
      <c r="C17" s="7"/>
      <c r="D17" s="7">
        <v>12</v>
      </c>
      <c r="E17" s="9">
        <v>30.172000000000001</v>
      </c>
      <c r="F17" s="7">
        <f>+E17*D17</f>
        <v>362.06400000000002</v>
      </c>
      <c r="K17" t="s">
        <v>22</v>
      </c>
      <c r="L17">
        <v>88.923999999999992</v>
      </c>
      <c r="P17">
        <f t="shared" si="0"/>
        <v>88.923999999999992</v>
      </c>
    </row>
    <row r="18" spans="2:16" x14ac:dyDescent="0.25">
      <c r="B18" s="10" t="s">
        <v>23</v>
      </c>
      <c r="C18" s="7"/>
      <c r="D18" s="10">
        <v>984</v>
      </c>
      <c r="E18" s="11">
        <f>+F18/D18</f>
        <v>38.426764227642281</v>
      </c>
      <c r="F18" s="10">
        <f>+F14+F16-F17</f>
        <v>37811.936000000002</v>
      </c>
    </row>
    <row r="19" spans="2:16" x14ac:dyDescent="0.25">
      <c r="B19" s="10" t="s">
        <v>23</v>
      </c>
      <c r="C19" s="10"/>
      <c r="D19" s="10">
        <v>1000</v>
      </c>
      <c r="E19" s="11"/>
      <c r="F19" s="12">
        <f>+F18*D19/D18</f>
        <v>38426.764227642278</v>
      </c>
    </row>
    <row r="20" spans="2:16" x14ac:dyDescent="0.25">
      <c r="B20" s="7"/>
      <c r="C20" s="7"/>
      <c r="D20" s="7"/>
      <c r="E20" s="9"/>
      <c r="F20" s="7"/>
    </row>
    <row r="21" spans="2:16" x14ac:dyDescent="0.25">
      <c r="B21" s="7"/>
      <c r="C21" s="7"/>
      <c r="D21" s="7"/>
      <c r="E21" s="9"/>
      <c r="F21" s="7"/>
    </row>
    <row r="22" spans="2:16" x14ac:dyDescent="0.25">
      <c r="B22" s="10" t="s">
        <v>24</v>
      </c>
      <c r="C22" s="7"/>
      <c r="D22" s="7"/>
      <c r="E22" s="7"/>
      <c r="F22" s="12">
        <v>1474</v>
      </c>
      <c r="L22" t="s">
        <v>25</v>
      </c>
    </row>
    <row r="23" spans="2:16" ht="15.75" x14ac:dyDescent="0.25">
      <c r="B23" s="7" t="s">
        <v>26</v>
      </c>
      <c r="C23" s="7" t="s">
        <v>27</v>
      </c>
      <c r="D23" s="13">
        <v>214.14</v>
      </c>
      <c r="E23" s="14">
        <v>1.58</v>
      </c>
      <c r="F23" s="15">
        <f>+E23*D23</f>
        <v>338.34120000000001</v>
      </c>
      <c r="K23" t="s">
        <v>28</v>
      </c>
      <c r="L23">
        <v>745</v>
      </c>
    </row>
    <row r="24" spans="2:16" ht="15.75" x14ac:dyDescent="0.25">
      <c r="B24" s="7" t="s">
        <v>29</v>
      </c>
      <c r="C24" s="7" t="s">
        <v>27</v>
      </c>
      <c r="D24" s="13">
        <v>134.4</v>
      </c>
      <c r="E24" s="14">
        <v>4.6399999999999997</v>
      </c>
      <c r="F24" s="15">
        <f>+E24*D24</f>
        <v>623.61599999999999</v>
      </c>
      <c r="K24" t="s">
        <v>30</v>
      </c>
      <c r="L24">
        <v>159541.19999999998</v>
      </c>
      <c r="M24">
        <f>L24/L$23</f>
        <v>214.14926174496642</v>
      </c>
    </row>
    <row r="25" spans="2:16" ht="15.75" x14ac:dyDescent="0.25">
      <c r="B25" s="7" t="s">
        <v>31</v>
      </c>
      <c r="C25" s="7" t="s">
        <v>32</v>
      </c>
      <c r="D25" s="13">
        <v>86.86</v>
      </c>
      <c r="E25" s="14">
        <v>5.9</v>
      </c>
      <c r="F25" s="15">
        <f>+E25*D25</f>
        <v>512.47400000000005</v>
      </c>
      <c r="H25" s="5" t="s">
        <v>33</v>
      </c>
      <c r="K25" t="s">
        <v>34</v>
      </c>
      <c r="L25">
        <v>0</v>
      </c>
    </row>
    <row r="26" spans="2:16" x14ac:dyDescent="0.25">
      <c r="B26" s="7"/>
      <c r="C26" s="7"/>
      <c r="D26" s="7"/>
      <c r="E26" s="7"/>
      <c r="F26" s="15"/>
      <c r="H26" s="16">
        <v>1150</v>
      </c>
      <c r="K26" t="s">
        <v>35</v>
      </c>
      <c r="L26">
        <v>2789743</v>
      </c>
      <c r="M26">
        <f t="shared" ref="M26:M28" si="1">L26/L$23</f>
        <v>3744.6214765100672</v>
      </c>
    </row>
    <row r="27" spans="2:16" x14ac:dyDescent="0.25">
      <c r="B27" s="7" t="s">
        <v>36</v>
      </c>
      <c r="C27" s="7"/>
      <c r="D27" s="7">
        <v>359.9</v>
      </c>
      <c r="E27" s="9">
        <v>61.8</v>
      </c>
      <c r="F27" s="15">
        <f>+E27*D27</f>
        <v>22241.819999999996</v>
      </c>
      <c r="H27" s="16">
        <v>28</v>
      </c>
      <c r="K27" t="s">
        <v>37</v>
      </c>
      <c r="L27">
        <v>100181.66441441441</v>
      </c>
      <c r="M27">
        <f t="shared" si="1"/>
        <v>134.47203277102605</v>
      </c>
    </row>
    <row r="28" spans="2:16" x14ac:dyDescent="0.25">
      <c r="B28" s="7" t="s">
        <v>38</v>
      </c>
      <c r="C28" s="7"/>
      <c r="D28" s="7">
        <v>88.9</v>
      </c>
      <c r="E28" s="9">
        <v>42.781999999999996</v>
      </c>
      <c r="F28" s="15">
        <f>+E28*D28</f>
        <v>3803.3197999999998</v>
      </c>
      <c r="H28" s="16">
        <f>+H27+H26</f>
        <v>1178</v>
      </c>
      <c r="K28" t="s">
        <v>39</v>
      </c>
      <c r="L28">
        <v>64715.325044489553</v>
      </c>
      <c r="M28">
        <f t="shared" si="1"/>
        <v>86.866208113408803</v>
      </c>
    </row>
    <row r="29" spans="2:16" x14ac:dyDescent="0.25">
      <c r="B29" s="7"/>
      <c r="C29" s="7"/>
      <c r="D29" s="7"/>
      <c r="E29" s="7"/>
      <c r="F29" s="15"/>
      <c r="H29" s="17">
        <f>H28*65</f>
        <v>76570</v>
      </c>
    </row>
    <row r="30" spans="2:16" x14ac:dyDescent="0.25">
      <c r="B30" s="10" t="s">
        <v>40</v>
      </c>
      <c r="C30" s="7"/>
      <c r="D30" s="10">
        <v>296</v>
      </c>
      <c r="E30" s="18">
        <f>+F30/D30</f>
        <v>46.809541985277981</v>
      </c>
      <c r="F30" s="12">
        <f>+F19+F22-F27-F28</f>
        <v>13855.624427642282</v>
      </c>
      <c r="H30" s="19">
        <f>+H29/1000</f>
        <v>76.569999999999993</v>
      </c>
      <c r="I30" s="20">
        <f>+H30-E30</f>
        <v>29.760458014722012</v>
      </c>
    </row>
    <row r="32" spans="2:16" x14ac:dyDescent="0.25">
      <c r="E32" t="s">
        <v>41</v>
      </c>
      <c r="F32" s="21"/>
      <c r="I32" s="22">
        <f>I30*D30*1000</f>
        <v>8809095.572357716</v>
      </c>
    </row>
    <row r="34" spans="2:17" x14ac:dyDescent="0.25">
      <c r="B34" t="s">
        <v>42</v>
      </c>
    </row>
    <row r="35" spans="2:17" x14ac:dyDescent="0.25">
      <c r="O35" t="s">
        <v>43</v>
      </c>
    </row>
    <row r="36" spans="2:17" ht="15.75" x14ac:dyDescent="0.25">
      <c r="B36" s="5" t="s">
        <v>44</v>
      </c>
      <c r="D36" s="38" t="s">
        <v>10</v>
      </c>
      <c r="E36" s="38"/>
      <c r="F36" s="38"/>
      <c r="G36" s="6"/>
      <c r="L36" t="s">
        <v>45</v>
      </c>
      <c r="O36">
        <v>445.471</v>
      </c>
      <c r="P36" s="23"/>
      <c r="Q36">
        <v>445.471</v>
      </c>
    </row>
    <row r="37" spans="2:17" ht="15.75" x14ac:dyDescent="0.25">
      <c r="B37" s="7"/>
      <c r="C37" s="7"/>
      <c r="D37" s="8" t="s">
        <v>13</v>
      </c>
      <c r="E37" s="8" t="s">
        <v>14</v>
      </c>
      <c r="F37" s="8" t="s">
        <v>15</v>
      </c>
      <c r="L37" t="s">
        <v>17</v>
      </c>
      <c r="P37" s="24"/>
      <c r="Q37">
        <v>0</v>
      </c>
    </row>
    <row r="38" spans="2:17" ht="15.75" x14ac:dyDescent="0.25">
      <c r="B38" s="7"/>
      <c r="C38" s="7"/>
      <c r="D38" s="7"/>
      <c r="E38" s="7"/>
      <c r="F38" s="7"/>
      <c r="L38" t="s">
        <v>46</v>
      </c>
      <c r="O38">
        <v>144.33799999999999</v>
      </c>
      <c r="P38" s="25"/>
      <c r="Q38">
        <v>144.33799999999999</v>
      </c>
    </row>
    <row r="39" spans="2:17" x14ac:dyDescent="0.25">
      <c r="B39" s="7" t="s">
        <v>47</v>
      </c>
      <c r="C39" s="7"/>
      <c r="D39" s="7">
        <v>445</v>
      </c>
      <c r="E39" s="9">
        <v>64.36</v>
      </c>
      <c r="F39" s="7">
        <f>+E39*D39</f>
        <v>28640.2</v>
      </c>
      <c r="L39" t="s">
        <v>48</v>
      </c>
      <c r="Q39">
        <v>0</v>
      </c>
    </row>
    <row r="40" spans="2:17" x14ac:dyDescent="0.25">
      <c r="B40" s="7"/>
      <c r="C40" s="7"/>
      <c r="D40" s="7"/>
      <c r="E40" s="9"/>
      <c r="F40" s="7"/>
      <c r="L40" t="s">
        <v>49</v>
      </c>
      <c r="O40">
        <v>0</v>
      </c>
      <c r="Q40">
        <v>0</v>
      </c>
    </row>
    <row r="41" spans="2:17" ht="15.75" x14ac:dyDescent="0.25">
      <c r="B41" s="7" t="s">
        <v>20</v>
      </c>
      <c r="C41" s="7"/>
      <c r="D41" s="7"/>
      <c r="E41" s="7"/>
      <c r="F41" s="7"/>
      <c r="L41" t="s">
        <v>50</v>
      </c>
      <c r="O41">
        <v>0</v>
      </c>
      <c r="P41" s="25"/>
      <c r="Q41">
        <v>0</v>
      </c>
    </row>
    <row r="42" spans="2:17" ht="15.75" x14ac:dyDescent="0.25">
      <c r="B42" s="7" t="s">
        <v>21</v>
      </c>
      <c r="C42" s="7"/>
      <c r="D42" s="7"/>
      <c r="E42" s="9"/>
      <c r="F42" s="7"/>
      <c r="L42" t="s">
        <v>51</v>
      </c>
      <c r="O42">
        <v>256.45799999999997</v>
      </c>
      <c r="P42" s="25"/>
      <c r="Q42">
        <v>256.45799999999997</v>
      </c>
    </row>
    <row r="43" spans="2:17" ht="15.75" x14ac:dyDescent="0.25">
      <c r="B43" s="7" t="s">
        <v>47</v>
      </c>
      <c r="C43" s="7"/>
      <c r="D43" s="10"/>
      <c r="E43" s="11"/>
      <c r="F43" s="10">
        <f>+F39+F41-F42</f>
        <v>28640.2</v>
      </c>
      <c r="L43" t="s">
        <v>22</v>
      </c>
      <c r="O43">
        <v>44.675000000000011</v>
      </c>
      <c r="P43" s="26"/>
      <c r="Q43">
        <v>44.675000000000011</v>
      </c>
    </row>
    <row r="44" spans="2:17" x14ac:dyDescent="0.25">
      <c r="B44" s="7" t="s">
        <v>47</v>
      </c>
      <c r="C44" s="10"/>
      <c r="D44" s="10"/>
      <c r="E44" s="11"/>
      <c r="F44" s="12">
        <f>F43</f>
        <v>28640.2</v>
      </c>
    </row>
    <row r="45" spans="2:17" x14ac:dyDescent="0.25">
      <c r="B45" s="7"/>
      <c r="C45" s="7"/>
      <c r="D45" s="7"/>
      <c r="E45" s="9"/>
      <c r="F45" s="7"/>
    </row>
    <row r="46" spans="2:17" x14ac:dyDescent="0.25">
      <c r="B46" s="7"/>
      <c r="C46" s="7"/>
      <c r="D46" s="7"/>
      <c r="E46" s="9"/>
      <c r="F46" s="7"/>
    </row>
    <row r="47" spans="2:17" x14ac:dyDescent="0.25">
      <c r="B47" s="10" t="s">
        <v>24</v>
      </c>
      <c r="C47" s="7"/>
      <c r="D47" s="7"/>
      <c r="E47" s="7"/>
      <c r="F47" s="12">
        <v>1189</v>
      </c>
      <c r="O47" t="s">
        <v>43</v>
      </c>
    </row>
    <row r="48" spans="2:17" ht="15.75" x14ac:dyDescent="0.25">
      <c r="B48" s="7" t="s">
        <v>26</v>
      </c>
      <c r="C48" s="7" t="s">
        <v>27</v>
      </c>
      <c r="D48" s="13">
        <v>167.5</v>
      </c>
      <c r="E48" s="14">
        <v>1.58</v>
      </c>
      <c r="F48" s="15">
        <f>+E48*D48</f>
        <v>264.65000000000003</v>
      </c>
      <c r="M48" s="27" t="s">
        <v>28</v>
      </c>
      <c r="O48">
        <v>445</v>
      </c>
    </row>
    <row r="49" spans="2:16" ht="15.75" x14ac:dyDescent="0.25">
      <c r="B49" s="7" t="s">
        <v>29</v>
      </c>
      <c r="C49" s="7" t="s">
        <v>27</v>
      </c>
      <c r="D49" s="13">
        <v>101.5</v>
      </c>
      <c r="E49" s="14">
        <v>4.6399999999999997</v>
      </c>
      <c r="F49" s="15">
        <f>+E49*D49</f>
        <v>470.96</v>
      </c>
      <c r="M49" s="28" t="s">
        <v>30</v>
      </c>
      <c r="O49">
        <v>74564.88</v>
      </c>
      <c r="P49">
        <f>O49/O$48</f>
        <v>167.56152808988764</v>
      </c>
    </row>
    <row r="50" spans="2:16" ht="15.75" x14ac:dyDescent="0.25">
      <c r="B50" s="7" t="s">
        <v>31</v>
      </c>
      <c r="C50" s="7" t="s">
        <v>32</v>
      </c>
      <c r="D50" s="13">
        <v>76.900000000000006</v>
      </c>
      <c r="E50" s="14">
        <v>5.9</v>
      </c>
      <c r="F50" s="15">
        <f>+E50*D50</f>
        <v>453.71000000000004</v>
      </c>
      <c r="H50" s="5" t="s">
        <v>33</v>
      </c>
      <c r="M50" s="28" t="s">
        <v>34</v>
      </c>
      <c r="O50">
        <v>0</v>
      </c>
      <c r="P50">
        <f>O50/O$48</f>
        <v>0</v>
      </c>
    </row>
    <row r="51" spans="2:16" x14ac:dyDescent="0.25">
      <c r="B51" s="7"/>
      <c r="C51" s="7"/>
      <c r="D51" s="7"/>
      <c r="E51" s="7"/>
      <c r="F51" s="15"/>
      <c r="H51" s="16">
        <v>1150</v>
      </c>
      <c r="M51" s="28" t="s">
        <v>35</v>
      </c>
      <c r="O51">
        <v>1270661</v>
      </c>
      <c r="P51">
        <f>O51/O$48</f>
        <v>2855.41797752809</v>
      </c>
    </row>
    <row r="52" spans="2:16" x14ac:dyDescent="0.25">
      <c r="B52" s="7" t="s">
        <v>36</v>
      </c>
      <c r="C52" s="7"/>
      <c r="D52" s="7">
        <v>144</v>
      </c>
      <c r="E52" s="9">
        <v>61.8</v>
      </c>
      <c r="F52" s="15">
        <f>+E52*D52</f>
        <v>8899.1999999999989</v>
      </c>
      <c r="H52" s="16">
        <v>28</v>
      </c>
      <c r="M52" s="28" t="s">
        <v>37</v>
      </c>
      <c r="O52">
        <v>45204.038288288284</v>
      </c>
      <c r="P52">
        <f>O52/O$48</f>
        <v>101.58210851300738</v>
      </c>
    </row>
    <row r="53" spans="2:16" x14ac:dyDescent="0.25">
      <c r="B53" s="7" t="s">
        <v>38</v>
      </c>
      <c r="C53" s="7"/>
      <c r="D53" s="7">
        <v>44.6</v>
      </c>
      <c r="E53" s="9">
        <v>42.781999999999996</v>
      </c>
      <c r="F53" s="15">
        <f>+E53*D53</f>
        <v>1908.0771999999999</v>
      </c>
      <c r="H53" s="16">
        <f>+H52+H51</f>
        <v>1178</v>
      </c>
      <c r="M53" s="28" t="s">
        <v>39</v>
      </c>
      <c r="O53">
        <v>34253.888479333626</v>
      </c>
      <c r="P53">
        <f>O53/O$48</f>
        <v>76.975030290637363</v>
      </c>
    </row>
    <row r="54" spans="2:16" x14ac:dyDescent="0.25">
      <c r="B54" s="7"/>
      <c r="C54" s="7"/>
      <c r="D54" s="7"/>
      <c r="E54" s="7"/>
      <c r="F54" s="15"/>
      <c r="H54" s="17">
        <f>H53*65</f>
        <v>76570</v>
      </c>
    </row>
    <row r="55" spans="2:16" x14ac:dyDescent="0.25">
      <c r="B55" s="10" t="s">
        <v>40</v>
      </c>
      <c r="C55" s="7"/>
      <c r="D55" s="10">
        <v>256</v>
      </c>
      <c r="E55" s="18">
        <f>+F55/D55</f>
        <v>74.304385937500001</v>
      </c>
      <c r="F55" s="12">
        <f>+F44+F47-F52-F53</f>
        <v>19021.9228</v>
      </c>
      <c r="H55" s="19">
        <f>+H54/1000</f>
        <v>76.569999999999993</v>
      </c>
      <c r="I55" s="20">
        <f>+H55-E55</f>
        <v>2.2656140624999921</v>
      </c>
      <c r="J55" s="29"/>
    </row>
    <row r="57" spans="2:16" x14ac:dyDescent="0.25">
      <c r="D57" t="s">
        <v>41</v>
      </c>
      <c r="E57" s="21"/>
      <c r="H57" s="22">
        <f>I55*D55*1000</f>
        <v>579997.19999999797</v>
      </c>
    </row>
    <row r="59" spans="2:16" ht="15.75" x14ac:dyDescent="0.25">
      <c r="B59" s="5" t="s">
        <v>52</v>
      </c>
      <c r="D59" s="38" t="s">
        <v>10</v>
      </c>
      <c r="E59" s="38"/>
      <c r="F59" s="38"/>
      <c r="G59" s="6"/>
      <c r="L59" t="s">
        <v>53</v>
      </c>
      <c r="O59" s="30">
        <v>501.53</v>
      </c>
      <c r="P59">
        <v>444.67500000000013</v>
      </c>
    </row>
    <row r="60" spans="2:16" ht="15.75" x14ac:dyDescent="0.25">
      <c r="B60" s="7"/>
      <c r="C60" s="7"/>
      <c r="D60" s="8" t="s">
        <v>13</v>
      </c>
      <c r="E60" s="8" t="s">
        <v>14</v>
      </c>
      <c r="F60" s="8" t="s">
        <v>15</v>
      </c>
      <c r="L60" t="s">
        <v>17</v>
      </c>
      <c r="O60" s="31">
        <v>0</v>
      </c>
    </row>
    <row r="61" spans="2:16" ht="15.75" x14ac:dyDescent="0.25">
      <c r="B61" s="7"/>
      <c r="C61" s="7"/>
      <c r="D61" s="7"/>
      <c r="E61" s="7"/>
      <c r="F61" s="7"/>
      <c r="L61" t="s">
        <v>46</v>
      </c>
      <c r="O61" s="32">
        <v>0</v>
      </c>
    </row>
    <row r="62" spans="2:16" ht="15.75" x14ac:dyDescent="0.25">
      <c r="B62" s="7" t="s">
        <v>2</v>
      </c>
      <c r="C62" s="7"/>
      <c r="D62" s="7">
        <v>444.67500000000001</v>
      </c>
      <c r="E62" s="9">
        <v>64.36</v>
      </c>
      <c r="F62" s="7">
        <f>+E62*D62</f>
        <v>28619.282999999999</v>
      </c>
      <c r="L62" t="s">
        <v>46</v>
      </c>
      <c r="O62" s="32">
        <v>164.38200000000001</v>
      </c>
      <c r="P62">
        <v>146.23099999999999</v>
      </c>
    </row>
    <row r="63" spans="2:16" ht="15.75" x14ac:dyDescent="0.25">
      <c r="B63" s="7"/>
      <c r="C63" s="7"/>
      <c r="D63" s="7"/>
      <c r="E63" s="9"/>
      <c r="F63" s="7"/>
      <c r="L63" t="s">
        <v>54</v>
      </c>
      <c r="O63" s="32">
        <v>289.49900000000002</v>
      </c>
      <c r="P63">
        <v>224.23899999999995</v>
      </c>
    </row>
    <row r="64" spans="2:16" ht="15.75" x14ac:dyDescent="0.25">
      <c r="B64" s="7" t="s">
        <v>20</v>
      </c>
      <c r="C64" s="7"/>
      <c r="D64" s="7"/>
      <c r="E64" s="7"/>
      <c r="F64" s="7"/>
      <c r="L64" t="s">
        <v>55</v>
      </c>
      <c r="O64" s="32">
        <v>47.64899999999998</v>
      </c>
      <c r="P64">
        <f>P59-P62-P63</f>
        <v>74.205000000000183</v>
      </c>
    </row>
    <row r="65" spans="2:15" ht="15.75" x14ac:dyDescent="0.25">
      <c r="B65" s="7" t="s">
        <v>21</v>
      </c>
      <c r="C65" s="7"/>
      <c r="D65" s="7"/>
      <c r="E65" s="9"/>
      <c r="F65" s="7"/>
      <c r="O65" s="33">
        <v>501.53</v>
      </c>
    </row>
    <row r="66" spans="2:15" x14ac:dyDescent="0.25">
      <c r="B66" s="10" t="s">
        <v>23</v>
      </c>
      <c r="C66" s="7"/>
      <c r="D66" s="10"/>
      <c r="E66" s="11"/>
      <c r="F66" s="10"/>
    </row>
    <row r="67" spans="2:15" x14ac:dyDescent="0.25">
      <c r="B67" s="10" t="s">
        <v>23</v>
      </c>
      <c r="C67" s="10"/>
      <c r="D67" s="10"/>
      <c r="E67" s="11"/>
      <c r="F67" s="12">
        <f>F62</f>
        <v>28619.282999999999</v>
      </c>
    </row>
    <row r="68" spans="2:15" x14ac:dyDescent="0.25">
      <c r="B68" s="7"/>
      <c r="C68" s="7"/>
      <c r="D68" s="7"/>
      <c r="E68" s="9"/>
      <c r="F68" s="7"/>
    </row>
    <row r="69" spans="2:15" x14ac:dyDescent="0.25">
      <c r="B69" s="7"/>
      <c r="C69" s="7"/>
      <c r="D69" s="7"/>
      <c r="E69" s="9"/>
      <c r="F69" s="7"/>
    </row>
    <row r="70" spans="2:15" x14ac:dyDescent="0.25">
      <c r="B70" s="10" t="s">
        <v>24</v>
      </c>
      <c r="C70" s="7"/>
      <c r="D70" s="7"/>
      <c r="E70" s="7"/>
      <c r="F70" s="12">
        <v>980</v>
      </c>
      <c r="N70" t="s">
        <v>56</v>
      </c>
    </row>
    <row r="71" spans="2:15" ht="15.75" x14ac:dyDescent="0.25">
      <c r="B71" s="7" t="s">
        <v>26</v>
      </c>
      <c r="C71" s="7" t="s">
        <v>27</v>
      </c>
      <c r="D71" s="13">
        <v>124</v>
      </c>
      <c r="E71" s="14">
        <v>1.58</v>
      </c>
      <c r="F71" s="15">
        <f>+E71*D71</f>
        <v>195.92000000000002</v>
      </c>
      <c r="L71" s="27" t="s">
        <v>28</v>
      </c>
      <c r="N71">
        <v>1020.0650000000001</v>
      </c>
    </row>
    <row r="72" spans="2:15" ht="15.75" x14ac:dyDescent="0.25">
      <c r="B72" s="7" t="s">
        <v>29</v>
      </c>
      <c r="C72" s="7" t="s">
        <v>27</v>
      </c>
      <c r="D72" s="13">
        <v>68.3</v>
      </c>
      <c r="E72" s="14">
        <v>4.6399999999999997</v>
      </c>
      <c r="F72" s="15">
        <f>+E72*D72</f>
        <v>316.91199999999998</v>
      </c>
      <c r="L72" s="28" t="s">
        <v>30</v>
      </c>
      <c r="N72">
        <v>126701.12</v>
      </c>
      <c r="O72">
        <f>N72/N$71</f>
        <v>124.20886904265903</v>
      </c>
    </row>
    <row r="73" spans="2:15" ht="15.75" x14ac:dyDescent="0.25">
      <c r="B73" s="7" t="s">
        <v>31</v>
      </c>
      <c r="C73" s="7" t="s">
        <v>32</v>
      </c>
      <c r="D73" s="13">
        <v>79.099999999999994</v>
      </c>
      <c r="E73" s="14">
        <v>5.9</v>
      </c>
      <c r="F73" s="15">
        <f>+E73*D73</f>
        <v>466.69</v>
      </c>
      <c r="H73" s="5" t="s">
        <v>33</v>
      </c>
      <c r="L73" s="28" t="s">
        <v>34</v>
      </c>
      <c r="N73">
        <v>0</v>
      </c>
      <c r="O73">
        <f>N73/N$71</f>
        <v>0</v>
      </c>
    </row>
    <row r="74" spans="2:15" x14ac:dyDescent="0.25">
      <c r="B74" s="7"/>
      <c r="C74" s="7"/>
      <c r="D74" s="7"/>
      <c r="E74" s="7"/>
      <c r="F74" s="15"/>
      <c r="H74" s="16">
        <v>1150</v>
      </c>
      <c r="L74" s="28" t="s">
        <v>35</v>
      </c>
      <c r="N74">
        <v>1811464</v>
      </c>
      <c r="O74">
        <f>N74/N$71</f>
        <v>1775.8319322788252</v>
      </c>
    </row>
    <row r="75" spans="2:15" x14ac:dyDescent="0.25">
      <c r="B75" s="7" t="s">
        <v>36</v>
      </c>
      <c r="C75" s="7"/>
      <c r="D75" s="7">
        <v>310</v>
      </c>
      <c r="E75" s="9">
        <v>61.8</v>
      </c>
      <c r="F75" s="15">
        <f>+E75*D75</f>
        <v>19158</v>
      </c>
      <c r="H75" s="16">
        <v>28</v>
      </c>
      <c r="L75" s="28" t="s">
        <v>37</v>
      </c>
      <c r="N75">
        <v>69704.88288288287</v>
      </c>
      <c r="O75">
        <f>N75/N$71</f>
        <v>68.333765870687515</v>
      </c>
    </row>
    <row r="76" spans="2:15" x14ac:dyDescent="0.25">
      <c r="B76" s="7" t="s">
        <v>38</v>
      </c>
      <c r="C76" s="7"/>
      <c r="D76" s="7">
        <v>74.2</v>
      </c>
      <c r="E76" s="9">
        <v>42.781999999999996</v>
      </c>
      <c r="F76" s="15">
        <f>+E76*D76</f>
        <v>3174.4243999999999</v>
      </c>
      <c r="H76" s="16">
        <f>+H75+H74</f>
        <v>1178</v>
      </c>
      <c r="L76" s="28" t="s">
        <v>39</v>
      </c>
      <c r="N76">
        <v>80698.917885574803</v>
      </c>
      <c r="O76">
        <f>N76/N$71</f>
        <v>79.111544740359491</v>
      </c>
    </row>
    <row r="77" spans="2:15" x14ac:dyDescent="0.25">
      <c r="B77" s="7"/>
      <c r="C77" s="7"/>
      <c r="D77" s="7"/>
      <c r="E77" s="7"/>
      <c r="F77" s="15"/>
      <c r="H77" s="17">
        <f>H76*65</f>
        <v>76570</v>
      </c>
    </row>
    <row r="78" spans="2:15" x14ac:dyDescent="0.25">
      <c r="B78" s="10" t="s">
        <v>40</v>
      </c>
      <c r="C78" s="7"/>
      <c r="D78" s="10">
        <v>513</v>
      </c>
      <c r="E78" s="18">
        <f>+F78/D78</f>
        <v>14.165416374269006</v>
      </c>
      <c r="F78" s="12">
        <f>+F67+F70-F75-F76</f>
        <v>7266.8585999999996</v>
      </c>
      <c r="H78" s="19">
        <f>+H77/1000</f>
        <v>76.569999999999993</v>
      </c>
      <c r="I78" s="20">
        <f>+H78-E78</f>
        <v>62.404583625730986</v>
      </c>
    </row>
    <row r="80" spans="2:15" x14ac:dyDescent="0.25">
      <c r="E80" t="s">
        <v>41</v>
      </c>
      <c r="F80" s="21"/>
      <c r="I80" s="22">
        <f>I78*D78*1000</f>
        <v>32013551.399999999</v>
      </c>
    </row>
    <row r="83" spans="2:18" x14ac:dyDescent="0.25">
      <c r="N83" t="s">
        <v>57</v>
      </c>
      <c r="O83" t="s">
        <v>58</v>
      </c>
      <c r="Q83" t="s">
        <v>59</v>
      </c>
    </row>
    <row r="84" spans="2:18" ht="15.75" x14ac:dyDescent="0.25">
      <c r="B84" s="5" t="s">
        <v>60</v>
      </c>
      <c r="D84" s="38" t="s">
        <v>10</v>
      </c>
      <c r="E84" s="38"/>
      <c r="F84" s="38"/>
      <c r="G84" s="6"/>
      <c r="M84" t="s">
        <v>61</v>
      </c>
      <c r="N84" s="34">
        <v>575.39</v>
      </c>
      <c r="O84">
        <v>559.2315000000001</v>
      </c>
      <c r="Q84">
        <v>575.39</v>
      </c>
      <c r="R84">
        <v>1134.6215000000002</v>
      </c>
    </row>
    <row r="85" spans="2:18" ht="15.75" x14ac:dyDescent="0.25">
      <c r="B85" s="7"/>
      <c r="C85" s="7"/>
      <c r="D85" s="8" t="s">
        <v>13</v>
      </c>
      <c r="E85" s="8" t="s">
        <v>14</v>
      </c>
      <c r="F85" s="8" t="s">
        <v>15</v>
      </c>
      <c r="M85" t="s">
        <v>17</v>
      </c>
      <c r="N85" s="35"/>
      <c r="O85">
        <v>0</v>
      </c>
      <c r="R85">
        <v>0</v>
      </c>
    </row>
    <row r="86" spans="2:18" ht="15.75" x14ac:dyDescent="0.25">
      <c r="B86" s="7"/>
      <c r="C86" s="7"/>
      <c r="D86" s="7"/>
      <c r="E86" s="7"/>
      <c r="F86" s="7"/>
      <c r="M86" t="s">
        <v>62</v>
      </c>
      <c r="N86" s="36"/>
      <c r="O86">
        <v>31.119999999999997</v>
      </c>
      <c r="R86">
        <v>31.119999999999997</v>
      </c>
    </row>
    <row r="87" spans="2:18" ht="15.75" x14ac:dyDescent="0.25">
      <c r="B87" s="7" t="s">
        <v>2</v>
      </c>
      <c r="C87" s="7"/>
      <c r="D87" s="7">
        <v>559.23</v>
      </c>
      <c r="E87" s="9">
        <v>64.36</v>
      </c>
      <c r="F87" s="7">
        <f>+E87*D87</f>
        <v>35992.042800000003</v>
      </c>
      <c r="M87" t="s">
        <v>18</v>
      </c>
      <c r="N87" s="36">
        <v>354</v>
      </c>
      <c r="O87">
        <v>185.70100000000002</v>
      </c>
      <c r="Q87">
        <v>354.5</v>
      </c>
      <c r="R87">
        <v>540.20100000000002</v>
      </c>
    </row>
    <row r="88" spans="2:18" ht="15.75" x14ac:dyDescent="0.25">
      <c r="B88" s="7"/>
      <c r="C88" s="7"/>
      <c r="D88" s="7"/>
      <c r="E88" s="9"/>
      <c r="F88" s="7"/>
      <c r="M88" t="s">
        <v>63</v>
      </c>
      <c r="N88" s="36">
        <v>145.84000000000009</v>
      </c>
      <c r="O88">
        <v>291.50099999999998</v>
      </c>
      <c r="Q88">
        <v>145.84</v>
      </c>
      <c r="R88">
        <v>437.34100000000001</v>
      </c>
    </row>
    <row r="89" spans="2:18" ht="15.75" x14ac:dyDescent="0.25">
      <c r="B89" s="7" t="s">
        <v>20</v>
      </c>
      <c r="C89" s="7"/>
      <c r="D89" s="7"/>
      <c r="E89" s="7"/>
      <c r="F89" s="7"/>
      <c r="M89" t="s">
        <v>64</v>
      </c>
      <c r="N89" s="36">
        <v>75.016999999999953</v>
      </c>
      <c r="O89">
        <v>46.1295</v>
      </c>
      <c r="Q89">
        <v>75.016999999999953</v>
      </c>
      <c r="R89">
        <v>121.14649999999995</v>
      </c>
    </row>
    <row r="90" spans="2:18" ht="15.75" x14ac:dyDescent="0.25">
      <c r="B90" s="7" t="s">
        <v>21</v>
      </c>
      <c r="C90" s="7"/>
      <c r="D90" s="7"/>
      <c r="E90" s="9"/>
      <c r="F90" s="7"/>
      <c r="M90" t="s">
        <v>65</v>
      </c>
      <c r="N90" s="37">
        <v>575.39</v>
      </c>
      <c r="O90">
        <v>4.7800000000000011</v>
      </c>
      <c r="R90">
        <v>4.7800000000000011</v>
      </c>
    </row>
    <row r="91" spans="2:18" x14ac:dyDescent="0.25">
      <c r="B91" s="10" t="s">
        <v>23</v>
      </c>
      <c r="C91" s="7"/>
      <c r="D91" s="10"/>
      <c r="E91" s="11"/>
      <c r="F91" s="10"/>
      <c r="R91">
        <v>0</v>
      </c>
    </row>
    <row r="92" spans="2:18" x14ac:dyDescent="0.25">
      <c r="B92" s="10" t="s">
        <v>23</v>
      </c>
      <c r="C92" s="10"/>
      <c r="D92" s="10"/>
      <c r="E92" s="11"/>
      <c r="F92" s="12">
        <f>F87</f>
        <v>35992.042800000003</v>
      </c>
    </row>
    <row r="93" spans="2:18" x14ac:dyDescent="0.25">
      <c r="B93" s="7"/>
      <c r="C93" s="7"/>
      <c r="D93" s="7"/>
      <c r="E93" s="9"/>
      <c r="F93" s="7"/>
      <c r="N93" t="s">
        <v>66</v>
      </c>
    </row>
    <row r="94" spans="2:18" x14ac:dyDescent="0.25">
      <c r="B94" s="7"/>
      <c r="C94" s="7"/>
      <c r="D94" s="7"/>
      <c r="E94" s="9"/>
      <c r="F94" s="7"/>
      <c r="N94">
        <v>559.23500000000001</v>
      </c>
    </row>
    <row r="95" spans="2:18" x14ac:dyDescent="0.25">
      <c r="B95" s="10" t="s">
        <v>24</v>
      </c>
      <c r="C95" s="7"/>
      <c r="D95" s="7"/>
      <c r="E95" s="7"/>
      <c r="F95" s="12">
        <v>1520</v>
      </c>
      <c r="M95" t="s">
        <v>30</v>
      </c>
      <c r="N95">
        <v>111667.8410686096</v>
      </c>
      <c r="O95">
        <f>N95/N$94</f>
        <v>199.67963569628083</v>
      </c>
    </row>
    <row r="96" spans="2:18" ht="15.75" x14ac:dyDescent="0.25">
      <c r="B96" s="7" t="s">
        <v>26</v>
      </c>
      <c r="C96" s="7" t="s">
        <v>27</v>
      </c>
      <c r="D96" s="13">
        <v>199.6</v>
      </c>
      <c r="E96" s="14">
        <v>1.58</v>
      </c>
      <c r="F96" s="15">
        <f>+E96*D96</f>
        <v>315.36799999999999</v>
      </c>
      <c r="M96" t="s">
        <v>34</v>
      </c>
      <c r="N96">
        <v>0</v>
      </c>
      <c r="O96">
        <f>N96/N$94</f>
        <v>0</v>
      </c>
    </row>
    <row r="97" spans="2:18" ht="15.75" x14ac:dyDescent="0.25">
      <c r="B97" s="7" t="s">
        <v>29</v>
      </c>
      <c r="C97" s="7" t="s">
        <v>27</v>
      </c>
      <c r="D97" s="13">
        <v>126.52</v>
      </c>
      <c r="E97" s="14">
        <v>4.6399999999999997</v>
      </c>
      <c r="F97" s="15">
        <f>+E97*D97</f>
        <v>587.05279999999993</v>
      </c>
      <c r="M97" t="s">
        <v>35</v>
      </c>
      <c r="N97">
        <v>1832272</v>
      </c>
      <c r="O97">
        <f>N97/N$94</f>
        <v>3276.3900685758222</v>
      </c>
    </row>
    <row r="98" spans="2:18" ht="15.75" x14ac:dyDescent="0.25">
      <c r="B98" s="7" t="s">
        <v>31</v>
      </c>
      <c r="C98" s="7" t="s">
        <v>32</v>
      </c>
      <c r="D98" s="13">
        <v>104.74</v>
      </c>
      <c r="E98" s="14">
        <v>5.9</v>
      </c>
      <c r="F98" s="15">
        <f>+E98*D98</f>
        <v>617.96600000000001</v>
      </c>
      <c r="H98" s="5" t="s">
        <v>33</v>
      </c>
      <c r="M98" t="s">
        <v>37</v>
      </c>
      <c r="N98">
        <v>70755.882521866137</v>
      </c>
      <c r="O98">
        <f>N98/N$94</f>
        <v>126.52262916639005</v>
      </c>
    </row>
    <row r="99" spans="2:18" x14ac:dyDescent="0.25">
      <c r="B99" s="7"/>
      <c r="C99" s="7"/>
      <c r="D99" s="7"/>
      <c r="E99" s="7"/>
      <c r="F99" s="15"/>
      <c r="H99" s="16">
        <v>1150</v>
      </c>
      <c r="M99" t="s">
        <v>39</v>
      </c>
      <c r="N99">
        <v>58574.468112667942</v>
      </c>
      <c r="O99">
        <f>N99/N$94</f>
        <v>104.74034728274864</v>
      </c>
    </row>
    <row r="100" spans="2:18" x14ac:dyDescent="0.25">
      <c r="B100" s="7" t="s">
        <v>36</v>
      </c>
      <c r="C100" s="7"/>
      <c r="D100" s="7">
        <v>539</v>
      </c>
      <c r="E100" s="9">
        <v>61.8</v>
      </c>
      <c r="F100" s="15">
        <f>+E100*D100</f>
        <v>33310.199999999997</v>
      </c>
      <c r="H100" s="16">
        <v>28</v>
      </c>
      <c r="R100">
        <v>0</v>
      </c>
    </row>
    <row r="101" spans="2:18" x14ac:dyDescent="0.25">
      <c r="B101" s="7" t="s">
        <v>38</v>
      </c>
      <c r="C101" s="7"/>
      <c r="D101" s="7">
        <v>121</v>
      </c>
      <c r="E101" s="9">
        <v>42.781999999999996</v>
      </c>
      <c r="F101" s="15">
        <f>+E101*D101</f>
        <v>5176.6219999999994</v>
      </c>
      <c r="H101" s="16">
        <f>+H100+H99</f>
        <v>1178</v>
      </c>
    </row>
    <row r="102" spans="2:18" x14ac:dyDescent="0.25">
      <c r="B102" s="7"/>
      <c r="C102" s="7"/>
      <c r="D102" s="7"/>
      <c r="E102" s="7"/>
      <c r="F102" s="15"/>
      <c r="H102" s="17">
        <f>H101*65</f>
        <v>76570</v>
      </c>
    </row>
    <row r="103" spans="2:18" x14ac:dyDescent="0.25">
      <c r="B103" s="10" t="s">
        <v>40</v>
      </c>
      <c r="C103" s="7"/>
      <c r="D103" s="10">
        <v>437</v>
      </c>
      <c r="E103" s="18">
        <f>+F103/D103</f>
        <v>-2.2306160183066215</v>
      </c>
      <c r="F103" s="12">
        <f>+F92+F95-F100-F101</f>
        <v>-974.77919999999358</v>
      </c>
      <c r="H103" s="19">
        <f>+H102/1000</f>
        <v>76.569999999999993</v>
      </c>
      <c r="I103" s="20">
        <f>+H103-E103</f>
        <v>78.800616018306613</v>
      </c>
    </row>
    <row r="105" spans="2:18" x14ac:dyDescent="0.25">
      <c r="E105" t="s">
        <v>41</v>
      </c>
      <c r="F105" s="21"/>
      <c r="I105" s="22">
        <f>I103*D103*1000</f>
        <v>34435869.199999988</v>
      </c>
    </row>
    <row r="108" spans="2:18" x14ac:dyDescent="0.25">
      <c r="E108" s="29"/>
    </row>
    <row r="109" spans="2:18" x14ac:dyDescent="0.25">
      <c r="E109" s="29"/>
    </row>
    <row r="110" spans="2:18" x14ac:dyDescent="0.25">
      <c r="H110" s="29"/>
      <c r="R110">
        <v>0</v>
      </c>
    </row>
  </sheetData>
  <mergeCells count="4">
    <mergeCell ref="D11:F11"/>
    <mergeCell ref="D36:F36"/>
    <mergeCell ref="D59:F59"/>
    <mergeCell ref="D84:F8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2017-04-18T05:18:11Z</dcterms:modified>
</cp:coreProperties>
</file>