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0" windowWidth="14295" windowHeight="2640" firstSheet="5" activeTab="8"/>
  </bookViews>
  <sheets>
    <sheet name="MIS BOPP" sheetId="15" r:id="rId1"/>
    <sheet name="BOPP DATA" sheetId="16" r:id="rId2"/>
    <sheet name="paper cost" sheetId="6" r:id="rId3"/>
    <sheet name="historical data with wrapper pr" sheetId="9" r:id="rId4"/>
    <sheet name="crude-resin-poly-paper-PEG comp" sheetId="11" r:id="rId5"/>
    <sheet name="Sheet1" sheetId="10" r:id="rId6"/>
    <sheet name="Sheet2" sheetId="17" r:id="rId7"/>
    <sheet name="Sheet3" sheetId="18" r:id="rId8"/>
    <sheet name="MIS PET" sheetId="14" r:id="rId9"/>
    <sheet name="MIS PE" sheetId="20" r:id="rId10"/>
    <sheet name="Crude" sheetId="19" r:id="rId11"/>
    <sheet name="PE Price" sheetId="21" r:id="rId12"/>
    <sheet name="important sites" sheetId="22" r:id="rId13"/>
  </sheets>
  <calcPr calcId="145621"/>
</workbook>
</file>

<file path=xl/calcChain.xml><?xml version="1.0" encoding="utf-8"?>
<calcChain xmlns="http://schemas.openxmlformats.org/spreadsheetml/2006/main">
  <c r="D25" i="20" l="1"/>
  <c r="D24" i="20"/>
  <c r="D23" i="20"/>
  <c r="D22" i="20"/>
  <c r="N34" i="19"/>
  <c r="M34" i="19"/>
  <c r="L34" i="19"/>
  <c r="H31" i="21"/>
  <c r="H30" i="21"/>
  <c r="K31" i="21" l="1"/>
  <c r="L31" i="21" s="1"/>
  <c r="K30" i="21"/>
  <c r="L30" i="21" s="1"/>
  <c r="A68" i="14" l="1"/>
  <c r="C64" i="14"/>
  <c r="D35" i="14" l="1"/>
  <c r="B68" i="14"/>
  <c r="C62" i="14"/>
  <c r="C60" i="14"/>
  <c r="C58" i="14"/>
  <c r="D38" i="14"/>
  <c r="D37" i="14"/>
  <c r="D36" i="14"/>
  <c r="D34" i="14"/>
  <c r="E34" i="14" s="1"/>
  <c r="J34" i="19"/>
  <c r="H34" i="19"/>
  <c r="C68" i="14" l="1"/>
  <c r="F62" i="14"/>
  <c r="I66" i="14" s="1"/>
  <c r="F64" i="14"/>
  <c r="J68" i="14" s="1"/>
  <c r="J66" i="14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B27" i="21"/>
  <c r="C26" i="21"/>
  <c r="C45" i="20"/>
  <c r="C43" i="20"/>
  <c r="C41" i="20"/>
  <c r="C39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I68" i="14" l="1"/>
  <c r="I70" i="14" s="1"/>
  <c r="J70" i="14"/>
  <c r="F43" i="20"/>
  <c r="I47" i="20" s="1"/>
  <c r="F45" i="20"/>
  <c r="I49" i="20" s="1"/>
  <c r="I51" i="20" s="1"/>
  <c r="E32" i="14" l="1"/>
  <c r="D33" i="14"/>
  <c r="I18" i="19"/>
  <c r="G35" i="19" l="1"/>
  <c r="G34" i="19"/>
  <c r="D32" i="14" l="1"/>
  <c r="D31" i="14" l="1"/>
  <c r="D30" i="14" l="1"/>
  <c r="D29" i="14" l="1"/>
  <c r="D28" i="14" l="1"/>
  <c r="K10" i="15" l="1"/>
  <c r="K9" i="15"/>
  <c r="K8" i="15"/>
  <c r="K7" i="15"/>
  <c r="K6" i="15"/>
  <c r="N7" i="14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D6" i="14" l="1"/>
  <c r="N6" i="14"/>
  <c r="P6" i="14"/>
  <c r="Q6" i="14"/>
  <c r="V6" i="14"/>
  <c r="D7" i="14"/>
  <c r="P7" i="14"/>
  <c r="Q7" i="14"/>
  <c r="V7" i="14"/>
  <c r="D8" i="14"/>
  <c r="N8" i="14"/>
  <c r="P8" i="14"/>
  <c r="Q8" i="14"/>
  <c r="V8" i="14"/>
  <c r="D9" i="14"/>
  <c r="N9" i="14"/>
  <c r="P9" i="14"/>
  <c r="Q9" i="14"/>
  <c r="V9" i="14"/>
  <c r="D10" i="14"/>
  <c r="N10" i="14"/>
  <c r="P10" i="14"/>
  <c r="Q10" i="14"/>
  <c r="V10" i="14"/>
  <c r="D11" i="14"/>
  <c r="N11" i="14"/>
  <c r="P11" i="14"/>
  <c r="Q11" i="14"/>
  <c r="V11" i="14"/>
  <c r="D12" i="14"/>
  <c r="N12" i="14"/>
  <c r="P12" i="14"/>
  <c r="Q12" i="14"/>
  <c r="V12" i="14"/>
  <c r="D13" i="14"/>
  <c r="N13" i="14"/>
  <c r="P13" i="14"/>
  <c r="Q13" i="14"/>
  <c r="V13" i="14"/>
  <c r="D14" i="14"/>
  <c r="N14" i="14"/>
  <c r="P14" i="14"/>
  <c r="Q14" i="14"/>
  <c r="V14" i="14"/>
  <c r="D15" i="14"/>
  <c r="N15" i="14"/>
  <c r="P15" i="14"/>
  <c r="Q15" i="14"/>
  <c r="V15" i="14"/>
  <c r="D16" i="14"/>
  <c r="N16" i="14"/>
  <c r="P16" i="14"/>
  <c r="Q16" i="14"/>
  <c r="V16" i="14"/>
  <c r="D17" i="14"/>
  <c r="N17" i="14"/>
  <c r="P17" i="14"/>
  <c r="Q17" i="14"/>
  <c r="V17" i="14"/>
  <c r="D18" i="14"/>
  <c r="N18" i="14"/>
  <c r="P18" i="14"/>
  <c r="Q18" i="14"/>
  <c r="V18" i="14"/>
  <c r="D19" i="14"/>
  <c r="N19" i="14"/>
  <c r="P19" i="14"/>
  <c r="Q19" i="14"/>
  <c r="V19" i="14"/>
  <c r="D20" i="14"/>
  <c r="N20" i="14"/>
  <c r="P20" i="14"/>
  <c r="Q20" i="14"/>
  <c r="V20" i="14"/>
  <c r="D21" i="14"/>
  <c r="N21" i="14"/>
  <c r="P21" i="14"/>
  <c r="Q21" i="14"/>
  <c r="V21" i="14"/>
  <c r="D22" i="14"/>
  <c r="D23" i="14"/>
  <c r="D24" i="14"/>
  <c r="D25" i="14"/>
  <c r="D26" i="14"/>
  <c r="D27" i="14"/>
  <c r="V29" i="14"/>
  <c r="N53" i="14"/>
  <c r="N54" i="14"/>
  <c r="N55" i="14" l="1"/>
  <c r="C59" i="15"/>
  <c r="C57" i="15"/>
  <c r="F57" i="15" s="1"/>
  <c r="C55" i="15"/>
  <c r="C53" i="15"/>
  <c r="L46" i="15"/>
  <c r="L45" i="15"/>
  <c r="P37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F59" i="15" l="1"/>
  <c r="L47" i="15"/>
  <c r="C86" i="14"/>
  <c r="C84" i="14"/>
  <c r="C82" i="14"/>
  <c r="C80" i="14"/>
  <c r="F84" i="14" l="1"/>
  <c r="J88" i="14" s="1"/>
  <c r="F86" i="14"/>
  <c r="I90" i="14" s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J90" i="14" l="1"/>
  <c r="J92" i="14" s="1"/>
  <c r="I88" i="14"/>
  <c r="I92" i="14" s="1"/>
  <c r="G70" i="9" l="1"/>
  <c r="J74" i="9" s="1"/>
  <c r="E70" i="9"/>
  <c r="E68" i="9"/>
  <c r="E64" i="9"/>
  <c r="G68" i="9" s="1"/>
  <c r="E66" i="9"/>
  <c r="U48" i="9"/>
  <c r="U41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40" i="9"/>
  <c r="J72" i="9" l="1"/>
  <c r="J76" i="9" s="1"/>
  <c r="I72" i="9"/>
  <c r="I74" i="9"/>
  <c r="I76" i="9" l="1"/>
  <c r="M58" i="9" l="1"/>
  <c r="M57" i="9"/>
  <c r="M56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P41" i="9"/>
  <c r="P40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39" i="9"/>
  <c r="F90" i="6" l="1"/>
  <c r="E90" i="6"/>
  <c r="G90" i="6" s="1"/>
  <c r="F84" i="6"/>
  <c r="G84" i="6" s="1"/>
  <c r="H84" i="6" s="1"/>
  <c r="J84" i="6" s="1"/>
  <c r="L84" i="6" s="1"/>
  <c r="E84" i="6"/>
  <c r="F72" i="6"/>
  <c r="F69" i="6"/>
  <c r="D69" i="6"/>
  <c r="H72" i="6" l="1"/>
  <c r="I72" i="6" s="1"/>
  <c r="J72" i="6" s="1"/>
  <c r="K72" i="6" s="1"/>
  <c r="L72" i="6" s="1"/>
  <c r="K76" i="6" s="1"/>
  <c r="L76" i="6" s="1"/>
  <c r="I90" i="6"/>
  <c r="H90" i="6"/>
  <c r="G69" i="6"/>
  <c r="H69" i="6" s="1"/>
  <c r="I69" i="6" s="1"/>
  <c r="J69" i="6" s="1"/>
  <c r="K69" i="6" s="1"/>
  <c r="L69" i="6" s="1"/>
  <c r="L70" i="6" s="1"/>
  <c r="K75" i="6" s="1"/>
  <c r="L75" i="6" s="1"/>
  <c r="G72" i="6"/>
  <c r="L77" i="6" l="1"/>
  <c r="L90" i="6"/>
  <c r="J90" i="6"/>
  <c r="D2" i="10" l="1"/>
  <c r="D8" i="10" s="1"/>
  <c r="E8" i="10" s="1"/>
  <c r="E5" i="10" l="1"/>
  <c r="G5" i="10" s="1"/>
  <c r="E2" i="10"/>
  <c r="G2" i="10" s="1"/>
  <c r="E6" i="10"/>
  <c r="G6" i="10" s="1"/>
  <c r="E3" i="10"/>
  <c r="G3" i="10" s="1"/>
  <c r="E7" i="10"/>
  <c r="G7" i="10" s="1"/>
  <c r="E4" i="10"/>
  <c r="G4" i="10" s="1"/>
  <c r="G8" i="10" l="1"/>
  <c r="G10" i="10" s="1"/>
  <c r="G11" i="10" s="1"/>
  <c r="G13" i="10" s="1"/>
  <c r="E52" i="6" l="1"/>
  <c r="F52" i="6" s="1"/>
  <c r="F58" i="6"/>
  <c r="G58" i="6" s="1"/>
  <c r="E58" i="6"/>
  <c r="K37" i="6"/>
  <c r="I58" i="6" l="1"/>
  <c r="H58" i="6"/>
  <c r="G52" i="6"/>
  <c r="H52" i="6"/>
  <c r="J52" i="6" s="1"/>
  <c r="L52" i="6" s="1"/>
  <c r="F40" i="6"/>
  <c r="G40" i="6" s="1"/>
  <c r="H40" i="6" s="1"/>
  <c r="I40" i="6" s="1"/>
  <c r="J40" i="6" s="1"/>
  <c r="K40" i="6" s="1"/>
  <c r="L40" i="6" s="1"/>
  <c r="K44" i="6" s="1"/>
  <c r="L44" i="6" s="1"/>
  <c r="F37" i="6"/>
  <c r="G37" i="6" s="1"/>
  <c r="H37" i="6" s="1"/>
  <c r="I37" i="6" s="1"/>
  <c r="J37" i="6" s="1"/>
  <c r="D37" i="6"/>
  <c r="L58" i="6" l="1"/>
  <c r="J58" i="6"/>
  <c r="L37" i="6"/>
  <c r="L38" i="6" s="1"/>
  <c r="K43" i="6" s="1"/>
  <c r="L43" i="6" s="1"/>
  <c r="L45" i="6" s="1"/>
  <c r="E28" i="6" l="1"/>
  <c r="F28" i="6" s="1"/>
  <c r="G28" i="6" s="1"/>
  <c r="H28" i="6" l="1"/>
  <c r="I28" i="6"/>
  <c r="F13" i="6"/>
  <c r="H13" i="6" l="1"/>
  <c r="I13" i="6" s="1"/>
  <c r="J13" i="6" s="1"/>
  <c r="K13" i="6" s="1"/>
  <c r="L13" i="6" s="1"/>
  <c r="K17" i="6" s="1"/>
  <c r="L17" i="6" s="1"/>
  <c r="G13" i="6"/>
  <c r="J28" i="6"/>
  <c r="L28" i="6"/>
  <c r="F22" i="6" l="1"/>
  <c r="G22" i="6" s="1"/>
  <c r="E22" i="6"/>
  <c r="F10" i="6"/>
  <c r="G10" i="6" s="1"/>
  <c r="H10" i="6" s="1"/>
  <c r="I10" i="6" s="1"/>
  <c r="J10" i="6" s="1"/>
  <c r="K10" i="6" s="1"/>
  <c r="L10" i="6" s="1"/>
  <c r="H22" i="6" l="1"/>
  <c r="J22" i="6" s="1"/>
  <c r="L22" i="6" s="1"/>
  <c r="F9" i="6"/>
  <c r="F8" i="6"/>
  <c r="F7" i="6"/>
  <c r="D8" i="6"/>
  <c r="D7" i="6"/>
  <c r="D9" i="6"/>
  <c r="G9" i="6" l="1"/>
  <c r="H9" i="6" s="1"/>
  <c r="I9" i="6" s="1"/>
  <c r="G7" i="6"/>
  <c r="H7" i="6"/>
  <c r="G8" i="6"/>
  <c r="H8" i="6" s="1"/>
  <c r="I8" i="6" s="1"/>
  <c r="J7" i="6" l="1"/>
  <c r="K7" i="6" s="1"/>
  <c r="L7" i="6" s="1"/>
  <c r="I7" i="6"/>
  <c r="J8" i="6"/>
  <c r="J9" i="6"/>
  <c r="K9" i="6" l="1"/>
  <c r="L9" i="6" s="1"/>
  <c r="K8" i="6"/>
  <c r="L8" i="6" s="1"/>
  <c r="L11" i="6" s="1"/>
  <c r="K16" i="6" s="1"/>
  <c r="L16" i="6" s="1"/>
  <c r="L18" i="6" s="1"/>
  <c r="L9" i="21"/>
  <c r="L22" i="21"/>
  <c r="L10" i="21"/>
  <c r="L25" i="21"/>
  <c r="L29" i="21"/>
  <c r="L16" i="21"/>
  <c r="L28" i="21"/>
  <c r="L17" i="21"/>
  <c r="L14" i="21"/>
  <c r="L27" i="21"/>
  <c r="L11" i="21"/>
  <c r="L24" i="21"/>
  <c r="L26" i="21"/>
  <c r="L13" i="21"/>
  <c r="L15" i="21"/>
  <c r="L19" i="21"/>
  <c r="L20" i="21"/>
  <c r="L21" i="21"/>
  <c r="L18" i="21"/>
  <c r="L23" i="21"/>
  <c r="L12" i="21"/>
</calcChain>
</file>

<file path=xl/comments1.xml><?xml version="1.0" encoding="utf-8"?>
<comments xmlns="http://schemas.openxmlformats.org/spreadsheetml/2006/main">
  <authors>
    <author>viraf VMB. boywalla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Paper price - email of Ranajeet dated 8th July and 10th July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PEG price - Email of Ranajeet dated 8th July 2015
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Hotmelt price - Email of Ranajeet dated 8th July 2015
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Paper price - email of Ranajeet dated 8th July and 10th July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PEG price - Email of Ranajeet dated 8th July 2015
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Hotmelt price - Email of Ranajeet dated 8th July 2015
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Paper price - email of Ranajeet dated 8th July and 10th July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PEG price - Email of Ranajeet dated 8th July 2015
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viraf VMB. boywalla:</t>
        </r>
        <r>
          <rPr>
            <sz val="9"/>
            <color indexed="81"/>
            <rFont val="Tahoma"/>
            <family val="2"/>
          </rPr>
          <t xml:space="preserve">
Hotmelt price - Email of Ranajeet dated 8th July 2015
</t>
        </r>
      </text>
    </comment>
  </commentList>
</comments>
</file>

<file path=xl/sharedStrings.xml><?xml version="1.0" encoding="utf-8"?>
<sst xmlns="http://schemas.openxmlformats.org/spreadsheetml/2006/main" count="411" uniqueCount="124">
  <si>
    <t>GSM</t>
  </si>
  <si>
    <t>Adhesive</t>
  </si>
  <si>
    <t>Total</t>
  </si>
  <si>
    <t>ED</t>
  </si>
  <si>
    <t>CST</t>
  </si>
  <si>
    <t>freight</t>
  </si>
  <si>
    <t>Paper</t>
  </si>
  <si>
    <t>Wastage</t>
  </si>
  <si>
    <t>Hotmelt</t>
  </si>
  <si>
    <t>kg</t>
  </si>
  <si>
    <t>QTY</t>
  </si>
  <si>
    <t>Kg</t>
  </si>
  <si>
    <t>MT</t>
  </si>
  <si>
    <t>Basic</t>
  </si>
  <si>
    <t>Net of modvat</t>
  </si>
  <si>
    <t>total amount</t>
  </si>
  <si>
    <t>inc ED</t>
  </si>
  <si>
    <t>Basic incl</t>
  </si>
  <si>
    <t xml:space="preserve">Basic + ED + </t>
  </si>
  <si>
    <t>inclusive CST</t>
  </si>
  <si>
    <t>Net of modvat plus Ins</t>
  </si>
  <si>
    <t>commission</t>
  </si>
  <si>
    <t>PEG</t>
  </si>
  <si>
    <t>Modvat per kg</t>
  </si>
  <si>
    <t>Net of modvat incl CST</t>
  </si>
  <si>
    <t>Avg</t>
  </si>
  <si>
    <t>Non TDL</t>
  </si>
  <si>
    <t>Grade</t>
  </si>
  <si>
    <t>TDL</t>
  </si>
  <si>
    <t>NON TDL</t>
  </si>
  <si>
    <t>Net of Modvat</t>
  </si>
  <si>
    <t>Total with ED</t>
  </si>
  <si>
    <t>Total net of modvat</t>
  </si>
  <si>
    <t>PET</t>
  </si>
  <si>
    <t>Date</t>
  </si>
  <si>
    <t>Crude price in $</t>
  </si>
  <si>
    <t>Polyster film price with 2% CST and frt</t>
  </si>
  <si>
    <t>rate for resin basic</t>
  </si>
  <si>
    <t>thickness</t>
  </si>
  <si>
    <t>INK</t>
  </si>
  <si>
    <t>rate</t>
  </si>
  <si>
    <t>conversion cost</t>
  </si>
  <si>
    <t>vinal 180</t>
  </si>
  <si>
    <t>Ink Calculation</t>
  </si>
  <si>
    <t>Price*100/20</t>
  </si>
  <si>
    <t>Exchange INR/USD</t>
  </si>
  <si>
    <t>wrapper price basic HM17GSM</t>
  </si>
  <si>
    <t>Wrapper HM14GSM</t>
  </si>
  <si>
    <t>20th Jan 2016</t>
  </si>
  <si>
    <t>3 mth lag</t>
  </si>
  <si>
    <t>PET cosn</t>
  </si>
  <si>
    <t xml:space="preserve">Impact </t>
  </si>
  <si>
    <t>Per Kg incr</t>
  </si>
  <si>
    <t xml:space="preserve">ICRE </t>
  </si>
  <si>
    <t>PVC</t>
  </si>
  <si>
    <t xml:space="preserve">ITC board </t>
  </si>
  <si>
    <t>BOPP film (Basic+CST+FRT) Film Mfg.</t>
  </si>
  <si>
    <t>BOPP Film basic price Buying</t>
  </si>
  <si>
    <t xml:space="preserve">Budget assumptio </t>
  </si>
  <si>
    <t>Crude</t>
  </si>
  <si>
    <t xml:space="preserve">Currency </t>
  </si>
  <si>
    <t>Current</t>
  </si>
  <si>
    <t xml:space="preserve">PET </t>
  </si>
  <si>
    <t>BOPP</t>
  </si>
  <si>
    <t xml:space="preserve">PVC </t>
  </si>
  <si>
    <t xml:space="preserve">Min </t>
  </si>
  <si>
    <t>Max</t>
  </si>
  <si>
    <t xml:space="preserve">Average </t>
  </si>
  <si>
    <t xml:space="preserve">Budget assumption </t>
  </si>
  <si>
    <t>Base of Jan -16 prices</t>
  </si>
  <si>
    <t xml:space="preserve">Matl cost % impact </t>
  </si>
  <si>
    <t>INR</t>
  </si>
  <si>
    <t>Cover</t>
  </si>
  <si>
    <t>cover</t>
  </si>
  <si>
    <t>139+</t>
  </si>
  <si>
    <t>109.54+</t>
  </si>
  <si>
    <t>98.78+</t>
  </si>
  <si>
    <t>85.25+</t>
  </si>
  <si>
    <t>93.89+</t>
  </si>
  <si>
    <t>88+Cust++</t>
  </si>
  <si>
    <t>Exchange &amp; Crude Combination</t>
  </si>
  <si>
    <t>rate for resin basic PET</t>
  </si>
  <si>
    <t>Basic + Cust if applicable</t>
  </si>
  <si>
    <t>Remark</t>
  </si>
  <si>
    <t>L2=D1</t>
  </si>
  <si>
    <t xml:space="preserve">Price would have been </t>
  </si>
  <si>
    <t>Crude price in USD  $</t>
  </si>
  <si>
    <t>rate for PP H034SG ex works used for general BOPP film</t>
  </si>
  <si>
    <t>rate for PP H034SG  used for general BOPP film, landed adding ED plus CST Plus freight</t>
  </si>
  <si>
    <t>BOPP Film basic price</t>
  </si>
  <si>
    <t>rate for PP H034SG Resin  ex works used for general BOPP film</t>
  </si>
  <si>
    <t>rate for PP H034SG  used for general BOPP film, landed adding ED plus CST Plus Baddi Landed</t>
  </si>
  <si>
    <t>Value Analysis with previous Month for % increase</t>
  </si>
  <si>
    <t>PEPRICE</t>
  </si>
  <si>
    <t>resin prices</t>
  </si>
  <si>
    <t>Rate of RM 1070LA</t>
  </si>
  <si>
    <t>Rate of stiffner</t>
  </si>
  <si>
    <t>date</t>
  </si>
  <si>
    <t xml:space="preserve">freight </t>
  </si>
  <si>
    <t>Discount</t>
  </si>
  <si>
    <t>Final total</t>
  </si>
  <si>
    <t xml:space="preserve">Offered </t>
  </si>
  <si>
    <t>115/10</t>
  </si>
  <si>
    <t>130/10</t>
  </si>
  <si>
    <t>130/12</t>
  </si>
  <si>
    <t>130/14</t>
  </si>
  <si>
    <t>175/10</t>
  </si>
  <si>
    <t>80/10</t>
  </si>
  <si>
    <t>rate for resin basic PE 1070LA15</t>
  </si>
  <si>
    <t>PE 1070LA15 price with TX+FR Landed</t>
  </si>
  <si>
    <t>STIFFENER</t>
  </si>
  <si>
    <t xml:space="preserve">STIFFENER PRICE </t>
  </si>
  <si>
    <t>Sunday</t>
  </si>
  <si>
    <t>Monday</t>
  </si>
  <si>
    <t>Tuesday</t>
  </si>
  <si>
    <t>Wednesday</t>
  </si>
  <si>
    <t>Thursday</t>
  </si>
  <si>
    <t>Friday</t>
  </si>
  <si>
    <t>Saturday</t>
  </si>
  <si>
    <t>Base of Jan -17 prices</t>
  </si>
  <si>
    <t>Budget</t>
  </si>
  <si>
    <t>http://www.plastemart.com/polymer-price-list-pe-pp-pvc</t>
  </si>
  <si>
    <t>https://in.investing.com/currencies/usd-inr</t>
  </si>
  <si>
    <t>http://www.resindistributors.com/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</si>
</sst>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3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26">
    <xf numFmtId="0" fontId="0" fillId="0" borderId="0" xfId="0"/>
    <xf numFmtId="2" fontId="0" fillId="0" borderId="0" xfId="0" applyNumberFormat="1"/>
    <xf numFmtId="0" fontId="0" fillId="0" borderId="0" xfId="0" applyBorder="1"/>
    <xf numFmtId="9" fontId="0" fillId="0" borderId="0" xfId="0" applyNumberFormat="1"/>
    <xf numFmtId="0" fontId="0" fillId="0" borderId="2" xfId="0" applyBorder="1"/>
    <xf numFmtId="0" fontId="3" fillId="0" borderId="0" xfId="0" applyFont="1"/>
    <xf numFmtId="0" fontId="3" fillId="0" borderId="2" xfId="0" applyFon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7" fontId="3" fillId="0" borderId="0" xfId="0" applyNumberFormat="1" applyFont="1"/>
    <xf numFmtId="2" fontId="0" fillId="0" borderId="2" xfId="0" applyNumberFormat="1" applyBorder="1"/>
    <xf numFmtId="2" fontId="0" fillId="0" borderId="2" xfId="0" applyNumberFormat="1" applyFill="1" applyBorder="1" applyAlignment="1">
      <alignment horizontal="center"/>
    </xf>
    <xf numFmtId="0" fontId="0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1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right" vertic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9" fontId="0" fillId="0" borderId="0" xfId="44" applyFont="1"/>
    <xf numFmtId="165" fontId="0" fillId="0" borderId="0" xfId="44" applyNumberFormat="1" applyFont="1"/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0" fillId="0" borderId="0" xfId="44" applyFont="1" applyBorder="1" applyAlignment="1">
      <alignment horizontal="center"/>
    </xf>
    <xf numFmtId="165" fontId="18" fillId="0" borderId="0" xfId="44" applyNumberFormat="1" applyFont="1"/>
    <xf numFmtId="164" fontId="0" fillId="0" borderId="0" xfId="43" applyFont="1" applyFill="1" applyBorder="1" applyAlignment="1">
      <alignment horizontal="center"/>
    </xf>
    <xf numFmtId="166" fontId="0" fillId="0" borderId="0" xfId="0" applyNumberFormat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9" fontId="0" fillId="0" borderId="2" xfId="44" applyFont="1" applyBorder="1"/>
    <xf numFmtId="9" fontId="0" fillId="0" borderId="2" xfId="0" applyNumberFormat="1" applyBorder="1"/>
    <xf numFmtId="165" fontId="0" fillId="0" borderId="2" xfId="0" applyNumberFormat="1" applyBorder="1"/>
    <xf numFmtId="17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7" fontId="24" fillId="0" borderId="2" xfId="0" applyNumberFormat="1" applyFon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wrapText="1"/>
    </xf>
    <xf numFmtId="17" fontId="26" fillId="0" borderId="2" xfId="0" applyNumberFormat="1" applyFont="1" applyBorder="1" applyAlignment="1">
      <alignment horizontal="center"/>
    </xf>
    <xf numFmtId="2" fontId="26" fillId="0" borderId="2" xfId="0" applyNumberFormat="1" applyFont="1" applyFill="1" applyBorder="1" applyAlignment="1">
      <alignment horizontal="center"/>
    </xf>
    <xf numFmtId="2" fontId="24" fillId="0" borderId="2" xfId="0" applyNumberFormat="1" applyFont="1" applyFill="1" applyBorder="1" applyAlignment="1">
      <alignment horizontal="center" vertical="center"/>
    </xf>
    <xf numFmtId="2" fontId="25" fillId="0" borderId="2" xfId="0" applyNumberFormat="1" applyFont="1" applyBorder="1" applyAlignment="1">
      <alignment horizontal="center"/>
    </xf>
    <xf numFmtId="2" fontId="26" fillId="0" borderId="2" xfId="0" applyNumberFormat="1" applyFont="1" applyBorder="1" applyAlignment="1">
      <alignment horizontal="center"/>
    </xf>
    <xf numFmtId="2" fontId="25" fillId="0" borderId="2" xfId="0" applyNumberFormat="1" applyFont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/>
    </xf>
    <xf numFmtId="2" fontId="25" fillId="0" borderId="2" xfId="0" applyNumberFormat="1" applyFont="1" applyBorder="1"/>
    <xf numFmtId="17" fontId="24" fillId="2" borderId="2" xfId="0" applyNumberFormat="1" applyFont="1" applyFill="1" applyBorder="1" applyAlignment="1">
      <alignment horizontal="center" vertical="center"/>
    </xf>
    <xf numFmtId="2" fontId="24" fillId="2" borderId="2" xfId="0" applyNumberFormat="1" applyFont="1" applyFill="1" applyBorder="1" applyAlignment="1">
      <alignment horizontal="center" vertical="center"/>
    </xf>
    <xf numFmtId="9" fontId="0" fillId="2" borderId="0" xfId="44" applyFont="1" applyFill="1" applyBorder="1" applyAlignment="1">
      <alignment horizontal="center"/>
    </xf>
    <xf numFmtId="0" fontId="25" fillId="0" borderId="0" xfId="0" applyFont="1" applyBorder="1" applyAlignment="1">
      <alignment horizontal="center" wrapText="1"/>
    </xf>
    <xf numFmtId="2" fontId="25" fillId="0" borderId="0" xfId="0" applyNumberFormat="1" applyFont="1" applyBorder="1" applyAlignment="1">
      <alignment horizontal="center"/>
    </xf>
    <xf numFmtId="2" fontId="25" fillId="2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0" xfId="0" applyNumberFormat="1" applyFont="1" applyBorder="1"/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/>
    </xf>
    <xf numFmtId="2" fontId="22" fillId="0" borderId="14" xfId="0" applyNumberFormat="1" applyFont="1" applyBorder="1" applyAlignment="1">
      <alignment horizontal="right" vertical="center"/>
    </xf>
    <xf numFmtId="17" fontId="4" fillId="0" borderId="3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2" xfId="0" applyNumberFormat="1" applyFont="1" applyFill="1" applyBorder="1" applyAlignment="1">
      <alignment horizontal="center"/>
    </xf>
    <xf numFmtId="9" fontId="25" fillId="0" borderId="0" xfId="44" applyFont="1" applyBorder="1" applyAlignment="1">
      <alignment horizontal="center"/>
    </xf>
    <xf numFmtId="17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17" fontId="0" fillId="2" borderId="2" xfId="0" applyNumberFormat="1" applyFill="1" applyBorder="1"/>
    <xf numFmtId="17" fontId="0" fillId="0" borderId="2" xfId="0" applyNumberFormat="1" applyBorder="1"/>
    <xf numFmtId="17" fontId="0" fillId="0" borderId="2" xfId="0" applyNumberFormat="1" applyBorder="1" applyAlignment="1">
      <alignment horizontal="center"/>
    </xf>
    <xf numFmtId="17" fontId="21" fillId="0" borderId="2" xfId="0" applyNumberFormat="1" applyFont="1" applyBorder="1"/>
    <xf numFmtId="0" fontId="2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25" fillId="0" borderId="15" xfId="0" applyNumberFormat="1" applyFont="1" applyBorder="1" applyAlignment="1">
      <alignment horizontal="center"/>
    </xf>
    <xf numFmtId="2" fontId="25" fillId="0" borderId="15" xfId="0" applyNumberFormat="1" applyFont="1" applyFill="1" applyBorder="1" applyAlignment="1">
      <alignment horizontal="center"/>
    </xf>
    <xf numFmtId="2" fontId="25" fillId="0" borderId="15" xfId="0" applyNumberFormat="1" applyFont="1" applyBorder="1"/>
    <xf numFmtId="0" fontId="24" fillId="0" borderId="16" xfId="0" applyFont="1" applyFill="1" applyBorder="1" applyAlignment="1">
      <alignment horizontal="center" vertical="center" wrapText="1"/>
    </xf>
    <xf numFmtId="2" fontId="25" fillId="0" borderId="13" xfId="0" applyNumberFormat="1" applyFont="1" applyBorder="1"/>
    <xf numFmtId="0" fontId="22" fillId="0" borderId="2" xfId="0" applyFont="1" applyBorder="1" applyAlignment="1">
      <alignment horizontal="center" vertical="center"/>
    </xf>
    <xf numFmtId="0" fontId="21" fillId="0" borderId="0" xfId="0" applyFont="1"/>
    <xf numFmtId="17" fontId="0" fillId="0" borderId="0" xfId="0" applyNumberFormat="1" applyFont="1"/>
    <xf numFmtId="17" fontId="29" fillId="0" borderId="0" xfId="0" applyNumberFormat="1" applyFont="1"/>
    <xf numFmtId="0" fontId="29" fillId="0" borderId="0" xfId="0" applyFont="1"/>
    <xf numFmtId="2" fontId="29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/>
    </xf>
    <xf numFmtId="9" fontId="0" fillId="0" borderId="0" xfId="0" applyNumberFormat="1" applyBorder="1"/>
    <xf numFmtId="165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30" fillId="0" borderId="0" xfId="45"/>
    <xf numFmtId="0" fontId="2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7" fontId="24" fillId="0" borderId="13" xfId="0" applyNumberFormat="1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sindistributors.com/" TargetMode="External"/><Relationship Id="rId2" Type="http://schemas.openxmlformats.org/officeDocument/2006/relationships/hyperlink" Target="https://in.investing.com/currencies/usd-inr" TargetMode="External"/><Relationship Id="rId1" Type="http://schemas.openxmlformats.org/officeDocument/2006/relationships/hyperlink" Target="http://www.plastemart.com/polymer-price-list-pe-pp-pv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pane xSplit="1" ySplit="5" topLeftCell="B6" activePane="bottomRight" state="frozen"/>
      <selection pane="topRight" activeCell="D1" sqref="D1"/>
      <selection pane="bottomLeft" activeCell="A6" sqref="A6"/>
      <selection pane="bottomRight" activeCell="F12" sqref="F12"/>
    </sheetView>
  </sheetViews>
  <sheetFormatPr defaultRowHeight="15" x14ac:dyDescent="0.25"/>
  <cols>
    <col min="1" max="1" width="17.5703125" bestFit="1" customWidth="1"/>
    <col min="2" max="2" width="14.85546875" style="20" bestFit="1" customWidth="1"/>
    <col min="3" max="3" width="12.42578125" bestFit="1" customWidth="1"/>
    <col min="4" max="5" width="12.42578125" customWidth="1"/>
    <col min="6" max="6" width="18" customWidth="1"/>
    <col min="7" max="7" width="19.85546875" bestFit="1" customWidth="1"/>
    <col min="8" max="8" width="11.28515625" customWidth="1"/>
    <col min="11" max="11" width="14.5703125" customWidth="1"/>
    <col min="12" max="12" width="11.5703125" bestFit="1" customWidth="1"/>
  </cols>
  <sheetData>
    <row r="1" spans="1:16" x14ac:dyDescent="0.25">
      <c r="J1" t="s">
        <v>83</v>
      </c>
    </row>
    <row r="2" spans="1:16" x14ac:dyDescent="0.25">
      <c r="J2" t="s">
        <v>84</v>
      </c>
    </row>
    <row r="3" spans="1:16" x14ac:dyDescent="0.25">
      <c r="A3" s="21"/>
      <c r="B3" s="22"/>
    </row>
    <row r="5" spans="1:16" ht="78.75" x14ac:dyDescent="0.25">
      <c r="A5" s="59" t="s">
        <v>34</v>
      </c>
      <c r="B5" s="59" t="s">
        <v>45</v>
      </c>
      <c r="C5" s="59" t="s">
        <v>35</v>
      </c>
      <c r="D5" s="59" t="s">
        <v>80</v>
      </c>
      <c r="E5" s="59"/>
      <c r="F5" s="81" t="s">
        <v>90</v>
      </c>
      <c r="G5" s="81" t="s">
        <v>91</v>
      </c>
      <c r="H5" s="43" t="s">
        <v>56</v>
      </c>
      <c r="I5" s="82" t="s">
        <v>89</v>
      </c>
      <c r="J5" s="63"/>
      <c r="K5" s="76" t="s">
        <v>92</v>
      </c>
      <c r="L5" s="36"/>
      <c r="M5" s="36"/>
      <c r="O5" t="s">
        <v>54</v>
      </c>
    </row>
    <row r="6" spans="1:16" ht="15.75" x14ac:dyDescent="0.25">
      <c r="A6" s="73">
        <v>41640</v>
      </c>
      <c r="B6" s="55">
        <v>62.274999999999999</v>
      </c>
      <c r="C6" s="28">
        <v>99.5</v>
      </c>
      <c r="D6" s="74">
        <f t="shared" ref="D6:D19" si="0">(B6*C6)/1000</f>
        <v>6.1963625000000002</v>
      </c>
      <c r="E6" s="59"/>
      <c r="F6" s="29">
        <v>110.54</v>
      </c>
      <c r="G6" s="83">
        <f t="shared" ref="G6:G25" si="1">((F6+(F6*12.5%))+(F6+(F6*12.5%))*2%)</f>
        <v>126.84465</v>
      </c>
      <c r="H6" s="45"/>
      <c r="I6" s="10">
        <v>217.5</v>
      </c>
      <c r="J6" s="63"/>
      <c r="K6" s="77" t="e">
        <f t="shared" ref="K6:K11" si="2">(B6*C6-B5*C5)/(B6*C6)</f>
        <v>#VALUE!</v>
      </c>
      <c r="L6" s="36"/>
      <c r="M6" s="36"/>
    </row>
    <row r="7" spans="1:16" ht="15.75" x14ac:dyDescent="0.25">
      <c r="A7" s="73">
        <v>41671</v>
      </c>
      <c r="B7" s="55">
        <v>62.95</v>
      </c>
      <c r="C7" s="28">
        <v>104.53</v>
      </c>
      <c r="D7" s="74">
        <f t="shared" si="0"/>
        <v>6.5801635000000003</v>
      </c>
      <c r="E7" s="62"/>
      <c r="F7" s="29">
        <v>112.6</v>
      </c>
      <c r="G7" s="83">
        <f t="shared" si="1"/>
        <v>129.20849999999999</v>
      </c>
      <c r="H7" s="45"/>
      <c r="I7" s="10"/>
      <c r="J7" s="67"/>
      <c r="K7" s="89">
        <f t="shared" si="2"/>
        <v>5.8326970142915192E-2</v>
      </c>
      <c r="L7" s="39"/>
      <c r="M7" s="37"/>
      <c r="N7" s="35"/>
      <c r="O7" s="35"/>
      <c r="P7" s="35"/>
    </row>
    <row r="8" spans="1:16" ht="15.75" x14ac:dyDescent="0.25">
      <c r="A8" s="73">
        <v>41699</v>
      </c>
      <c r="B8" s="55">
        <v>61.875</v>
      </c>
      <c r="C8" s="28">
        <v>102.59</v>
      </c>
      <c r="D8" s="74">
        <f t="shared" si="0"/>
        <v>6.3477562500000007</v>
      </c>
      <c r="E8" s="62"/>
      <c r="F8" s="29">
        <v>110.6</v>
      </c>
      <c r="G8" s="83">
        <f t="shared" si="1"/>
        <v>126.9135</v>
      </c>
      <c r="H8" s="45"/>
      <c r="I8" s="10"/>
      <c r="J8" s="67"/>
      <c r="K8" s="89">
        <f t="shared" si="2"/>
        <v>-3.6612503827632037E-2</v>
      </c>
      <c r="L8" s="39"/>
      <c r="M8" s="37"/>
      <c r="N8" s="35"/>
      <c r="O8" s="35"/>
      <c r="P8" s="35"/>
    </row>
    <row r="9" spans="1:16" ht="15.75" x14ac:dyDescent="0.25">
      <c r="A9" s="73">
        <v>41730</v>
      </c>
      <c r="B9" s="55">
        <v>60.625</v>
      </c>
      <c r="C9" s="28">
        <v>100.77</v>
      </c>
      <c r="D9" s="74">
        <f t="shared" si="0"/>
        <v>6.1091812499999998</v>
      </c>
      <c r="E9" s="62"/>
      <c r="F9" s="29">
        <v>109.6</v>
      </c>
      <c r="G9" s="83">
        <f t="shared" si="1"/>
        <v>125.76599999999999</v>
      </c>
      <c r="H9" s="45"/>
      <c r="I9" s="10">
        <v>205</v>
      </c>
      <c r="J9" s="67"/>
      <c r="K9" s="89">
        <f t="shared" si="2"/>
        <v>-3.9051877860065247E-2</v>
      </c>
      <c r="L9" s="75"/>
      <c r="M9" s="37"/>
      <c r="N9" s="35"/>
      <c r="O9" s="35"/>
      <c r="P9" s="35"/>
    </row>
    <row r="10" spans="1:16" ht="15.75" x14ac:dyDescent="0.25">
      <c r="A10" s="73">
        <v>41760</v>
      </c>
      <c r="B10" s="55">
        <v>60.475000000000001</v>
      </c>
      <c r="C10" s="28">
        <v>103.71</v>
      </c>
      <c r="D10" s="74">
        <f t="shared" si="0"/>
        <v>6.2718622499999999</v>
      </c>
      <c r="E10" s="62"/>
      <c r="F10" s="29">
        <v>110.6</v>
      </c>
      <c r="G10" s="83">
        <f t="shared" si="1"/>
        <v>126.9135</v>
      </c>
      <c r="H10" s="45"/>
      <c r="I10" s="10">
        <v>205</v>
      </c>
      <c r="J10" s="67"/>
      <c r="K10" s="89">
        <f t="shared" si="2"/>
        <v>2.5938229112095135E-2</v>
      </c>
      <c r="L10" s="39"/>
      <c r="M10" s="37"/>
      <c r="N10" s="35"/>
      <c r="O10" s="35"/>
      <c r="P10" s="35"/>
    </row>
    <row r="11" spans="1:16" ht="15.75" x14ac:dyDescent="0.25">
      <c r="A11" s="73">
        <v>41791</v>
      </c>
      <c r="B11" s="55">
        <v>60.15</v>
      </c>
      <c r="C11" s="28">
        <v>106.18</v>
      </c>
      <c r="D11" s="74">
        <f t="shared" si="0"/>
        <v>6.3867269999999996</v>
      </c>
      <c r="E11" s="62"/>
      <c r="F11" s="29">
        <v>109.6</v>
      </c>
      <c r="G11" s="83">
        <f t="shared" si="1"/>
        <v>125.76599999999999</v>
      </c>
      <c r="H11" s="45"/>
      <c r="I11" s="10">
        <v>205</v>
      </c>
      <c r="J11" s="67"/>
      <c r="K11" s="89">
        <f t="shared" si="2"/>
        <v>1.7984916217649468E-2</v>
      </c>
      <c r="L11" s="39"/>
      <c r="M11" s="37"/>
      <c r="N11" s="35"/>
      <c r="O11" s="35"/>
      <c r="P11" s="35"/>
    </row>
    <row r="12" spans="1:16" ht="15.75" x14ac:dyDescent="0.25">
      <c r="A12" s="73">
        <v>41821</v>
      </c>
      <c r="B12" s="55">
        <v>60.4</v>
      </c>
      <c r="C12" s="28">
        <v>98.43</v>
      </c>
      <c r="D12" s="74">
        <f t="shared" si="0"/>
        <v>5.9451720000000003</v>
      </c>
      <c r="E12" s="62"/>
      <c r="F12" s="29">
        <v>112.6</v>
      </c>
      <c r="G12" s="83">
        <f t="shared" si="1"/>
        <v>129.20849999999999</v>
      </c>
      <c r="H12" s="45">
        <v>163.89</v>
      </c>
      <c r="I12" s="10">
        <v>205</v>
      </c>
      <c r="J12" s="67"/>
      <c r="K12" s="89">
        <f t="shared" ref="K12:K35" si="3">(B12*C12-B11*C11)/(B12*C12)</f>
        <v>-7.4271190135457701E-2</v>
      </c>
      <c r="L12" s="39"/>
      <c r="M12" s="37"/>
      <c r="N12" s="35"/>
      <c r="O12" s="35"/>
      <c r="P12" s="35"/>
    </row>
    <row r="13" spans="1:16" ht="15.75" x14ac:dyDescent="0.25">
      <c r="A13" s="73">
        <v>41852</v>
      </c>
      <c r="B13" s="55">
        <v>61.55</v>
      </c>
      <c r="C13" s="28">
        <v>98.15</v>
      </c>
      <c r="D13" s="74">
        <f t="shared" si="0"/>
        <v>6.0411324999999998</v>
      </c>
      <c r="E13" s="62"/>
      <c r="F13" s="29">
        <v>113.6</v>
      </c>
      <c r="G13" s="83">
        <f t="shared" si="1"/>
        <v>130.35599999999999</v>
      </c>
      <c r="H13" s="45">
        <v>163.89</v>
      </c>
      <c r="I13" s="10">
        <v>205</v>
      </c>
      <c r="J13" s="67"/>
      <c r="K13" s="89">
        <f t="shared" si="3"/>
        <v>1.5884521652190089E-2</v>
      </c>
      <c r="L13" s="39"/>
      <c r="M13" s="37"/>
      <c r="N13" s="35"/>
      <c r="O13" s="35"/>
      <c r="P13" s="35"/>
    </row>
    <row r="14" spans="1:16" ht="15.75" x14ac:dyDescent="0.25">
      <c r="A14" s="73">
        <v>41883</v>
      </c>
      <c r="B14" s="55">
        <v>61.375</v>
      </c>
      <c r="C14" s="28">
        <v>91.44</v>
      </c>
      <c r="D14" s="74">
        <f t="shared" si="0"/>
        <v>5.6121300000000005</v>
      </c>
      <c r="E14" s="62"/>
      <c r="F14" s="29">
        <v>113.6</v>
      </c>
      <c r="G14" s="83">
        <f t="shared" si="1"/>
        <v>130.35599999999999</v>
      </c>
      <c r="H14" s="45">
        <v>163.89</v>
      </c>
      <c r="I14" s="10">
        <v>205</v>
      </c>
      <c r="J14" s="67"/>
      <c r="K14" s="89">
        <f t="shared" si="3"/>
        <v>-7.644201043097712E-2</v>
      </c>
      <c r="L14" s="39"/>
      <c r="M14" s="37"/>
      <c r="N14" s="35"/>
      <c r="O14" s="35"/>
      <c r="P14" s="35"/>
    </row>
    <row r="15" spans="1:16" ht="15.75" x14ac:dyDescent="0.25">
      <c r="A15" s="73">
        <v>41913</v>
      </c>
      <c r="B15" s="55">
        <v>62.174999999999997</v>
      </c>
      <c r="C15" s="28">
        <v>80.930000000000007</v>
      </c>
      <c r="D15" s="74">
        <f t="shared" si="0"/>
        <v>5.0318227499999999</v>
      </c>
      <c r="E15" s="62"/>
      <c r="F15" s="29">
        <v>111.1</v>
      </c>
      <c r="G15" s="83">
        <f t="shared" si="1"/>
        <v>127.48725</v>
      </c>
      <c r="H15" s="45">
        <v>188</v>
      </c>
      <c r="I15" s="10">
        <v>205</v>
      </c>
      <c r="J15" s="67"/>
      <c r="K15" s="89">
        <f t="shared" si="3"/>
        <v>-0.11532744272440833</v>
      </c>
      <c r="L15" s="39"/>
      <c r="M15" s="37"/>
      <c r="N15" s="35"/>
      <c r="O15" s="35"/>
      <c r="P15" s="35"/>
    </row>
    <row r="16" spans="1:16" ht="15.75" x14ac:dyDescent="0.25">
      <c r="A16" s="73">
        <v>41944</v>
      </c>
      <c r="B16" s="55">
        <v>62.25</v>
      </c>
      <c r="C16" s="28">
        <v>66.67</v>
      </c>
      <c r="D16" s="74">
        <f t="shared" si="0"/>
        <v>4.1502075000000005</v>
      </c>
      <c r="E16" s="62"/>
      <c r="F16" s="29">
        <v>107.1</v>
      </c>
      <c r="G16" s="83">
        <f t="shared" si="1"/>
        <v>122.89725</v>
      </c>
      <c r="H16" s="45">
        <v>177.64</v>
      </c>
      <c r="I16" s="10">
        <v>205</v>
      </c>
      <c r="J16" s="67"/>
      <c r="K16" s="89">
        <f t="shared" si="3"/>
        <v>-0.21242678829913919</v>
      </c>
      <c r="L16" s="39"/>
      <c r="M16" s="37"/>
      <c r="N16" s="35"/>
      <c r="O16" s="35"/>
      <c r="P16" s="35"/>
    </row>
    <row r="17" spans="1:16" ht="15.75" x14ac:dyDescent="0.25">
      <c r="A17" s="73">
        <v>41974</v>
      </c>
      <c r="B17" s="55">
        <v>63.174999999999997</v>
      </c>
      <c r="C17" s="28">
        <v>54.31</v>
      </c>
      <c r="D17" s="74">
        <f t="shared" si="0"/>
        <v>3.4310342500000002</v>
      </c>
      <c r="E17" s="62"/>
      <c r="F17" s="26">
        <v>97</v>
      </c>
      <c r="G17" s="83">
        <f t="shared" si="1"/>
        <v>111.3075</v>
      </c>
      <c r="H17" s="45">
        <v>177.64</v>
      </c>
      <c r="I17" s="10">
        <v>205</v>
      </c>
      <c r="J17" s="67"/>
      <c r="K17" s="89">
        <f t="shared" si="3"/>
        <v>-0.20960829813925647</v>
      </c>
      <c r="L17" s="39"/>
      <c r="M17" s="37"/>
      <c r="N17" s="35"/>
      <c r="O17" s="35"/>
      <c r="P17" s="35"/>
    </row>
    <row r="18" spans="1:16" ht="15.75" x14ac:dyDescent="0.25">
      <c r="A18" s="73">
        <v>42005</v>
      </c>
      <c r="B18" s="55">
        <v>63.05</v>
      </c>
      <c r="C18" s="28">
        <v>48.79</v>
      </c>
      <c r="D18" s="74">
        <f t="shared" si="0"/>
        <v>3.0762095</v>
      </c>
      <c r="E18" s="62"/>
      <c r="F18" s="26">
        <v>84</v>
      </c>
      <c r="G18" s="83">
        <f t="shared" si="1"/>
        <v>96.39</v>
      </c>
      <c r="H18" s="45">
        <v>168.47</v>
      </c>
      <c r="I18" s="10">
        <v>205</v>
      </c>
      <c r="J18" s="67"/>
      <c r="K18" s="89">
        <f t="shared" si="3"/>
        <v>-0.11534479364945731</v>
      </c>
      <c r="L18" s="39"/>
      <c r="M18" s="37"/>
      <c r="N18" s="35"/>
      <c r="O18" s="35"/>
      <c r="P18" s="35"/>
    </row>
    <row r="19" spans="1:16" ht="15.75" x14ac:dyDescent="0.25">
      <c r="A19" s="73">
        <v>42036</v>
      </c>
      <c r="B19" s="55">
        <v>62.625</v>
      </c>
      <c r="C19" s="28">
        <v>50.69</v>
      </c>
      <c r="D19" s="74">
        <f t="shared" si="0"/>
        <v>3.1744612499999998</v>
      </c>
      <c r="E19" s="62"/>
      <c r="F19" s="26">
        <v>83.1</v>
      </c>
      <c r="G19" s="83">
        <f t="shared" si="1"/>
        <v>95.357249999999993</v>
      </c>
      <c r="H19" s="45">
        <v>168.47</v>
      </c>
      <c r="I19" s="10">
        <v>205</v>
      </c>
      <c r="J19" s="67"/>
      <c r="K19" s="89">
        <f t="shared" si="3"/>
        <v>3.0950684939058528E-2</v>
      </c>
      <c r="L19" s="39"/>
      <c r="M19" s="37"/>
      <c r="N19" s="35"/>
      <c r="O19" s="35"/>
      <c r="P19" s="35"/>
    </row>
    <row r="20" spans="1:16" ht="15.75" x14ac:dyDescent="0.25">
      <c r="A20" s="73">
        <v>42064</v>
      </c>
      <c r="B20" s="55">
        <v>62.9</v>
      </c>
      <c r="C20" s="28">
        <v>48.24</v>
      </c>
      <c r="D20" s="74">
        <f t="shared" ref="D20:D35" si="4">(B20*C20)/1000</f>
        <v>3.0342960000000003</v>
      </c>
      <c r="E20" s="74"/>
      <c r="F20" s="26">
        <v>101.11</v>
      </c>
      <c r="G20" s="83">
        <f t="shared" si="1"/>
        <v>116.023725</v>
      </c>
      <c r="H20" s="45">
        <v>168.47</v>
      </c>
      <c r="I20" s="10">
        <v>195</v>
      </c>
      <c r="J20" s="70"/>
      <c r="K20" s="89">
        <f t="shared" si="3"/>
        <v>-4.6193664032777138E-2</v>
      </c>
      <c r="L20" s="75"/>
      <c r="M20" s="37"/>
      <c r="N20" s="35"/>
      <c r="O20" s="35"/>
      <c r="P20" s="35"/>
    </row>
    <row r="21" spans="1:16" ht="15.75" x14ac:dyDescent="0.25">
      <c r="A21" s="64">
        <v>42095</v>
      </c>
      <c r="B21" s="68">
        <v>63.2</v>
      </c>
      <c r="C21" s="62">
        <v>60.16</v>
      </c>
      <c r="D21" s="62">
        <f t="shared" si="4"/>
        <v>3.8021120000000002</v>
      </c>
      <c r="E21" s="62"/>
      <c r="F21" s="26">
        <v>103</v>
      </c>
      <c r="G21" s="83">
        <f t="shared" si="1"/>
        <v>118.1925</v>
      </c>
      <c r="H21" s="45">
        <v>168.47</v>
      </c>
      <c r="I21" s="10">
        <v>195</v>
      </c>
      <c r="J21" s="67"/>
      <c r="K21" s="89">
        <f t="shared" si="3"/>
        <v>0.2019446034204147</v>
      </c>
      <c r="L21" s="39"/>
      <c r="M21" s="37"/>
      <c r="N21" s="35"/>
      <c r="O21" s="35"/>
      <c r="P21" s="35"/>
    </row>
    <row r="22" spans="1:16" ht="15.75" x14ac:dyDescent="0.25">
      <c r="A22" s="64">
        <v>42125</v>
      </c>
      <c r="B22" s="68">
        <v>64.349999999999994</v>
      </c>
      <c r="C22" s="62">
        <v>60.49</v>
      </c>
      <c r="D22" s="62">
        <f t="shared" si="4"/>
        <v>3.8925314999999996</v>
      </c>
      <c r="E22" s="62"/>
      <c r="F22" s="26">
        <v>105.6</v>
      </c>
      <c r="G22" s="83">
        <f t="shared" si="1"/>
        <v>121.176</v>
      </c>
      <c r="H22" s="45">
        <v>175.57</v>
      </c>
      <c r="I22" s="10">
        <v>205</v>
      </c>
      <c r="J22" s="67"/>
      <c r="K22" s="89">
        <f t="shared" si="3"/>
        <v>2.3228970658297699E-2</v>
      </c>
      <c r="L22" s="39"/>
      <c r="M22" s="37"/>
      <c r="N22" s="35"/>
      <c r="O22" s="35"/>
      <c r="P22" s="35"/>
    </row>
    <row r="23" spans="1:16" ht="15.75" x14ac:dyDescent="0.25">
      <c r="A23" s="64">
        <v>42156</v>
      </c>
      <c r="B23" s="68">
        <v>64.55</v>
      </c>
      <c r="C23" s="62">
        <v>59.48</v>
      </c>
      <c r="D23" s="62">
        <f t="shared" si="4"/>
        <v>3.8394339999999998</v>
      </c>
      <c r="E23" s="62"/>
      <c r="F23" s="26">
        <v>101.6</v>
      </c>
      <c r="G23" s="83">
        <f t="shared" si="1"/>
        <v>116.586</v>
      </c>
      <c r="H23" s="45">
        <v>175.57</v>
      </c>
      <c r="I23" s="10">
        <v>195</v>
      </c>
      <c r="J23" s="67"/>
      <c r="K23" s="89">
        <f t="shared" si="3"/>
        <v>-1.3829512370833789E-2</v>
      </c>
      <c r="L23" s="39"/>
      <c r="M23" s="37"/>
      <c r="N23" s="35"/>
      <c r="O23" s="35"/>
      <c r="P23" s="35"/>
    </row>
    <row r="24" spans="1:16" ht="15.75" x14ac:dyDescent="0.25">
      <c r="A24" s="64">
        <v>42186</v>
      </c>
      <c r="B24" s="68">
        <v>64.099999999999994</v>
      </c>
      <c r="C24" s="62">
        <v>47.11</v>
      </c>
      <c r="D24" s="62">
        <f t="shared" si="4"/>
        <v>3.0197509999999999</v>
      </c>
      <c r="E24" s="62"/>
      <c r="F24" s="26">
        <v>95</v>
      </c>
      <c r="G24" s="83">
        <f t="shared" si="1"/>
        <v>109.0125</v>
      </c>
      <c r="H24" s="45">
        <v>167.54</v>
      </c>
      <c r="I24" s="10">
        <v>195</v>
      </c>
      <c r="J24" s="67"/>
      <c r="K24" s="89">
        <f t="shared" si="3"/>
        <v>-0.27144059228724488</v>
      </c>
      <c r="L24" s="39"/>
      <c r="M24" s="37"/>
      <c r="N24" s="35"/>
      <c r="O24" s="35"/>
      <c r="P24" s="35"/>
    </row>
    <row r="25" spans="1:16" ht="15.75" x14ac:dyDescent="0.25">
      <c r="A25" s="64">
        <v>42217</v>
      </c>
      <c r="B25" s="68">
        <v>65.75</v>
      </c>
      <c r="C25" s="62">
        <v>45.63</v>
      </c>
      <c r="D25" s="62">
        <f t="shared" si="4"/>
        <v>3.0001725000000001</v>
      </c>
      <c r="E25" s="62"/>
      <c r="F25" s="26">
        <v>87</v>
      </c>
      <c r="G25" s="83">
        <f t="shared" si="1"/>
        <v>99.832499999999996</v>
      </c>
      <c r="H25" s="45">
        <v>167.57</v>
      </c>
      <c r="I25" s="10">
        <v>203</v>
      </c>
      <c r="J25" s="67"/>
      <c r="K25" s="89">
        <f t="shared" si="3"/>
        <v>-6.5257914336591047E-3</v>
      </c>
      <c r="L25" s="39"/>
      <c r="M25" s="37"/>
      <c r="N25" s="35"/>
      <c r="O25" s="35"/>
      <c r="P25" s="35"/>
    </row>
    <row r="26" spans="1:16" ht="15.75" x14ac:dyDescent="0.25">
      <c r="A26" s="64">
        <v>42248</v>
      </c>
      <c r="B26" s="68">
        <v>67.05</v>
      </c>
      <c r="C26" s="69">
        <v>45.05</v>
      </c>
      <c r="D26" s="62">
        <f t="shared" si="4"/>
        <v>3.0206024999999994</v>
      </c>
      <c r="E26" s="62"/>
      <c r="F26" s="26">
        <v>82.1</v>
      </c>
      <c r="G26" s="83">
        <f>((F26+(F26*12.5%))+(F26+(F26*12.5%))*2%)</f>
        <v>94.20975</v>
      </c>
      <c r="H26" s="45">
        <v>159.54</v>
      </c>
      <c r="I26" s="10">
        <v>203</v>
      </c>
      <c r="J26" s="67"/>
      <c r="K26" s="89">
        <f t="shared" si="3"/>
        <v>6.7635513113689684E-3</v>
      </c>
      <c r="L26" s="39"/>
      <c r="M26" s="37"/>
      <c r="N26" s="35"/>
      <c r="O26" s="35"/>
      <c r="P26" s="35"/>
    </row>
    <row r="27" spans="1:16" ht="15.75" x14ac:dyDescent="0.25">
      <c r="A27" s="64">
        <v>42278</v>
      </c>
      <c r="B27" s="68">
        <v>65.349999999999994</v>
      </c>
      <c r="C27" s="66">
        <v>46.3</v>
      </c>
      <c r="D27" s="62">
        <f t="shared" si="4"/>
        <v>3.0257049999999994</v>
      </c>
      <c r="E27" s="62"/>
      <c r="F27" s="26">
        <v>84</v>
      </c>
      <c r="G27" s="83">
        <f>((F27+(F27*12.5%))+(F27+(F27*12.5%))*2%)</f>
        <v>96.39</v>
      </c>
      <c r="H27" s="45">
        <v>158.36000000000001</v>
      </c>
      <c r="I27" s="10">
        <v>203</v>
      </c>
      <c r="J27" s="67"/>
      <c r="K27" s="89">
        <f t="shared" si="3"/>
        <v>1.6863838345112839E-3</v>
      </c>
      <c r="L27" s="39"/>
      <c r="M27" s="37"/>
      <c r="N27" s="35"/>
      <c r="O27" s="35"/>
      <c r="P27" s="35"/>
    </row>
    <row r="28" spans="1:16" ht="15.75" x14ac:dyDescent="0.25">
      <c r="A28" s="64">
        <v>42309</v>
      </c>
      <c r="B28" s="68">
        <v>66.7</v>
      </c>
      <c r="C28" s="70">
        <v>41.65</v>
      </c>
      <c r="D28" s="62">
        <f t="shared" si="4"/>
        <v>2.7780549999999997</v>
      </c>
      <c r="E28" s="62"/>
      <c r="F28" s="26">
        <v>78.099999999999994</v>
      </c>
      <c r="G28" s="83">
        <f>((F28+(F28*12.5%))+(F28+(F28*12.5%))*2%)</f>
        <v>89.619749999999996</v>
      </c>
      <c r="H28" s="45">
        <v>153.77000000000001</v>
      </c>
      <c r="I28" s="10">
        <v>177</v>
      </c>
      <c r="J28" s="67"/>
      <c r="K28" s="89">
        <f t="shared" si="3"/>
        <v>-8.9145103318688676E-2</v>
      </c>
      <c r="L28" s="39"/>
      <c r="M28" s="37"/>
      <c r="N28" s="35"/>
      <c r="O28" s="35"/>
      <c r="P28" s="35"/>
    </row>
    <row r="29" spans="1:16" ht="15.75" x14ac:dyDescent="0.25">
      <c r="A29" s="64">
        <v>42339</v>
      </c>
      <c r="B29" s="68">
        <v>67.2</v>
      </c>
      <c r="C29" s="66">
        <v>37.04</v>
      </c>
      <c r="D29" s="62">
        <f t="shared" si="4"/>
        <v>2.4890880000000002</v>
      </c>
      <c r="E29" s="62"/>
      <c r="F29" s="33">
        <v>79.86</v>
      </c>
      <c r="G29" s="88">
        <f>((F29+(F29*12.5%))+(F29+(F29*12.5%))*2%)</f>
        <v>91.639350000000007</v>
      </c>
      <c r="H29" s="4"/>
      <c r="I29" s="17">
        <v>170</v>
      </c>
      <c r="J29" s="71"/>
      <c r="K29" s="89">
        <f t="shared" si="3"/>
        <v>-0.11609352501799841</v>
      </c>
      <c r="L29" s="39"/>
      <c r="M29" s="38"/>
      <c r="N29" s="35"/>
      <c r="O29" s="35"/>
      <c r="P29" s="35"/>
    </row>
    <row r="30" spans="1:16" ht="15.75" x14ac:dyDescent="0.25">
      <c r="A30" s="64">
        <v>42370</v>
      </c>
      <c r="B30" s="68">
        <v>67.349999999999994</v>
      </c>
      <c r="C30" s="66">
        <v>33.619999999999997</v>
      </c>
      <c r="D30" s="62">
        <f t="shared" si="4"/>
        <v>2.2643069999999996</v>
      </c>
      <c r="E30" s="62"/>
      <c r="F30" s="67"/>
      <c r="G30" s="45">
        <v>153.77000000000001</v>
      </c>
      <c r="H30" s="46">
        <v>177</v>
      </c>
      <c r="I30" s="72"/>
      <c r="J30" s="71"/>
      <c r="K30" s="89">
        <f t="shared" si="3"/>
        <v>-9.9271432716500199E-2</v>
      </c>
      <c r="L30" s="39"/>
      <c r="M30" s="38"/>
      <c r="N30" s="35"/>
      <c r="O30" s="35"/>
      <c r="P30" s="35"/>
    </row>
    <row r="31" spans="1:16" ht="15.75" x14ac:dyDescent="0.25">
      <c r="A31" s="64">
        <v>42401</v>
      </c>
      <c r="B31" s="65">
        <v>68.95</v>
      </c>
      <c r="C31" s="66">
        <v>33.75</v>
      </c>
      <c r="D31" s="62">
        <f t="shared" si="4"/>
        <v>2.3270624999999998</v>
      </c>
      <c r="E31" s="62"/>
      <c r="F31" s="67"/>
      <c r="G31" s="47">
        <v>136</v>
      </c>
      <c r="I31" s="72"/>
      <c r="J31" s="71"/>
      <c r="K31" s="89">
        <f t="shared" si="3"/>
        <v>2.6967689952461616E-2</v>
      </c>
      <c r="L31" s="39"/>
      <c r="M31" s="38"/>
      <c r="N31" s="35"/>
      <c r="O31" s="35"/>
      <c r="P31" s="35"/>
    </row>
    <row r="32" spans="1:16" ht="15.75" x14ac:dyDescent="0.25">
      <c r="A32" s="64">
        <v>42430</v>
      </c>
      <c r="B32" s="65">
        <v>67.45</v>
      </c>
      <c r="C32" s="66">
        <v>38.340000000000003</v>
      </c>
      <c r="D32" s="62">
        <f t="shared" si="4"/>
        <v>2.5860330000000005</v>
      </c>
      <c r="E32" s="62"/>
      <c r="F32" s="67"/>
      <c r="G32" s="47">
        <v>126</v>
      </c>
      <c r="I32" s="72"/>
      <c r="J32" s="71"/>
      <c r="K32" s="89">
        <f t="shared" si="3"/>
        <v>0.10014199354764627</v>
      </c>
      <c r="L32" s="39"/>
      <c r="M32" s="38"/>
      <c r="N32" s="35"/>
      <c r="O32" s="35"/>
      <c r="P32" s="35"/>
    </row>
    <row r="33" spans="1:16" ht="15.75" x14ac:dyDescent="0.25">
      <c r="A33" s="64">
        <v>42461</v>
      </c>
      <c r="B33" s="68">
        <v>66.900000000000006</v>
      </c>
      <c r="C33" s="66">
        <v>45.92</v>
      </c>
      <c r="D33" s="62">
        <f t="shared" si="4"/>
        <v>3.0720480000000001</v>
      </c>
      <c r="E33" s="62"/>
      <c r="F33" s="67"/>
      <c r="G33" s="71"/>
      <c r="H33" s="71"/>
      <c r="I33" s="72"/>
      <c r="J33" s="71"/>
      <c r="K33" s="89">
        <f t="shared" si="3"/>
        <v>0.15820553585100228</v>
      </c>
      <c r="L33" s="39"/>
      <c r="M33" s="38"/>
      <c r="N33" s="35"/>
      <c r="O33" s="35"/>
      <c r="P33" s="35"/>
    </row>
    <row r="34" spans="1:16" ht="15.75" x14ac:dyDescent="0.25">
      <c r="A34" s="64">
        <v>42491</v>
      </c>
      <c r="B34" s="68">
        <v>68.05</v>
      </c>
      <c r="C34" s="66">
        <v>47.07</v>
      </c>
      <c r="D34" s="62">
        <f t="shared" si="4"/>
        <v>3.2031134999999997</v>
      </c>
      <c r="E34" s="62"/>
      <c r="F34" s="67"/>
      <c r="G34" s="71"/>
      <c r="I34" s="72"/>
      <c r="J34" s="71"/>
      <c r="K34" s="89">
        <f t="shared" si="3"/>
        <v>4.0918156662259925E-2</v>
      </c>
      <c r="L34" s="39"/>
      <c r="M34" s="38"/>
      <c r="N34" s="35"/>
      <c r="O34" s="35"/>
      <c r="P34" s="35"/>
    </row>
    <row r="35" spans="1:16" ht="15.75" x14ac:dyDescent="0.25">
      <c r="A35" s="61">
        <v>42537</v>
      </c>
      <c r="B35" s="67">
        <v>68</v>
      </c>
      <c r="C35" s="66">
        <v>48</v>
      </c>
      <c r="D35" s="66">
        <f t="shared" si="4"/>
        <v>3.2639999999999998</v>
      </c>
      <c r="E35" s="66"/>
      <c r="F35" s="67"/>
      <c r="G35" s="71"/>
      <c r="H35" s="71"/>
      <c r="I35" s="72"/>
      <c r="J35" s="71"/>
      <c r="K35" s="89">
        <f t="shared" si="3"/>
        <v>1.8653952205882375E-2</v>
      </c>
      <c r="L35" s="39"/>
      <c r="M35" s="38"/>
      <c r="N35" s="35"/>
      <c r="O35" s="35"/>
      <c r="P35" s="35"/>
    </row>
    <row r="36" spans="1:16" ht="15.75" x14ac:dyDescent="0.25">
      <c r="A36" s="61">
        <v>42567</v>
      </c>
      <c r="B36" s="67"/>
      <c r="C36" s="66"/>
      <c r="D36" s="66"/>
      <c r="E36" s="66"/>
      <c r="F36" s="67"/>
      <c r="G36" s="71"/>
      <c r="H36" s="71"/>
      <c r="I36" s="72"/>
      <c r="J36" s="71"/>
      <c r="K36" s="79"/>
      <c r="L36" s="39"/>
      <c r="M36" s="38"/>
      <c r="N36" s="35"/>
      <c r="O36" s="35"/>
      <c r="P36" s="35"/>
    </row>
    <row r="37" spans="1:16" ht="15.75" x14ac:dyDescent="0.25">
      <c r="A37" s="61">
        <v>42583</v>
      </c>
      <c r="B37" s="67"/>
      <c r="C37" s="72"/>
      <c r="D37" s="72"/>
      <c r="E37" s="72"/>
      <c r="F37" s="72"/>
      <c r="G37" s="72"/>
      <c r="H37" s="72"/>
      <c r="I37" s="72"/>
      <c r="J37" s="72"/>
      <c r="K37" s="80"/>
      <c r="P37" s="35" t="e">
        <f>(#REF!-#REF!)/#REF!</f>
        <v>#REF!</v>
      </c>
    </row>
    <row r="38" spans="1:16" ht="15.75" x14ac:dyDescent="0.25">
      <c r="A38" s="61">
        <v>42629</v>
      </c>
      <c r="B38" s="67"/>
      <c r="C38" s="72"/>
      <c r="D38" s="72"/>
      <c r="E38" s="72"/>
      <c r="F38" s="72"/>
      <c r="G38" s="72"/>
      <c r="H38" s="72"/>
      <c r="I38" s="72"/>
      <c r="J38" s="72"/>
      <c r="K38" s="80"/>
    </row>
    <row r="39" spans="1:16" ht="15.75" x14ac:dyDescent="0.25">
      <c r="A39" s="61">
        <v>42675</v>
      </c>
      <c r="B39" s="67"/>
      <c r="C39" s="72"/>
      <c r="D39" s="72"/>
      <c r="E39" s="72"/>
      <c r="F39" s="72"/>
      <c r="G39" s="72"/>
      <c r="H39" s="72"/>
      <c r="I39" s="72"/>
      <c r="J39" s="72"/>
      <c r="K39" s="80"/>
    </row>
    <row r="40" spans="1:16" ht="15.75" x14ac:dyDescent="0.25">
      <c r="A40" s="61">
        <v>42721</v>
      </c>
      <c r="B40" s="67"/>
      <c r="C40" s="72"/>
      <c r="D40" s="72"/>
      <c r="E40" s="72"/>
      <c r="F40" s="72"/>
      <c r="G40" s="72"/>
      <c r="H40" s="72"/>
      <c r="I40" s="72"/>
      <c r="J40" s="72"/>
      <c r="K40" s="80"/>
    </row>
    <row r="41" spans="1:16" ht="15.75" x14ac:dyDescent="0.25">
      <c r="A41" s="61">
        <v>42767</v>
      </c>
      <c r="B41" s="67"/>
      <c r="C41" s="72"/>
      <c r="D41" s="72"/>
      <c r="E41" s="72"/>
      <c r="F41" s="72"/>
      <c r="G41" s="72"/>
      <c r="H41" s="72"/>
      <c r="I41" s="72"/>
      <c r="J41" s="72"/>
      <c r="K41" s="80"/>
    </row>
    <row r="42" spans="1:16" ht="15.75" x14ac:dyDescent="0.25">
      <c r="A42" s="61">
        <v>42813</v>
      </c>
      <c r="B42" s="67"/>
      <c r="C42" s="72"/>
      <c r="D42" s="72"/>
      <c r="E42" s="72"/>
      <c r="F42" s="72"/>
      <c r="G42" s="72"/>
      <c r="H42" s="72"/>
      <c r="I42" s="72"/>
      <c r="J42" s="72"/>
      <c r="K42" s="80"/>
    </row>
    <row r="43" spans="1:16" x14ac:dyDescent="0.25">
      <c r="A43" s="58"/>
    </row>
    <row r="45" spans="1:16" x14ac:dyDescent="0.25">
      <c r="A45" t="s">
        <v>53</v>
      </c>
      <c r="J45" t="s">
        <v>50</v>
      </c>
      <c r="L45" s="41">
        <f>14/75*300</f>
        <v>56</v>
      </c>
    </row>
    <row r="46" spans="1:16" x14ac:dyDescent="0.25">
      <c r="J46" t="s">
        <v>52</v>
      </c>
      <c r="L46">
        <f>8%*98</f>
        <v>7.84</v>
      </c>
    </row>
    <row r="47" spans="1:16" x14ac:dyDescent="0.25">
      <c r="J47" t="s">
        <v>51</v>
      </c>
      <c r="L47" s="42">
        <f>L45*L46*1000</f>
        <v>439039.99999999994</v>
      </c>
    </row>
    <row r="50" spans="1:14" x14ac:dyDescent="0.25">
      <c r="A50" s="4" t="s">
        <v>58</v>
      </c>
      <c r="B50" s="7"/>
      <c r="C50" s="4"/>
      <c r="D50" s="4"/>
      <c r="E50" s="4"/>
      <c r="F50" s="4"/>
      <c r="G50" s="4"/>
      <c r="H50" s="4"/>
    </row>
    <row r="51" spans="1:14" x14ac:dyDescent="0.25">
      <c r="A51" s="4"/>
      <c r="B51" s="7"/>
      <c r="C51" s="4"/>
      <c r="D51" s="4"/>
      <c r="E51" s="4"/>
      <c r="F51" s="4"/>
      <c r="G51" s="4"/>
      <c r="H51" s="4"/>
    </row>
    <row r="52" spans="1:14" x14ac:dyDescent="0.25">
      <c r="A52" s="4" t="s">
        <v>59</v>
      </c>
      <c r="B52" s="7" t="s">
        <v>60</v>
      </c>
      <c r="C52" s="4" t="s">
        <v>71</v>
      </c>
      <c r="D52" s="4"/>
      <c r="E52" s="4"/>
      <c r="F52" s="4"/>
      <c r="G52" s="4"/>
      <c r="H52" s="4"/>
      <c r="I52" t="s">
        <v>64</v>
      </c>
    </row>
    <row r="53" spans="1:14" x14ac:dyDescent="0.25">
      <c r="A53" s="4">
        <v>30</v>
      </c>
      <c r="B53" s="7">
        <v>67</v>
      </c>
      <c r="C53" s="4">
        <f>A53*B53</f>
        <v>2010</v>
      </c>
      <c r="D53" s="4"/>
      <c r="E53" s="4"/>
      <c r="F53" s="4"/>
      <c r="G53" s="4"/>
      <c r="H53" s="4"/>
    </row>
    <row r="54" spans="1:14" x14ac:dyDescent="0.25">
      <c r="A54" s="4"/>
      <c r="B54" s="7"/>
      <c r="C54" s="4"/>
      <c r="D54" s="4"/>
      <c r="E54" s="4"/>
      <c r="F54" s="4"/>
      <c r="G54" s="4"/>
      <c r="H54" s="4"/>
    </row>
    <row r="55" spans="1:14" x14ac:dyDescent="0.25">
      <c r="A55" s="4">
        <v>30</v>
      </c>
      <c r="B55" s="7">
        <v>66</v>
      </c>
      <c r="C55" s="4">
        <f>A55*B55</f>
        <v>1980</v>
      </c>
      <c r="D55" s="4"/>
      <c r="E55" s="4"/>
      <c r="F55" s="4"/>
      <c r="G55" s="4"/>
      <c r="H55" s="4"/>
      <c r="N55" s="34"/>
    </row>
    <row r="56" spans="1:14" x14ac:dyDescent="0.25">
      <c r="A56" s="4"/>
      <c r="B56" s="7"/>
      <c r="C56" s="4"/>
      <c r="D56" s="4"/>
      <c r="E56" s="4"/>
      <c r="F56" s="4"/>
      <c r="G56" s="4"/>
      <c r="H56" s="4"/>
    </row>
    <row r="57" spans="1:14" x14ac:dyDescent="0.25">
      <c r="A57" s="4">
        <v>35</v>
      </c>
      <c r="B57" s="7">
        <v>68</v>
      </c>
      <c r="C57" s="4">
        <f>A57*B57</f>
        <v>2380</v>
      </c>
      <c r="D57" s="4"/>
      <c r="E57" s="4"/>
      <c r="F57" s="49">
        <f>(C57-C53)/C57</f>
        <v>0.15546218487394958</v>
      </c>
      <c r="G57" s="4"/>
      <c r="H57" s="4"/>
    </row>
    <row r="58" spans="1:14" x14ac:dyDescent="0.25">
      <c r="A58" s="4"/>
      <c r="B58" s="7"/>
      <c r="C58" s="4"/>
      <c r="D58" s="4"/>
      <c r="E58" s="4"/>
      <c r="F58" s="49"/>
      <c r="G58" s="4"/>
      <c r="H58" s="4"/>
    </row>
    <row r="59" spans="1:14" x14ac:dyDescent="0.25">
      <c r="A59" s="4">
        <v>40</v>
      </c>
      <c r="B59" s="7">
        <v>70</v>
      </c>
      <c r="C59" s="4">
        <f>A59*B59</f>
        <v>2800</v>
      </c>
      <c r="D59" s="4"/>
      <c r="E59" s="4"/>
      <c r="F59" s="49">
        <f>(C59-C53)/C53</f>
        <v>0.39303482587064675</v>
      </c>
      <c r="G59" s="4"/>
      <c r="H59" s="4"/>
    </row>
    <row r="60" spans="1:14" x14ac:dyDescent="0.25">
      <c r="A60" s="4"/>
      <c r="B60" s="7"/>
      <c r="C60" s="4"/>
      <c r="D60" s="4"/>
      <c r="E60" s="4"/>
      <c r="F60" s="4"/>
      <c r="G60" s="4"/>
      <c r="H60" s="4"/>
    </row>
    <row r="61" spans="1:14" x14ac:dyDescent="0.25">
      <c r="A61" s="4"/>
      <c r="B61" s="7"/>
      <c r="C61" s="4"/>
      <c r="D61" s="4"/>
      <c r="E61" s="4"/>
      <c r="F61" s="4" t="s">
        <v>65</v>
      </c>
      <c r="G61" s="4"/>
      <c r="H61" s="4"/>
    </row>
    <row r="62" spans="1:14" x14ac:dyDescent="0.25">
      <c r="A62" s="4"/>
      <c r="B62" s="7"/>
      <c r="C62" s="4"/>
      <c r="D62" s="4"/>
      <c r="E62" s="4"/>
      <c r="F62" s="4"/>
      <c r="G62" s="4"/>
      <c r="H62" s="4"/>
    </row>
    <row r="63" spans="1:14" x14ac:dyDescent="0.25">
      <c r="A63" s="4"/>
      <c r="B63" s="7"/>
      <c r="C63" s="4"/>
      <c r="D63" s="4"/>
      <c r="E63" s="4"/>
      <c r="F63" s="4" t="s">
        <v>66</v>
      </c>
      <c r="G63" s="4"/>
      <c r="H63" s="4"/>
    </row>
    <row r="64" spans="1:14" x14ac:dyDescent="0.25">
      <c r="A64" s="4"/>
      <c r="B64" s="7"/>
      <c r="C64" s="4"/>
      <c r="D64" s="4"/>
      <c r="E64" s="4"/>
      <c r="F64" s="4"/>
      <c r="G64" s="4"/>
      <c r="H64" s="4"/>
    </row>
    <row r="65" spans="1:8" x14ac:dyDescent="0.25">
      <c r="A65" s="4"/>
      <c r="B65" s="7"/>
      <c r="C65" s="4"/>
      <c r="D65" s="4"/>
      <c r="E65" s="4"/>
      <c r="F65" s="4" t="s">
        <v>67</v>
      </c>
      <c r="G65" s="4"/>
      <c r="H65" s="4"/>
    </row>
    <row r="66" spans="1:8" x14ac:dyDescent="0.25">
      <c r="A66" s="4"/>
      <c r="B66" s="7"/>
      <c r="C66" s="4"/>
      <c r="D66" s="4"/>
      <c r="E66" s="4"/>
      <c r="F66" s="4"/>
      <c r="G66" s="4"/>
      <c r="H66" s="4"/>
    </row>
    <row r="67" spans="1:8" x14ac:dyDescent="0.25">
      <c r="A67" s="4"/>
      <c r="B67" s="7"/>
      <c r="C67" s="4"/>
      <c r="D67" s="4"/>
      <c r="E67" s="4"/>
      <c r="F67" s="4" t="s">
        <v>68</v>
      </c>
      <c r="G67" s="4"/>
      <c r="H67" s="4"/>
    </row>
    <row r="68" spans="1:8" x14ac:dyDescent="0.25">
      <c r="G68" t="s">
        <v>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4"/>
  <sheetViews>
    <sheetView workbookViewId="0">
      <pane xSplit="1" ySplit="5" topLeftCell="B11" activePane="bottomRight" state="frozen"/>
      <selection pane="topRight" activeCell="D1" sqref="D1"/>
      <selection pane="bottomLeft" activeCell="A6" sqref="A6"/>
      <selection pane="bottomRight" activeCell="F16" sqref="F16"/>
    </sheetView>
  </sheetViews>
  <sheetFormatPr defaultRowHeight="15" x14ac:dyDescent="0.25"/>
  <cols>
    <col min="1" max="1" width="17.5703125" bestFit="1" customWidth="1"/>
    <col min="2" max="2" width="14.85546875" style="20" bestFit="1" customWidth="1"/>
    <col min="3" max="3" width="12.42578125" bestFit="1" customWidth="1"/>
    <col min="4" max="5" width="12.42578125" customWidth="1"/>
    <col min="6" max="6" width="18" customWidth="1"/>
    <col min="7" max="8" width="11.28515625" customWidth="1"/>
    <col min="9" max="10" width="14.28515625" customWidth="1"/>
    <col min="11" max="11" width="17.5703125" customWidth="1"/>
  </cols>
  <sheetData>
    <row r="3" spans="1:19" x14ac:dyDescent="0.25">
      <c r="A3" s="21"/>
      <c r="B3" s="22"/>
      <c r="C3" t="s">
        <v>110</v>
      </c>
    </row>
    <row r="5" spans="1:19" ht="78.75" x14ac:dyDescent="0.25">
      <c r="A5" s="59" t="s">
        <v>34</v>
      </c>
      <c r="B5" s="59" t="s">
        <v>45</v>
      </c>
      <c r="C5" s="59" t="s">
        <v>35</v>
      </c>
      <c r="D5" s="59" t="s">
        <v>80</v>
      </c>
      <c r="E5" s="59"/>
      <c r="F5" s="59" t="s">
        <v>108</v>
      </c>
      <c r="G5" s="109" t="s">
        <v>109</v>
      </c>
      <c r="H5" s="60" t="s">
        <v>82</v>
      </c>
      <c r="I5" s="60" t="s">
        <v>6</v>
      </c>
      <c r="J5" s="117"/>
      <c r="K5" s="36" t="s">
        <v>111</v>
      </c>
    </row>
    <row r="6" spans="1:19" ht="15.75" x14ac:dyDescent="0.25">
      <c r="A6" s="64">
        <v>42248</v>
      </c>
      <c r="B6" s="68">
        <v>67.05</v>
      </c>
      <c r="C6" s="69">
        <v>45.05</v>
      </c>
      <c r="D6" s="62">
        <f t="shared" ref="D6:D25" si="0">(B6*C6)/1000</f>
        <v>3.0206024999999994</v>
      </c>
      <c r="E6" s="62"/>
      <c r="F6" s="104">
        <v>98.43</v>
      </c>
      <c r="G6" s="111">
        <v>112.2</v>
      </c>
      <c r="H6" s="106"/>
      <c r="I6" s="67">
        <v>60</v>
      </c>
      <c r="J6" s="67"/>
      <c r="K6" s="10">
        <v>74.599999999999994</v>
      </c>
      <c r="L6" s="10">
        <v>74.099999999999994</v>
      </c>
      <c r="M6" s="10">
        <v>74.900000000000006</v>
      </c>
      <c r="N6" s="10">
        <v>75.66</v>
      </c>
      <c r="O6" s="10">
        <v>73.05</v>
      </c>
      <c r="P6" s="7"/>
      <c r="R6" s="114">
        <v>41730</v>
      </c>
      <c r="S6" s="115">
        <v>60.8</v>
      </c>
    </row>
    <row r="7" spans="1:19" ht="15.75" x14ac:dyDescent="0.25">
      <c r="A7" s="64">
        <v>42278</v>
      </c>
      <c r="B7" s="68">
        <v>65.349999999999994</v>
      </c>
      <c r="C7" s="66">
        <v>46.3</v>
      </c>
      <c r="D7" s="62">
        <f t="shared" si="0"/>
        <v>3.0257049999999994</v>
      </c>
      <c r="E7" s="62"/>
      <c r="F7" s="104">
        <v>101.43</v>
      </c>
      <c r="G7" s="111">
        <v>115.64</v>
      </c>
      <c r="H7" s="106"/>
      <c r="I7" s="67">
        <v>60</v>
      </c>
      <c r="J7" s="67"/>
      <c r="K7" s="10">
        <v>74.900000000000006</v>
      </c>
      <c r="L7" s="10">
        <v>74.349999999999994</v>
      </c>
      <c r="M7" s="10">
        <v>75.2</v>
      </c>
      <c r="N7" s="4">
        <v>76</v>
      </c>
      <c r="O7" s="17">
        <v>73.25</v>
      </c>
      <c r="P7" s="7"/>
      <c r="R7" s="114">
        <v>41760</v>
      </c>
      <c r="S7" s="115">
        <v>60.1</v>
      </c>
    </row>
    <row r="8" spans="1:19" ht="15.75" x14ac:dyDescent="0.25">
      <c r="A8" s="64">
        <v>42309</v>
      </c>
      <c r="B8" s="68">
        <v>66.7</v>
      </c>
      <c r="C8" s="70">
        <v>41.65</v>
      </c>
      <c r="D8" s="62">
        <f t="shared" si="0"/>
        <v>2.7780549999999997</v>
      </c>
      <c r="E8" s="62"/>
      <c r="F8" s="104">
        <v>98.49</v>
      </c>
      <c r="G8" s="111">
        <v>112.27</v>
      </c>
      <c r="H8" s="106"/>
      <c r="I8" s="67">
        <v>60</v>
      </c>
      <c r="J8" s="67"/>
      <c r="K8" s="10">
        <v>74.63</v>
      </c>
      <c r="L8" s="10">
        <v>74.099999999999994</v>
      </c>
      <c r="M8" s="10">
        <v>74.900000000000006</v>
      </c>
      <c r="N8" s="4">
        <v>75.67</v>
      </c>
      <c r="O8" s="4">
        <v>73.06</v>
      </c>
      <c r="P8" s="7"/>
      <c r="R8" s="114">
        <v>41791</v>
      </c>
      <c r="S8" s="115">
        <v>60.45</v>
      </c>
    </row>
    <row r="9" spans="1:19" ht="15.75" x14ac:dyDescent="0.25">
      <c r="A9" s="64">
        <v>42339</v>
      </c>
      <c r="B9" s="68">
        <v>67.2</v>
      </c>
      <c r="C9" s="66">
        <v>37.04</v>
      </c>
      <c r="D9" s="62">
        <f t="shared" si="0"/>
        <v>2.4890880000000002</v>
      </c>
      <c r="E9" s="62"/>
      <c r="F9" s="104">
        <v>93.49</v>
      </c>
      <c r="G9" s="111">
        <v>106.53</v>
      </c>
      <c r="H9" s="107"/>
      <c r="I9" s="67">
        <v>60</v>
      </c>
      <c r="J9" s="67"/>
      <c r="K9" s="10">
        <v>74.099999999999994</v>
      </c>
      <c r="L9" s="10">
        <v>73.63</v>
      </c>
      <c r="M9" s="10">
        <v>74.34</v>
      </c>
      <c r="N9" s="7">
        <v>75.02</v>
      </c>
      <c r="O9" s="7">
        <v>72.7</v>
      </c>
      <c r="P9" s="7">
        <v>78.31</v>
      </c>
      <c r="R9" s="114">
        <v>41821</v>
      </c>
      <c r="S9" s="115">
        <v>60.7</v>
      </c>
    </row>
    <row r="10" spans="1:19" ht="15.75" x14ac:dyDescent="0.25">
      <c r="A10" s="64">
        <v>42370</v>
      </c>
      <c r="B10" s="68">
        <v>67.349999999999994</v>
      </c>
      <c r="C10" s="66">
        <v>33.619999999999997</v>
      </c>
      <c r="D10" s="62">
        <f t="shared" si="0"/>
        <v>2.2643069999999996</v>
      </c>
      <c r="E10" s="62"/>
      <c r="F10" s="104">
        <v>91.49</v>
      </c>
      <c r="G10" s="111">
        <v>104.23</v>
      </c>
      <c r="H10" s="107"/>
      <c r="I10" s="67">
        <v>60</v>
      </c>
      <c r="J10" s="67"/>
      <c r="K10" s="10">
        <v>73.89</v>
      </c>
      <c r="L10" s="10">
        <v>73.45</v>
      </c>
      <c r="M10" s="10">
        <v>74.12</v>
      </c>
      <c r="N10" s="7">
        <v>74.77</v>
      </c>
      <c r="O10" s="7">
        <v>72.56</v>
      </c>
      <c r="P10" s="7">
        <v>78</v>
      </c>
      <c r="R10" s="114">
        <v>41852</v>
      </c>
      <c r="S10" s="115">
        <v>61.25</v>
      </c>
    </row>
    <row r="11" spans="1:19" ht="15.75" x14ac:dyDescent="0.25">
      <c r="A11" s="64">
        <v>42401</v>
      </c>
      <c r="B11" s="65">
        <v>68.95</v>
      </c>
      <c r="C11" s="66">
        <v>33.75</v>
      </c>
      <c r="D11" s="62">
        <f t="shared" si="0"/>
        <v>2.3270624999999998</v>
      </c>
      <c r="E11" s="62"/>
      <c r="F11" s="104">
        <v>94.49</v>
      </c>
      <c r="G11" s="111">
        <v>107.68</v>
      </c>
      <c r="H11" s="107"/>
      <c r="I11" s="67">
        <v>60</v>
      </c>
      <c r="J11" s="67"/>
      <c r="K11" s="10">
        <v>74.2</v>
      </c>
      <c r="L11" s="10">
        <v>73.75</v>
      </c>
      <c r="M11" s="10">
        <v>74.45</v>
      </c>
      <c r="N11" s="7">
        <v>75.150000000000006</v>
      </c>
      <c r="O11" s="7">
        <v>72.8</v>
      </c>
      <c r="P11" s="7">
        <v>78.45</v>
      </c>
      <c r="R11" s="114">
        <v>41883</v>
      </c>
      <c r="S11" s="115">
        <v>61.75</v>
      </c>
    </row>
    <row r="12" spans="1:19" ht="15.75" x14ac:dyDescent="0.25">
      <c r="A12" s="64">
        <v>42430</v>
      </c>
      <c r="B12" s="65">
        <v>67.45</v>
      </c>
      <c r="C12" s="66">
        <v>38.340000000000003</v>
      </c>
      <c r="D12" s="62">
        <f t="shared" si="0"/>
        <v>2.5860330000000005</v>
      </c>
      <c r="E12" s="62"/>
      <c r="F12" s="104">
        <v>100.49</v>
      </c>
      <c r="G12" s="111">
        <v>114.56</v>
      </c>
      <c r="H12" s="107"/>
      <c r="I12" s="67">
        <v>60</v>
      </c>
      <c r="J12" s="67"/>
      <c r="K12" s="10">
        <v>74.849999999999994</v>
      </c>
      <c r="L12" s="10">
        <v>74.3</v>
      </c>
      <c r="M12" s="10">
        <v>75.150000000000006</v>
      </c>
      <c r="N12" s="7">
        <v>75.95</v>
      </c>
      <c r="O12" s="7">
        <v>73.2</v>
      </c>
      <c r="P12" s="7">
        <v>79.349999999999994</v>
      </c>
      <c r="R12" s="114">
        <v>41913</v>
      </c>
      <c r="S12" s="115">
        <v>62.05</v>
      </c>
    </row>
    <row r="13" spans="1:19" ht="15.75" x14ac:dyDescent="0.25">
      <c r="A13" s="64">
        <v>42461</v>
      </c>
      <c r="B13" s="68">
        <v>66.900000000000006</v>
      </c>
      <c r="C13" s="66">
        <v>45.92</v>
      </c>
      <c r="D13" s="62">
        <f t="shared" si="0"/>
        <v>3.0720480000000001</v>
      </c>
      <c r="E13" s="62"/>
      <c r="F13" s="104">
        <v>106.49</v>
      </c>
      <c r="G13" s="111">
        <v>121.45</v>
      </c>
      <c r="H13" s="107"/>
      <c r="I13" s="67">
        <v>60</v>
      </c>
      <c r="J13" s="67"/>
      <c r="K13" s="10">
        <v>75.48</v>
      </c>
      <c r="L13" s="10">
        <v>74.87</v>
      </c>
      <c r="M13" s="10">
        <v>75.8</v>
      </c>
      <c r="N13" s="4">
        <v>76.7</v>
      </c>
      <c r="O13" s="4">
        <v>73.64</v>
      </c>
      <c r="P13" s="7">
        <v>80.23</v>
      </c>
      <c r="R13" s="114">
        <v>41944</v>
      </c>
      <c r="S13" s="115">
        <v>62.6</v>
      </c>
    </row>
    <row r="14" spans="1:19" ht="15.75" x14ac:dyDescent="0.25">
      <c r="A14" s="64">
        <v>42491</v>
      </c>
      <c r="B14" s="68">
        <v>68.05</v>
      </c>
      <c r="C14" s="66">
        <v>47.07</v>
      </c>
      <c r="D14" s="62">
        <f t="shared" si="0"/>
        <v>3.2031134999999997</v>
      </c>
      <c r="E14" s="62"/>
      <c r="F14" s="104">
        <v>102.49</v>
      </c>
      <c r="G14" s="111">
        <v>116.86</v>
      </c>
      <c r="I14" s="67">
        <v>60</v>
      </c>
      <c r="J14" s="67"/>
      <c r="K14" s="10">
        <v>75.05</v>
      </c>
      <c r="L14" s="10">
        <v>74.5</v>
      </c>
      <c r="M14" s="10">
        <v>75.349999999999994</v>
      </c>
      <c r="N14" s="4">
        <v>76.2</v>
      </c>
      <c r="O14" s="4">
        <v>73.349999999999994</v>
      </c>
      <c r="P14" s="7">
        <v>79.650000000000006</v>
      </c>
      <c r="R14" s="114">
        <v>41974</v>
      </c>
      <c r="S14" s="115">
        <v>63.85</v>
      </c>
    </row>
    <row r="15" spans="1:19" ht="15.75" x14ac:dyDescent="0.25">
      <c r="A15" s="61">
        <v>42537</v>
      </c>
      <c r="B15" s="67">
        <v>68.2</v>
      </c>
      <c r="C15" s="66">
        <v>48</v>
      </c>
      <c r="D15" s="66">
        <f t="shared" si="0"/>
        <v>3.2736000000000005</v>
      </c>
      <c r="E15" s="66"/>
      <c r="F15" s="104">
        <v>100.49</v>
      </c>
      <c r="G15" s="111">
        <v>114.56</v>
      </c>
      <c r="H15" s="107"/>
      <c r="I15" s="67">
        <v>60</v>
      </c>
      <c r="J15" s="67"/>
      <c r="K15" s="10">
        <v>74.849999999999994</v>
      </c>
      <c r="L15" s="10">
        <v>74.3</v>
      </c>
      <c r="M15" s="10">
        <v>75.150000000000006</v>
      </c>
      <c r="N15" s="4">
        <v>75.95</v>
      </c>
      <c r="O15" s="4">
        <v>73.2</v>
      </c>
      <c r="P15" s="7">
        <v>79.349999999999994</v>
      </c>
      <c r="R15" s="114">
        <v>42005</v>
      </c>
      <c r="S15" s="115">
        <v>62.3</v>
      </c>
    </row>
    <row r="16" spans="1:19" ht="15.75" x14ac:dyDescent="0.25">
      <c r="A16" s="61">
        <v>42567</v>
      </c>
      <c r="B16" s="67">
        <v>67.75</v>
      </c>
      <c r="C16" s="66">
        <v>47</v>
      </c>
      <c r="D16" s="66">
        <f t="shared" si="0"/>
        <v>3.18425</v>
      </c>
      <c r="E16" s="66"/>
      <c r="F16" s="104">
        <v>103.82</v>
      </c>
      <c r="G16" s="111">
        <v>118.38</v>
      </c>
      <c r="H16" s="107"/>
      <c r="I16" s="67">
        <v>60</v>
      </c>
      <c r="J16" s="67"/>
      <c r="K16" s="10">
        <v>75.2</v>
      </c>
      <c r="L16" s="10">
        <v>74.599999999999994</v>
      </c>
      <c r="M16" s="10">
        <v>75.5</v>
      </c>
      <c r="N16" s="4">
        <v>76.349999999999994</v>
      </c>
      <c r="O16" s="4">
        <v>73.45</v>
      </c>
      <c r="P16" s="7">
        <v>79.849999999999994</v>
      </c>
      <c r="R16" s="114">
        <v>42036</v>
      </c>
      <c r="S16" s="115">
        <v>62.8</v>
      </c>
    </row>
    <row r="17" spans="1:19" ht="15.75" x14ac:dyDescent="0.25">
      <c r="A17" s="61">
        <v>42583</v>
      </c>
      <c r="B17" s="67">
        <v>67.180000000000007</v>
      </c>
      <c r="C17" s="67">
        <v>47</v>
      </c>
      <c r="D17" s="66">
        <f t="shared" si="0"/>
        <v>3.1574600000000004</v>
      </c>
      <c r="E17" s="72"/>
      <c r="F17" s="104">
        <v>105.32</v>
      </c>
      <c r="G17" s="111">
        <v>120.1</v>
      </c>
      <c r="H17" s="107"/>
      <c r="I17" s="67">
        <v>60</v>
      </c>
      <c r="J17" s="67"/>
      <c r="K17" s="10">
        <v>75.349999999999994</v>
      </c>
      <c r="L17" s="10">
        <v>74.739999999999995</v>
      </c>
      <c r="M17" s="10">
        <v>75.650000000000006</v>
      </c>
      <c r="N17" s="4">
        <v>76.55</v>
      </c>
      <c r="O17" s="4">
        <v>73.55</v>
      </c>
      <c r="P17" s="7">
        <v>80.05</v>
      </c>
      <c r="R17" s="114">
        <v>42064</v>
      </c>
      <c r="S17" s="115">
        <v>63</v>
      </c>
    </row>
    <row r="18" spans="1:19" ht="15.75" x14ac:dyDescent="0.25">
      <c r="A18" s="61">
        <v>42629</v>
      </c>
      <c r="B18" s="67">
        <v>67.75</v>
      </c>
      <c r="C18" s="67">
        <v>46</v>
      </c>
      <c r="D18" s="67">
        <f t="shared" si="0"/>
        <v>3.1164999999999998</v>
      </c>
      <c r="E18" s="72"/>
      <c r="F18" s="104">
        <v>105.32</v>
      </c>
      <c r="G18" s="111">
        <v>120.1</v>
      </c>
      <c r="H18" s="108"/>
      <c r="I18" s="67">
        <v>60</v>
      </c>
      <c r="J18" s="67"/>
      <c r="K18" s="10">
        <v>75.349999999999994</v>
      </c>
      <c r="L18" s="10">
        <v>74.739999999999995</v>
      </c>
      <c r="M18" s="10">
        <v>75.650000000000006</v>
      </c>
      <c r="N18" s="4">
        <v>76.55</v>
      </c>
      <c r="O18" s="4">
        <v>73.55</v>
      </c>
      <c r="P18" s="7">
        <v>80.05</v>
      </c>
      <c r="R18" s="114">
        <v>42095</v>
      </c>
      <c r="S18" s="115">
        <v>62.95</v>
      </c>
    </row>
    <row r="19" spans="1:19" ht="15.75" x14ac:dyDescent="0.25">
      <c r="A19" s="73">
        <v>42644</v>
      </c>
      <c r="B19" s="70">
        <v>67.900000000000006</v>
      </c>
      <c r="C19" s="70">
        <v>48</v>
      </c>
      <c r="D19" s="67">
        <f t="shared" si="0"/>
        <v>3.2592000000000003</v>
      </c>
      <c r="E19" s="72"/>
      <c r="F19" s="104">
        <v>104.52</v>
      </c>
      <c r="G19" s="111">
        <v>119.19</v>
      </c>
      <c r="H19" s="108"/>
      <c r="I19" s="67">
        <v>60</v>
      </c>
      <c r="J19" s="67"/>
      <c r="K19" s="10">
        <v>75.349999999999994</v>
      </c>
      <c r="L19" s="10">
        <v>74.739999999999995</v>
      </c>
      <c r="M19" s="10">
        <v>75.650000000000006</v>
      </c>
      <c r="N19" s="4">
        <v>76.55</v>
      </c>
      <c r="O19" s="4">
        <v>73.55</v>
      </c>
      <c r="P19" s="7">
        <v>80.05</v>
      </c>
      <c r="R19" s="114">
        <v>42125</v>
      </c>
      <c r="S19" s="115">
        <v>64.349999999999994</v>
      </c>
    </row>
    <row r="20" spans="1:19" ht="15.75" x14ac:dyDescent="0.25">
      <c r="A20" s="61">
        <v>42675</v>
      </c>
      <c r="B20" s="67">
        <v>68.88</v>
      </c>
      <c r="C20" s="67">
        <v>46.82</v>
      </c>
      <c r="D20" s="67">
        <f t="shared" si="0"/>
        <v>3.2249615999999994</v>
      </c>
      <c r="E20" s="72"/>
      <c r="F20" s="105">
        <v>107.36</v>
      </c>
      <c r="G20" s="111">
        <v>122.45</v>
      </c>
      <c r="H20" s="108"/>
      <c r="I20" s="67">
        <v>60</v>
      </c>
      <c r="J20" s="67"/>
      <c r="K20" s="10">
        <v>75.349999999999994</v>
      </c>
      <c r="L20" s="10">
        <v>74.739999999999995</v>
      </c>
      <c r="M20" s="10">
        <v>75.650000000000006</v>
      </c>
      <c r="N20" s="4">
        <v>76.55</v>
      </c>
      <c r="O20" s="4">
        <v>73.55</v>
      </c>
      <c r="P20" s="7">
        <v>80.05</v>
      </c>
      <c r="R20" s="114">
        <v>42156</v>
      </c>
      <c r="S20" s="115">
        <v>65.55</v>
      </c>
    </row>
    <row r="21" spans="1:19" ht="15.75" x14ac:dyDescent="0.25">
      <c r="A21" s="61">
        <v>42721</v>
      </c>
      <c r="B21" s="67">
        <v>68.650000000000006</v>
      </c>
      <c r="C21" s="67">
        <v>59</v>
      </c>
      <c r="D21" s="67">
        <f t="shared" si="0"/>
        <v>4.0503500000000008</v>
      </c>
      <c r="E21" s="72"/>
      <c r="F21" s="105">
        <v>108.23</v>
      </c>
      <c r="G21" s="111">
        <v>123.44</v>
      </c>
      <c r="H21" s="108"/>
      <c r="I21" s="67">
        <v>60</v>
      </c>
      <c r="J21" s="67"/>
      <c r="K21" s="10"/>
      <c r="L21" s="10"/>
      <c r="M21" s="10"/>
      <c r="N21" s="4"/>
      <c r="O21" s="4"/>
      <c r="P21" s="7"/>
      <c r="R21" s="114">
        <v>42186</v>
      </c>
      <c r="S21" s="115">
        <v>64.099999999999994</v>
      </c>
    </row>
    <row r="22" spans="1:19" ht="15.75" x14ac:dyDescent="0.25">
      <c r="A22" s="61">
        <v>42736</v>
      </c>
      <c r="B22" s="67">
        <v>69.099999999999994</v>
      </c>
      <c r="C22" s="67">
        <v>52.97</v>
      </c>
      <c r="D22" s="67">
        <f t="shared" si="0"/>
        <v>3.6602269999999995</v>
      </c>
      <c r="E22" s="72"/>
      <c r="F22" s="105">
        <v>108.23</v>
      </c>
      <c r="G22" s="111">
        <v>123.44</v>
      </c>
      <c r="H22" s="108"/>
      <c r="I22" s="72"/>
      <c r="J22" s="72"/>
      <c r="K22" s="10"/>
      <c r="L22" s="10"/>
      <c r="M22" s="10"/>
      <c r="N22" s="4"/>
      <c r="O22" s="4"/>
      <c r="P22" s="7"/>
      <c r="R22" s="114">
        <v>42217</v>
      </c>
      <c r="S22" s="115">
        <v>65.75</v>
      </c>
    </row>
    <row r="23" spans="1:19" ht="15.75" x14ac:dyDescent="0.25">
      <c r="A23" s="61">
        <v>42767</v>
      </c>
      <c r="B23" s="67">
        <v>67</v>
      </c>
      <c r="C23" s="67">
        <v>53.47</v>
      </c>
      <c r="D23" s="67">
        <f t="shared" si="0"/>
        <v>3.58249</v>
      </c>
      <c r="E23" s="72"/>
      <c r="F23" s="12">
        <v>109</v>
      </c>
      <c r="G23" s="110"/>
      <c r="H23" s="72"/>
      <c r="I23" s="72"/>
      <c r="J23" s="72"/>
      <c r="K23" s="10"/>
      <c r="L23" s="10"/>
      <c r="M23" s="10"/>
      <c r="N23" s="4"/>
      <c r="O23" s="4"/>
      <c r="P23" s="7"/>
      <c r="R23" s="114">
        <v>42248</v>
      </c>
      <c r="S23" s="116">
        <v>67.05</v>
      </c>
    </row>
    <row r="24" spans="1:19" ht="15.75" x14ac:dyDescent="0.25">
      <c r="A24" s="61">
        <v>42795</v>
      </c>
      <c r="B24" s="121">
        <v>65.5</v>
      </c>
      <c r="C24" s="67">
        <v>49.72</v>
      </c>
      <c r="D24" s="67">
        <f t="shared" si="0"/>
        <v>3.2566599999999997</v>
      </c>
      <c r="E24" s="4"/>
      <c r="F24" s="12">
        <v>114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R24" s="114">
        <v>42278</v>
      </c>
      <c r="S24" s="116">
        <v>65.349999999999994</v>
      </c>
    </row>
    <row r="25" spans="1:19" ht="15.75" x14ac:dyDescent="0.25">
      <c r="A25" s="61">
        <v>42826</v>
      </c>
      <c r="B25" s="121">
        <v>64.5</v>
      </c>
      <c r="C25" s="121">
        <v>51.47</v>
      </c>
      <c r="D25" s="67">
        <f t="shared" si="0"/>
        <v>3.3198150000000002</v>
      </c>
      <c r="E25" s="4"/>
      <c r="F25" s="12">
        <v>112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R25" s="114">
        <v>42309</v>
      </c>
      <c r="S25" s="115">
        <v>66.7</v>
      </c>
    </row>
    <row r="26" spans="1:19" ht="15.75" x14ac:dyDescent="0.25">
      <c r="A26" s="125">
        <v>42856</v>
      </c>
      <c r="R26" s="114">
        <v>42339</v>
      </c>
      <c r="S26" s="115">
        <v>67.2</v>
      </c>
    </row>
    <row r="27" spans="1:19" ht="15.75" x14ac:dyDescent="0.25">
      <c r="A27" s="61">
        <v>42887</v>
      </c>
      <c r="R27" s="114">
        <v>42370</v>
      </c>
      <c r="S27" s="115">
        <v>68.400000000000006</v>
      </c>
    </row>
    <row r="28" spans="1:19" ht="15.75" x14ac:dyDescent="0.25">
      <c r="A28" s="61">
        <v>42917</v>
      </c>
      <c r="R28" s="114">
        <v>42401</v>
      </c>
      <c r="S28" s="115">
        <v>67.900000000000006</v>
      </c>
    </row>
    <row r="29" spans="1:19" ht="15.75" x14ac:dyDescent="0.25">
      <c r="A29" s="61">
        <v>42948</v>
      </c>
      <c r="R29" s="114">
        <v>42430</v>
      </c>
      <c r="S29" s="115">
        <v>67.45</v>
      </c>
    </row>
    <row r="30" spans="1:19" ht="15.75" x14ac:dyDescent="0.25">
      <c r="A30" s="61">
        <v>42979</v>
      </c>
      <c r="R30" s="113">
        <v>42461</v>
      </c>
      <c r="S30" s="115">
        <v>66.900000000000006</v>
      </c>
    </row>
    <row r="31" spans="1:19" x14ac:dyDescent="0.25">
      <c r="R31" s="113">
        <v>42491</v>
      </c>
      <c r="S31" s="115">
        <v>68.05</v>
      </c>
    </row>
    <row r="32" spans="1:19" x14ac:dyDescent="0.25">
      <c r="R32" s="113">
        <v>42522</v>
      </c>
      <c r="S32" s="115">
        <v>68.05</v>
      </c>
    </row>
    <row r="33" spans="1:19" x14ac:dyDescent="0.25">
      <c r="R33" s="113">
        <v>42552</v>
      </c>
      <c r="S33" s="115">
        <v>68.150000000000006</v>
      </c>
    </row>
    <row r="34" spans="1:19" x14ac:dyDescent="0.25">
      <c r="R34" s="113">
        <v>42583</v>
      </c>
      <c r="S34" s="115">
        <v>67.75</v>
      </c>
    </row>
    <row r="35" spans="1:19" x14ac:dyDescent="0.25">
      <c r="A35" t="s">
        <v>53</v>
      </c>
      <c r="R35" s="113">
        <v>42614</v>
      </c>
      <c r="S35" s="115">
        <v>67.75</v>
      </c>
    </row>
    <row r="36" spans="1:19" x14ac:dyDescent="0.25">
      <c r="A36" s="4" t="s">
        <v>58</v>
      </c>
      <c r="B36" s="7"/>
      <c r="C36" s="4"/>
      <c r="D36" s="4"/>
      <c r="E36" s="4"/>
      <c r="F36" s="4"/>
      <c r="G36" s="4"/>
      <c r="H36" s="4"/>
      <c r="I36" s="4"/>
      <c r="J36" s="2"/>
      <c r="R36" s="113">
        <v>42644</v>
      </c>
      <c r="S36" s="115">
        <v>67.55</v>
      </c>
    </row>
    <row r="37" spans="1:19" x14ac:dyDescent="0.25">
      <c r="A37" s="4"/>
      <c r="B37" s="7"/>
      <c r="C37" s="4"/>
      <c r="D37" s="4"/>
      <c r="E37" s="4"/>
      <c r="F37" s="4"/>
      <c r="G37" s="4"/>
      <c r="H37" s="4"/>
      <c r="I37" s="4" t="s">
        <v>70</v>
      </c>
      <c r="J37" s="2"/>
      <c r="R37" s="113">
        <v>42675</v>
      </c>
      <c r="S37" s="115">
        <v>68.8</v>
      </c>
    </row>
    <row r="38" spans="1:19" x14ac:dyDescent="0.25">
      <c r="A38" s="4" t="s">
        <v>59</v>
      </c>
      <c r="B38" s="7" t="s">
        <v>60</v>
      </c>
      <c r="C38" s="4" t="s">
        <v>71</v>
      </c>
      <c r="D38" s="4"/>
      <c r="E38" s="4"/>
      <c r="F38" s="4"/>
      <c r="G38" s="4"/>
      <c r="H38" s="4"/>
      <c r="I38" s="4" t="s">
        <v>62</v>
      </c>
      <c r="J38" s="2"/>
      <c r="R38" s="113">
        <v>42705</v>
      </c>
      <c r="S38" s="115">
        <v>68.650000000000006</v>
      </c>
    </row>
    <row r="39" spans="1:19" x14ac:dyDescent="0.25">
      <c r="A39" s="4">
        <v>30</v>
      </c>
      <c r="B39" s="7">
        <v>67</v>
      </c>
      <c r="C39" s="4">
        <f>A39*B39</f>
        <v>2010</v>
      </c>
      <c r="D39" s="4"/>
      <c r="E39" s="4"/>
      <c r="F39" s="4"/>
      <c r="G39" s="4"/>
      <c r="H39" s="4"/>
      <c r="I39" s="4"/>
      <c r="J39" s="2"/>
      <c r="R39" s="113">
        <v>42736</v>
      </c>
      <c r="S39" s="116">
        <v>69.099999999999994</v>
      </c>
    </row>
    <row r="40" spans="1:19" x14ac:dyDescent="0.25">
      <c r="A40" s="4"/>
      <c r="B40" s="7"/>
      <c r="C40" s="4"/>
      <c r="D40" s="4"/>
      <c r="E40" s="4"/>
      <c r="F40" s="4"/>
      <c r="G40" s="4"/>
      <c r="H40" s="4"/>
      <c r="I40" s="4"/>
      <c r="J40" s="2"/>
      <c r="R40" s="113">
        <v>42767</v>
      </c>
      <c r="S40" s="115"/>
    </row>
    <row r="41" spans="1:19" x14ac:dyDescent="0.25">
      <c r="A41" s="4">
        <v>30</v>
      </c>
      <c r="B41" s="7">
        <v>66</v>
      </c>
      <c r="C41" s="4">
        <f>A41*B41</f>
        <v>1980</v>
      </c>
      <c r="D41" s="4"/>
      <c r="E41" s="4"/>
      <c r="F41" s="4"/>
      <c r="G41" s="4"/>
      <c r="H41" s="4"/>
      <c r="I41" s="4"/>
      <c r="J41" s="2"/>
      <c r="R41" s="113">
        <v>42795</v>
      </c>
      <c r="S41" s="115"/>
    </row>
    <row r="42" spans="1:19" x14ac:dyDescent="0.25">
      <c r="A42" s="4"/>
      <c r="B42" s="7"/>
      <c r="C42" s="4"/>
      <c r="D42" s="4"/>
      <c r="E42" s="4"/>
      <c r="F42" s="4"/>
      <c r="G42" s="4"/>
      <c r="H42" s="4"/>
      <c r="I42" s="4"/>
      <c r="J42" s="2"/>
      <c r="R42" s="113">
        <v>42826</v>
      </c>
      <c r="S42" s="115"/>
    </row>
    <row r="43" spans="1:19" x14ac:dyDescent="0.25">
      <c r="A43" s="4">
        <v>35</v>
      </c>
      <c r="B43" s="7">
        <v>68</v>
      </c>
      <c r="C43" s="4">
        <f>A43*B43</f>
        <v>2380</v>
      </c>
      <c r="D43" s="4"/>
      <c r="E43" s="4"/>
      <c r="F43" s="49">
        <f>(C43-C39)/C43</f>
        <v>0.15546218487394958</v>
      </c>
      <c r="G43" s="4"/>
      <c r="H43" s="4"/>
      <c r="I43" s="50">
        <v>0.35</v>
      </c>
      <c r="J43" s="118"/>
      <c r="R43" s="113">
        <v>42856</v>
      </c>
      <c r="S43" s="115"/>
    </row>
    <row r="44" spans="1:19" x14ac:dyDescent="0.25">
      <c r="A44" s="4"/>
      <c r="B44" s="7"/>
      <c r="C44" s="4"/>
      <c r="D44" s="4"/>
      <c r="E44" s="4"/>
      <c r="F44" s="49"/>
      <c r="G44" s="4"/>
      <c r="H44" s="4"/>
      <c r="I44" s="4"/>
      <c r="J44" s="2"/>
      <c r="R44" s="113">
        <v>42887</v>
      </c>
      <c r="S44" s="112"/>
    </row>
    <row r="45" spans="1:19" x14ac:dyDescent="0.25">
      <c r="A45" s="4">
        <v>40</v>
      </c>
      <c r="B45" s="7">
        <v>70</v>
      </c>
      <c r="C45" s="4">
        <f>A45*B45</f>
        <v>2800</v>
      </c>
      <c r="D45" s="4"/>
      <c r="E45" s="4"/>
      <c r="F45" s="49">
        <f>(C45-C39)/C39</f>
        <v>0.39303482587064675</v>
      </c>
      <c r="G45" s="4"/>
      <c r="H45" s="4"/>
      <c r="I45" s="50">
        <v>0.35</v>
      </c>
      <c r="J45" s="118"/>
    </row>
    <row r="46" spans="1:19" x14ac:dyDescent="0.25">
      <c r="A46" s="4"/>
      <c r="B46" s="7"/>
      <c r="C46" s="4"/>
      <c r="D46" s="4"/>
      <c r="E46" s="4"/>
      <c r="F46" s="4"/>
      <c r="G46" s="4"/>
      <c r="H46" s="4"/>
      <c r="I46" s="4"/>
      <c r="J46" s="2"/>
    </row>
    <row r="47" spans="1:19" x14ac:dyDescent="0.25">
      <c r="A47" s="4"/>
      <c r="B47" s="7"/>
      <c r="C47" s="4"/>
      <c r="D47" s="4"/>
      <c r="E47" s="4"/>
      <c r="F47" s="4" t="s">
        <v>65</v>
      </c>
      <c r="G47" s="4"/>
      <c r="H47" s="4"/>
      <c r="I47" s="51">
        <f>I43*F43</f>
        <v>5.4411764705882354E-2</v>
      </c>
      <c r="J47" s="119"/>
    </row>
    <row r="48" spans="1:19" x14ac:dyDescent="0.25">
      <c r="A48" s="4"/>
      <c r="B48" s="7"/>
      <c r="C48" s="4"/>
      <c r="D48" s="4"/>
      <c r="E48" s="4"/>
      <c r="F48" s="4"/>
      <c r="G48" s="4"/>
      <c r="H48" s="4"/>
      <c r="I48" s="4"/>
      <c r="J48" s="2"/>
    </row>
    <row r="49" spans="1:10" x14ac:dyDescent="0.25">
      <c r="A49" s="4"/>
      <c r="B49" s="7"/>
      <c r="C49" s="4"/>
      <c r="D49" s="4"/>
      <c r="E49" s="4"/>
      <c r="F49" s="4" t="s">
        <v>66</v>
      </c>
      <c r="G49" s="4"/>
      <c r="H49" s="4"/>
      <c r="I49" s="51">
        <f>I45*F45</f>
        <v>0.13756218905472636</v>
      </c>
      <c r="J49" s="119"/>
    </row>
    <row r="50" spans="1:10" x14ac:dyDescent="0.25">
      <c r="A50" s="4"/>
      <c r="B50" s="7"/>
      <c r="C50" s="4"/>
      <c r="D50" s="4"/>
      <c r="E50" s="4"/>
      <c r="F50" s="4"/>
      <c r="G50" s="4"/>
      <c r="H50" s="4"/>
      <c r="I50" s="4"/>
      <c r="J50" s="2"/>
    </row>
    <row r="51" spans="1:10" x14ac:dyDescent="0.25">
      <c r="A51" s="4"/>
      <c r="B51" s="7"/>
      <c r="C51" s="4"/>
      <c r="D51" s="4"/>
      <c r="E51" s="4"/>
      <c r="F51" s="4" t="s">
        <v>67</v>
      </c>
      <c r="G51" s="4"/>
      <c r="H51" s="4"/>
      <c r="I51" s="51">
        <f>AVERAGE(I47:I49)</f>
        <v>9.5986976880304359E-2</v>
      </c>
      <c r="J51" s="119"/>
    </row>
    <row r="52" spans="1:10" x14ac:dyDescent="0.25">
      <c r="A52" s="4"/>
      <c r="B52" s="7"/>
      <c r="C52" s="4"/>
      <c r="D52" s="4"/>
      <c r="E52" s="4"/>
      <c r="F52" s="4"/>
      <c r="G52" s="4"/>
      <c r="H52" s="4"/>
      <c r="I52" s="4"/>
      <c r="J52" s="2"/>
    </row>
    <row r="53" spans="1:10" x14ac:dyDescent="0.25">
      <c r="A53" s="4"/>
      <c r="B53" s="7"/>
      <c r="C53" s="4"/>
      <c r="D53" s="4"/>
      <c r="E53" s="4"/>
      <c r="F53" s="4" t="s">
        <v>68</v>
      </c>
      <c r="G53" s="4"/>
      <c r="H53" s="4"/>
      <c r="I53" s="50">
        <v>0.08</v>
      </c>
      <c r="J53" s="118"/>
    </row>
    <row r="54" spans="1:10" x14ac:dyDescent="0.25">
      <c r="G54" t="s">
        <v>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N38" sqref="N38"/>
    </sheetView>
  </sheetViews>
  <sheetFormatPr defaultRowHeight="15" x14ac:dyDescent="0.25"/>
  <cols>
    <col min="1" max="1" width="10.42578125" bestFit="1" customWidth="1"/>
  </cols>
  <sheetData>
    <row r="2" spans="1:14" ht="47.25" x14ac:dyDescent="0.25">
      <c r="A2" s="59" t="s">
        <v>34</v>
      </c>
      <c r="B2" s="59" t="s">
        <v>45</v>
      </c>
      <c r="G2" s="90">
        <v>42675</v>
      </c>
      <c r="H2" s="90">
        <v>42705</v>
      </c>
      <c r="J2" s="90">
        <v>42736</v>
      </c>
      <c r="L2" s="90">
        <v>42767</v>
      </c>
      <c r="M2" s="90">
        <v>42795</v>
      </c>
      <c r="N2" s="90">
        <v>42826</v>
      </c>
    </row>
    <row r="3" spans="1:14" x14ac:dyDescent="0.25">
      <c r="A3" s="92">
        <v>42369</v>
      </c>
      <c r="B3">
        <v>37.28</v>
      </c>
      <c r="F3">
        <v>1</v>
      </c>
      <c r="G3">
        <v>48.68</v>
      </c>
      <c r="H3">
        <v>53.13</v>
      </c>
      <c r="J3">
        <v>53.9</v>
      </c>
      <c r="K3" t="s">
        <v>112</v>
      </c>
      <c r="L3">
        <v>53.04</v>
      </c>
      <c r="M3">
        <v>53.93</v>
      </c>
      <c r="N3">
        <v>50.81</v>
      </c>
    </row>
    <row r="4" spans="1:14" x14ac:dyDescent="0.25">
      <c r="A4" s="92">
        <v>42400</v>
      </c>
      <c r="B4">
        <v>34.24</v>
      </c>
      <c r="F4">
        <v>2</v>
      </c>
      <c r="G4">
        <v>46.66</v>
      </c>
      <c r="H4">
        <v>53.08</v>
      </c>
      <c r="J4">
        <v>53.9</v>
      </c>
      <c r="K4" t="s">
        <v>113</v>
      </c>
      <c r="L4">
        <v>53.79</v>
      </c>
      <c r="M4">
        <v>52.9</v>
      </c>
      <c r="N4">
        <v>50.81</v>
      </c>
    </row>
    <row r="5" spans="1:14" x14ac:dyDescent="0.25">
      <c r="A5" s="92">
        <v>42429</v>
      </c>
      <c r="B5">
        <v>35.97</v>
      </c>
      <c r="F5">
        <v>3</v>
      </c>
      <c r="G5">
        <v>46.28</v>
      </c>
      <c r="H5">
        <v>54.03</v>
      </c>
      <c r="J5">
        <v>54.14</v>
      </c>
      <c r="K5" t="s">
        <v>114</v>
      </c>
      <c r="L5">
        <v>53.12</v>
      </c>
      <c r="M5">
        <v>53.19</v>
      </c>
      <c r="N5">
        <v>50.27</v>
      </c>
    </row>
    <row r="6" spans="1:14" x14ac:dyDescent="0.25">
      <c r="A6" s="92">
        <v>42460</v>
      </c>
      <c r="B6">
        <v>39.6</v>
      </c>
      <c r="F6">
        <v>4</v>
      </c>
      <c r="G6">
        <v>45.58</v>
      </c>
      <c r="H6">
        <v>54.03</v>
      </c>
      <c r="J6">
        <v>53.9</v>
      </c>
      <c r="K6" t="s">
        <v>115</v>
      </c>
      <c r="L6">
        <v>53.86</v>
      </c>
      <c r="M6">
        <v>53.19</v>
      </c>
      <c r="N6">
        <v>50.63</v>
      </c>
    </row>
    <row r="7" spans="1:14" x14ac:dyDescent="0.25">
      <c r="A7" s="92">
        <v>42489</v>
      </c>
      <c r="B7">
        <v>48.13</v>
      </c>
      <c r="F7">
        <v>5</v>
      </c>
      <c r="G7">
        <v>45.56</v>
      </c>
      <c r="H7">
        <v>53.92</v>
      </c>
      <c r="J7">
        <v>53.7</v>
      </c>
      <c r="K7" t="s">
        <v>116</v>
      </c>
      <c r="L7">
        <v>53.86</v>
      </c>
      <c r="M7">
        <v>53.19</v>
      </c>
      <c r="N7">
        <v>51.27</v>
      </c>
    </row>
    <row r="8" spans="1:14" x14ac:dyDescent="0.25">
      <c r="A8" s="92">
        <v>42521</v>
      </c>
      <c r="B8">
        <v>49.69</v>
      </c>
      <c r="F8">
        <v>6</v>
      </c>
      <c r="G8" s="93">
        <v>45.56</v>
      </c>
      <c r="H8">
        <v>53.7</v>
      </c>
      <c r="J8">
        <v>54.14</v>
      </c>
      <c r="K8" t="s">
        <v>117</v>
      </c>
      <c r="L8">
        <v>53.23</v>
      </c>
      <c r="M8">
        <v>53.21</v>
      </c>
      <c r="N8">
        <v>51.61</v>
      </c>
    </row>
    <row r="9" spans="1:14" x14ac:dyDescent="0.25">
      <c r="A9" s="92">
        <v>42551</v>
      </c>
      <c r="B9">
        <v>49.69</v>
      </c>
      <c r="F9">
        <v>7</v>
      </c>
      <c r="G9">
        <v>46.27</v>
      </c>
      <c r="H9">
        <v>53.58</v>
      </c>
      <c r="J9">
        <v>53.78</v>
      </c>
      <c r="K9" t="s">
        <v>118</v>
      </c>
      <c r="L9">
        <v>51.99</v>
      </c>
      <c r="M9">
        <v>53.33</v>
      </c>
      <c r="N9">
        <v>52.14</v>
      </c>
    </row>
    <row r="10" spans="1:14" x14ac:dyDescent="0.25">
      <c r="A10" s="92">
        <v>42580</v>
      </c>
      <c r="B10">
        <v>42.46</v>
      </c>
      <c r="F10">
        <v>8</v>
      </c>
      <c r="G10">
        <v>46.39</v>
      </c>
      <c r="H10">
        <v>53.41</v>
      </c>
      <c r="J10">
        <v>53.78</v>
      </c>
      <c r="K10" t="s">
        <v>112</v>
      </c>
      <c r="L10">
        <v>52.44</v>
      </c>
      <c r="M10">
        <v>51.13</v>
      </c>
      <c r="N10">
        <v>52.21</v>
      </c>
    </row>
    <row r="11" spans="1:14" x14ac:dyDescent="0.25">
      <c r="A11" s="92">
        <v>42613</v>
      </c>
      <c r="B11">
        <v>47.04</v>
      </c>
      <c r="F11">
        <v>9</v>
      </c>
      <c r="G11">
        <v>46.35</v>
      </c>
      <c r="H11">
        <v>54.1</v>
      </c>
      <c r="J11">
        <v>52.68</v>
      </c>
      <c r="K11" t="s">
        <v>113</v>
      </c>
      <c r="L11">
        <v>52.91</v>
      </c>
      <c r="M11">
        <v>48.84</v>
      </c>
      <c r="N11">
        <v>52.21</v>
      </c>
    </row>
    <row r="12" spans="1:14" x14ac:dyDescent="0.25">
      <c r="A12" s="92">
        <v>42643</v>
      </c>
      <c r="B12">
        <v>49.06</v>
      </c>
      <c r="F12">
        <v>10</v>
      </c>
      <c r="G12">
        <v>45.79</v>
      </c>
      <c r="H12">
        <v>54.35</v>
      </c>
      <c r="J12">
        <v>52.02</v>
      </c>
      <c r="K12" t="s">
        <v>114</v>
      </c>
      <c r="L12">
        <v>53.16</v>
      </c>
      <c r="M12">
        <v>48.4</v>
      </c>
      <c r="N12">
        <v>52.79</v>
      </c>
    </row>
    <row r="13" spans="1:14" x14ac:dyDescent="0.25">
      <c r="A13" s="92">
        <v>42674</v>
      </c>
      <c r="B13">
        <v>48.4</v>
      </c>
      <c r="F13">
        <v>11</v>
      </c>
      <c r="G13">
        <v>44.43</v>
      </c>
      <c r="H13">
        <v>54.35</v>
      </c>
      <c r="J13">
        <v>52.12</v>
      </c>
      <c r="K13" t="s">
        <v>115</v>
      </c>
      <c r="L13">
        <v>53.16</v>
      </c>
      <c r="M13">
        <v>48.4</v>
      </c>
    </row>
    <row r="14" spans="1:14" x14ac:dyDescent="0.25">
      <c r="A14" s="92">
        <v>42704</v>
      </c>
      <c r="B14">
        <v>50.47</v>
      </c>
      <c r="F14">
        <v>12</v>
      </c>
      <c r="G14">
        <v>44.56</v>
      </c>
      <c r="H14">
        <v>56.3</v>
      </c>
      <c r="J14">
        <v>53.04</v>
      </c>
      <c r="K14" t="s">
        <v>116</v>
      </c>
      <c r="L14">
        <v>53.16</v>
      </c>
      <c r="M14">
        <v>48.4</v>
      </c>
    </row>
    <row r="15" spans="1:14" x14ac:dyDescent="0.25">
      <c r="A15" s="92">
        <v>42717</v>
      </c>
      <c r="B15">
        <v>55.65</v>
      </c>
      <c r="F15">
        <v>13</v>
      </c>
      <c r="G15">
        <v>44.55</v>
      </c>
      <c r="H15">
        <v>55.99</v>
      </c>
      <c r="J15">
        <v>52.59</v>
      </c>
      <c r="K15" t="s">
        <v>117</v>
      </c>
      <c r="L15">
        <v>52.93</v>
      </c>
      <c r="M15">
        <v>48.36</v>
      </c>
    </row>
    <row r="16" spans="1:14" x14ac:dyDescent="0.25">
      <c r="F16">
        <v>14</v>
      </c>
      <c r="G16">
        <v>44.28</v>
      </c>
      <c r="H16">
        <v>55.3</v>
      </c>
      <c r="J16">
        <v>52.51</v>
      </c>
      <c r="K16" t="s">
        <v>118</v>
      </c>
      <c r="L16">
        <v>53.43</v>
      </c>
      <c r="M16">
        <v>47.72</v>
      </c>
    </row>
    <row r="17" spans="6:15" x14ac:dyDescent="0.25">
      <c r="F17">
        <v>15</v>
      </c>
      <c r="G17">
        <v>46.12</v>
      </c>
      <c r="H17">
        <v>51.58</v>
      </c>
      <c r="J17">
        <v>52.51</v>
      </c>
      <c r="K17" t="s">
        <v>112</v>
      </c>
      <c r="L17">
        <v>52.99</v>
      </c>
      <c r="M17">
        <v>48.85</v>
      </c>
    </row>
    <row r="18" spans="6:15" x14ac:dyDescent="0.25">
      <c r="F18">
        <v>16</v>
      </c>
      <c r="G18">
        <v>47.2</v>
      </c>
      <c r="H18">
        <v>53.72</v>
      </c>
      <c r="I18">
        <f>AVERAGE(H3:H17)</f>
        <v>54.056666666666665</v>
      </c>
      <c r="J18">
        <v>52.19</v>
      </c>
      <c r="K18" t="s">
        <v>113</v>
      </c>
      <c r="L18">
        <v>53.44</v>
      </c>
      <c r="M18">
        <v>48.72</v>
      </c>
    </row>
    <row r="19" spans="6:15" x14ac:dyDescent="0.25">
      <c r="F19">
        <v>17</v>
      </c>
      <c r="G19">
        <v>46.98</v>
      </c>
      <c r="H19">
        <v>52.05</v>
      </c>
      <c r="J19">
        <v>53.19</v>
      </c>
      <c r="K19" t="s">
        <v>114</v>
      </c>
      <c r="L19">
        <v>53.2</v>
      </c>
      <c r="M19">
        <v>48.75</v>
      </c>
    </row>
    <row r="20" spans="6:15" x14ac:dyDescent="0.25">
      <c r="F20">
        <v>18</v>
      </c>
      <c r="G20">
        <v>46.56</v>
      </c>
      <c r="H20">
        <v>53.05</v>
      </c>
      <c r="J20">
        <v>51.36</v>
      </c>
      <c r="K20" t="s">
        <v>115</v>
      </c>
      <c r="L20">
        <v>53.38</v>
      </c>
      <c r="M20">
        <v>48.75</v>
      </c>
    </row>
    <row r="21" spans="6:15" x14ac:dyDescent="0.25">
      <c r="F21">
        <v>19</v>
      </c>
      <c r="G21" s="93">
        <v>46.56</v>
      </c>
      <c r="H21">
        <v>53.23</v>
      </c>
      <c r="J21">
        <v>51.67</v>
      </c>
      <c r="K21" t="s">
        <v>116</v>
      </c>
      <c r="L21">
        <v>53.38</v>
      </c>
      <c r="M21">
        <v>48.75</v>
      </c>
    </row>
    <row r="22" spans="6:15" x14ac:dyDescent="0.25">
      <c r="F22">
        <v>20</v>
      </c>
      <c r="G22" s="93">
        <v>46.56</v>
      </c>
      <c r="H22">
        <v>53.2</v>
      </c>
      <c r="J22">
        <v>52.8</v>
      </c>
      <c r="K22" t="s">
        <v>117</v>
      </c>
      <c r="L22">
        <v>53.99</v>
      </c>
      <c r="M22">
        <v>48.5</v>
      </c>
    </row>
    <row r="23" spans="6:15" x14ac:dyDescent="0.25">
      <c r="F23">
        <v>21</v>
      </c>
      <c r="G23">
        <v>48.55</v>
      </c>
      <c r="H23">
        <v>52.67</v>
      </c>
      <c r="J23">
        <v>53.19</v>
      </c>
      <c r="K23" t="s">
        <v>118</v>
      </c>
      <c r="L23">
        <v>54.65</v>
      </c>
      <c r="M23">
        <v>48.76</v>
      </c>
    </row>
    <row r="24" spans="6:15" x14ac:dyDescent="0.25">
      <c r="F24">
        <v>22</v>
      </c>
      <c r="G24">
        <v>48.27</v>
      </c>
      <c r="H24">
        <v>52.86</v>
      </c>
      <c r="J24">
        <v>52.26</v>
      </c>
      <c r="K24" t="s">
        <v>112</v>
      </c>
      <c r="L24">
        <v>53.57</v>
      </c>
      <c r="M24">
        <v>47.64</v>
      </c>
    </row>
    <row r="25" spans="6:15" x14ac:dyDescent="0.25">
      <c r="F25">
        <v>23</v>
      </c>
      <c r="G25">
        <v>49.2</v>
      </c>
      <c r="H25">
        <v>52.86</v>
      </c>
      <c r="J25">
        <v>52.56</v>
      </c>
      <c r="K25" t="s">
        <v>113</v>
      </c>
      <c r="L25">
        <v>54.42</v>
      </c>
      <c r="M25">
        <v>47.72</v>
      </c>
    </row>
    <row r="26" spans="6:15" x14ac:dyDescent="0.25">
      <c r="F26">
        <v>24</v>
      </c>
      <c r="G26">
        <v>48.88</v>
      </c>
      <c r="H26">
        <v>52.86</v>
      </c>
      <c r="J26">
        <v>53.17</v>
      </c>
      <c r="K26" t="s">
        <v>114</v>
      </c>
      <c r="L26">
        <v>54</v>
      </c>
      <c r="M26">
        <v>47.88</v>
      </c>
    </row>
    <row r="27" spans="6:15" x14ac:dyDescent="0.25">
      <c r="F27">
        <v>25</v>
      </c>
      <c r="G27">
        <v>47.09</v>
      </c>
      <c r="H27">
        <v>52.86</v>
      </c>
      <c r="J27">
        <v>52.8</v>
      </c>
      <c r="K27" t="s">
        <v>115</v>
      </c>
      <c r="L27">
        <v>54</v>
      </c>
      <c r="M27">
        <v>48</v>
      </c>
    </row>
    <row r="28" spans="6:15" x14ac:dyDescent="0.25">
      <c r="F28">
        <v>26</v>
      </c>
      <c r="G28" s="93">
        <v>47.09</v>
      </c>
      <c r="H28">
        <v>52.86</v>
      </c>
      <c r="J28">
        <v>53.09</v>
      </c>
      <c r="K28" t="s">
        <v>116</v>
      </c>
      <c r="L28">
        <v>54.16</v>
      </c>
      <c r="M28">
        <v>48</v>
      </c>
    </row>
    <row r="29" spans="6:15" x14ac:dyDescent="0.25">
      <c r="F29">
        <v>27</v>
      </c>
      <c r="G29" s="93">
        <v>47.09</v>
      </c>
      <c r="H29">
        <v>53.09</v>
      </c>
      <c r="J29">
        <v>52.84</v>
      </c>
      <c r="K29" t="s">
        <v>117</v>
      </c>
      <c r="L29">
        <v>53.96</v>
      </c>
      <c r="M29">
        <v>47.26</v>
      </c>
    </row>
    <row r="30" spans="6:15" x14ac:dyDescent="0.25">
      <c r="F30">
        <v>28</v>
      </c>
      <c r="G30">
        <v>49.23</v>
      </c>
      <c r="H30">
        <v>54.14</v>
      </c>
      <c r="J30">
        <v>52.84</v>
      </c>
      <c r="K30" t="s">
        <v>118</v>
      </c>
      <c r="L30">
        <v>53.96</v>
      </c>
      <c r="M30">
        <v>49.67</v>
      </c>
    </row>
    <row r="31" spans="6:15" x14ac:dyDescent="0.25">
      <c r="F31">
        <v>29</v>
      </c>
      <c r="G31">
        <v>47.48</v>
      </c>
      <c r="H31">
        <v>53.71</v>
      </c>
      <c r="J31">
        <v>52.84</v>
      </c>
      <c r="K31" t="s">
        <v>112</v>
      </c>
      <c r="M31">
        <v>49.67</v>
      </c>
    </row>
    <row r="32" spans="6:15" x14ac:dyDescent="0.25">
      <c r="F32">
        <v>30</v>
      </c>
      <c r="G32">
        <v>50.8</v>
      </c>
      <c r="H32">
        <v>53.68</v>
      </c>
      <c r="J32">
        <v>52.84</v>
      </c>
      <c r="K32" t="s">
        <v>113</v>
      </c>
      <c r="M32">
        <v>50.15</v>
      </c>
      <c r="O32">
        <v>50</v>
      </c>
    </row>
    <row r="33" spans="6:14" x14ac:dyDescent="0.25">
      <c r="F33">
        <v>31</v>
      </c>
      <c r="H33">
        <v>53.9</v>
      </c>
      <c r="J33">
        <v>52.79</v>
      </c>
      <c r="K33" t="s">
        <v>114</v>
      </c>
      <c r="M33">
        <v>50.15</v>
      </c>
    </row>
    <row r="34" spans="6:14" x14ac:dyDescent="0.25">
      <c r="G34" s="5">
        <f>AVERAGE(G3:G32)</f>
        <v>46.819999999999986</v>
      </c>
      <c r="H34" s="5">
        <f>AVERAGE(H3:H33)</f>
        <v>53.599677419354826</v>
      </c>
      <c r="J34" s="5">
        <f>AVERAGE(J3:J33)</f>
        <v>52.939999999999991</v>
      </c>
      <c r="L34" s="5">
        <f>AVERAGE(L3:L33)</f>
        <v>53.470714285714287</v>
      </c>
      <c r="M34" s="5">
        <f>AVERAGE(M3:M33)</f>
        <v>49.722903225806469</v>
      </c>
      <c r="N34" s="5">
        <f>AVERAGE(N3:N33)</f>
        <v>51.475000000000001</v>
      </c>
    </row>
    <row r="35" spans="6:14" x14ac:dyDescent="0.25">
      <c r="G35">
        <f>AVERAGE(G3:G32)</f>
        <v>46.819999999999986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31"/>
  <sheetViews>
    <sheetView workbookViewId="0">
      <selection activeCell="G30" sqref="G30"/>
    </sheetView>
  </sheetViews>
  <sheetFormatPr defaultRowHeight="15" x14ac:dyDescent="0.25"/>
  <cols>
    <col min="11" max="11" width="9.5703125" bestFit="1" customWidth="1"/>
  </cols>
  <sheetData>
    <row r="6" spans="6:19" x14ac:dyDescent="0.25">
      <c r="F6" s="4" t="s">
        <v>94</v>
      </c>
      <c r="G6" s="123" t="s">
        <v>95</v>
      </c>
      <c r="H6" s="123"/>
      <c r="I6" s="123"/>
      <c r="J6" s="123"/>
      <c r="K6" s="123"/>
      <c r="L6" s="123"/>
      <c r="M6" s="98"/>
      <c r="N6" s="123" t="s">
        <v>96</v>
      </c>
      <c r="O6" s="124"/>
      <c r="P6" s="124"/>
      <c r="Q6" s="124"/>
      <c r="R6" s="7"/>
      <c r="S6" s="7"/>
    </row>
    <row r="7" spans="6:19" x14ac:dyDescent="0.25">
      <c r="F7" s="100" t="s">
        <v>97</v>
      </c>
      <c r="G7" s="101" t="s">
        <v>13</v>
      </c>
      <c r="H7" s="101" t="s">
        <v>3</v>
      </c>
      <c r="I7" s="101" t="s">
        <v>98</v>
      </c>
      <c r="J7" s="101" t="s">
        <v>99</v>
      </c>
      <c r="K7" s="101" t="s">
        <v>4</v>
      </c>
      <c r="L7" s="102" t="s">
        <v>100</v>
      </c>
      <c r="M7" s="101" t="s">
        <v>101</v>
      </c>
      <c r="N7" s="7" t="s">
        <v>102</v>
      </c>
      <c r="O7" s="7" t="s">
        <v>103</v>
      </c>
      <c r="P7" s="101" t="s">
        <v>104</v>
      </c>
      <c r="Q7" s="101" t="s">
        <v>105</v>
      </c>
      <c r="R7" s="7" t="s">
        <v>106</v>
      </c>
      <c r="S7" s="33" t="s">
        <v>107</v>
      </c>
    </row>
    <row r="8" spans="6:19" x14ac:dyDescent="0.25">
      <c r="F8" s="4"/>
      <c r="G8" s="7"/>
      <c r="H8" s="9">
        <v>0.125</v>
      </c>
      <c r="I8" s="7"/>
      <c r="J8" s="7"/>
      <c r="K8" s="8">
        <v>0.02</v>
      </c>
      <c r="L8" s="7"/>
      <c r="M8" s="7"/>
      <c r="N8" s="7"/>
      <c r="O8" s="7"/>
      <c r="P8" s="7"/>
      <c r="Q8" s="7"/>
      <c r="R8" s="7"/>
      <c r="S8" s="7"/>
    </row>
    <row r="9" spans="6:19" x14ac:dyDescent="0.25">
      <c r="F9" s="4"/>
      <c r="G9" s="7">
        <v>112.65</v>
      </c>
      <c r="H9" s="7">
        <f>G9*$H$8</f>
        <v>14.081250000000001</v>
      </c>
      <c r="I9" s="7">
        <v>0.35</v>
      </c>
      <c r="J9" s="7">
        <v>1.1000000000000001</v>
      </c>
      <c r="K9" s="7">
        <f>(G9+H9)*$K$8</f>
        <v>2.5346250000000001</v>
      </c>
      <c r="L9" s="10">
        <f t="shared" ref="L9:L25" si="0">G9+H9+I9-J9+K9</f>
        <v>128.51587499999999</v>
      </c>
      <c r="M9" s="7"/>
      <c r="N9" s="7">
        <v>76.13</v>
      </c>
      <c r="O9" s="7">
        <v>75.45</v>
      </c>
      <c r="P9" s="7">
        <v>76.489999999999995</v>
      </c>
      <c r="Q9" s="7">
        <v>77.5</v>
      </c>
      <c r="R9" s="7">
        <v>74.08</v>
      </c>
      <c r="S9" s="7"/>
    </row>
    <row r="10" spans="6:19" x14ac:dyDescent="0.25">
      <c r="F10" s="4"/>
      <c r="G10" s="7">
        <v>102.85</v>
      </c>
      <c r="H10" s="7">
        <f t="shared" ref="H10:H29" si="1">G10*$H$8</f>
        <v>12.856249999999999</v>
      </c>
      <c r="I10" s="7">
        <v>0.35</v>
      </c>
      <c r="J10" s="7">
        <v>1.1000000000000001</v>
      </c>
      <c r="K10" s="103">
        <f t="shared" ref="K10:K29" si="2">(G10+H10)*$K$8</f>
        <v>2.3141250000000002</v>
      </c>
      <c r="L10" s="10">
        <f t="shared" si="0"/>
        <v>117.270375</v>
      </c>
      <c r="M10" s="7"/>
      <c r="N10" s="10">
        <v>75.09174800000001</v>
      </c>
      <c r="O10" s="10">
        <v>74.524774999999991</v>
      </c>
      <c r="P10" s="10">
        <v>75.39</v>
      </c>
      <c r="Q10" s="10">
        <v>76.25</v>
      </c>
      <c r="R10" s="10">
        <v>73.375505405405406</v>
      </c>
      <c r="S10" s="7"/>
    </row>
    <row r="11" spans="6:19" x14ac:dyDescent="0.25">
      <c r="F11" s="4"/>
      <c r="G11" s="7">
        <v>100.85</v>
      </c>
      <c r="H11" s="10">
        <f t="shared" si="1"/>
        <v>12.606249999999999</v>
      </c>
      <c r="I11" s="7">
        <v>0.35</v>
      </c>
      <c r="J11" s="7">
        <v>1.1000000000000001</v>
      </c>
      <c r="K11" s="103">
        <f t="shared" si="2"/>
        <v>2.2691249999999998</v>
      </c>
      <c r="L11" s="10">
        <f t="shared" si="0"/>
        <v>114.975375</v>
      </c>
      <c r="M11" s="7"/>
      <c r="N11" s="10">
        <v>74.88</v>
      </c>
      <c r="O11" s="10">
        <v>74.430000000000007</v>
      </c>
      <c r="P11" s="10">
        <v>75.17</v>
      </c>
      <c r="Q11" s="10">
        <v>76</v>
      </c>
      <c r="R11" s="10">
        <v>73.23</v>
      </c>
      <c r="S11" s="7"/>
    </row>
    <row r="12" spans="6:19" x14ac:dyDescent="0.25">
      <c r="F12" s="94">
        <v>42248</v>
      </c>
      <c r="G12" s="7">
        <v>98.43</v>
      </c>
      <c r="H12" s="10">
        <f t="shared" si="1"/>
        <v>12.303750000000001</v>
      </c>
      <c r="I12" s="7">
        <v>0.35</v>
      </c>
      <c r="J12" s="7">
        <v>1.1000000000000001</v>
      </c>
      <c r="K12" s="103">
        <f t="shared" si="2"/>
        <v>2.2146750000000002</v>
      </c>
      <c r="L12" s="10">
        <f t="shared" si="0"/>
        <v>112.19842500000001</v>
      </c>
      <c r="M12" s="7">
        <v>112.2</v>
      </c>
      <c r="N12" s="10">
        <v>74.599999999999994</v>
      </c>
      <c r="O12" s="10">
        <v>74.099999999999994</v>
      </c>
      <c r="P12" s="10">
        <v>74.900000000000006</v>
      </c>
      <c r="Q12" s="10">
        <v>75.66</v>
      </c>
      <c r="R12" s="10">
        <v>73.05</v>
      </c>
      <c r="S12" s="7"/>
    </row>
    <row r="13" spans="6:19" x14ac:dyDescent="0.25">
      <c r="F13" s="95">
        <v>42248</v>
      </c>
      <c r="G13" s="7">
        <v>98.43</v>
      </c>
      <c r="H13" s="10">
        <f t="shared" si="1"/>
        <v>12.303750000000001</v>
      </c>
      <c r="I13" s="7">
        <v>0.35</v>
      </c>
      <c r="J13" s="7">
        <v>1.1000000000000001</v>
      </c>
      <c r="K13" s="103">
        <f t="shared" si="2"/>
        <v>2.2146750000000002</v>
      </c>
      <c r="L13" s="10">
        <f t="shared" si="0"/>
        <v>112.19842500000001</v>
      </c>
      <c r="M13" s="7">
        <v>112.2</v>
      </c>
      <c r="N13" s="10">
        <v>74.599999999999994</v>
      </c>
      <c r="O13" s="10">
        <v>74.099999999999994</v>
      </c>
      <c r="P13" s="10">
        <v>74.900000000000006</v>
      </c>
      <c r="Q13" s="10">
        <v>75.66</v>
      </c>
      <c r="R13" s="10">
        <v>73.05</v>
      </c>
      <c r="S13" s="7"/>
    </row>
    <row r="14" spans="6:19" x14ac:dyDescent="0.25">
      <c r="F14" s="95">
        <v>42278</v>
      </c>
      <c r="G14" s="7">
        <v>101.43</v>
      </c>
      <c r="H14" s="10">
        <f t="shared" si="1"/>
        <v>12.678750000000001</v>
      </c>
      <c r="I14" s="7">
        <v>0.35</v>
      </c>
      <c r="J14" s="7">
        <v>1.1000000000000001</v>
      </c>
      <c r="K14" s="103">
        <f t="shared" si="2"/>
        <v>2.2821750000000005</v>
      </c>
      <c r="L14" s="10">
        <f t="shared" si="0"/>
        <v>115.64092500000001</v>
      </c>
      <c r="M14" s="7">
        <v>115</v>
      </c>
      <c r="N14" s="10">
        <v>74.900000000000006</v>
      </c>
      <c r="O14" s="10">
        <v>74.349999999999994</v>
      </c>
      <c r="P14" s="10">
        <v>75.2</v>
      </c>
      <c r="Q14" s="4">
        <v>76</v>
      </c>
      <c r="R14" s="17">
        <v>73.25</v>
      </c>
      <c r="S14" s="7"/>
    </row>
    <row r="15" spans="6:19" x14ac:dyDescent="0.25">
      <c r="F15" s="95">
        <v>42309</v>
      </c>
      <c r="G15" s="7">
        <v>98.49</v>
      </c>
      <c r="H15" s="10">
        <f t="shared" si="1"/>
        <v>12.311249999999999</v>
      </c>
      <c r="I15" s="7">
        <v>0.35</v>
      </c>
      <c r="J15" s="7">
        <v>1.1000000000000001</v>
      </c>
      <c r="K15" s="103">
        <f t="shared" si="2"/>
        <v>2.2160250000000001</v>
      </c>
      <c r="L15" s="10">
        <f t="shared" si="0"/>
        <v>112.267275</v>
      </c>
      <c r="M15" s="7"/>
      <c r="N15" s="10">
        <v>74.63</v>
      </c>
      <c r="O15" s="10">
        <v>74.099999999999994</v>
      </c>
      <c r="P15" s="10">
        <v>74.900000000000006</v>
      </c>
      <c r="Q15" s="4">
        <v>75.67</v>
      </c>
      <c r="R15" s="4">
        <v>73.06</v>
      </c>
      <c r="S15" s="7"/>
    </row>
    <row r="16" spans="6:19" x14ac:dyDescent="0.25">
      <c r="F16" s="95">
        <v>42339</v>
      </c>
      <c r="G16" s="7">
        <v>93.49</v>
      </c>
      <c r="H16" s="10">
        <f t="shared" si="1"/>
        <v>11.686249999999999</v>
      </c>
      <c r="I16" s="7">
        <v>0.35</v>
      </c>
      <c r="J16" s="7">
        <v>1.1000000000000001</v>
      </c>
      <c r="K16" s="103">
        <f t="shared" si="2"/>
        <v>2.1035249999999999</v>
      </c>
      <c r="L16" s="10">
        <f t="shared" si="0"/>
        <v>106.529775</v>
      </c>
      <c r="M16" s="7"/>
      <c r="N16" s="10">
        <v>74.099999999999994</v>
      </c>
      <c r="O16" s="10">
        <v>73.63</v>
      </c>
      <c r="P16" s="10">
        <v>74.34</v>
      </c>
      <c r="Q16" s="7">
        <v>75.02</v>
      </c>
      <c r="R16" s="7">
        <v>72.7</v>
      </c>
      <c r="S16" s="7">
        <v>78.31</v>
      </c>
    </row>
    <row r="17" spans="2:19" x14ac:dyDescent="0.25">
      <c r="F17" s="95">
        <v>42370</v>
      </c>
      <c r="G17" s="7">
        <v>91.49</v>
      </c>
      <c r="H17" s="10">
        <f t="shared" si="1"/>
        <v>11.436249999999999</v>
      </c>
      <c r="I17" s="7">
        <v>0.35</v>
      </c>
      <c r="J17" s="7">
        <v>1.1000000000000001</v>
      </c>
      <c r="K17" s="103">
        <f t="shared" si="2"/>
        <v>2.0585249999999999</v>
      </c>
      <c r="L17" s="10">
        <f t="shared" si="0"/>
        <v>104.234775</v>
      </c>
      <c r="M17" s="7"/>
      <c r="N17" s="10">
        <v>73.89</v>
      </c>
      <c r="O17" s="10">
        <v>73.45</v>
      </c>
      <c r="P17" s="10">
        <v>74.12</v>
      </c>
      <c r="Q17" s="7">
        <v>74.77</v>
      </c>
      <c r="R17" s="7">
        <v>72.56</v>
      </c>
      <c r="S17" s="7">
        <v>78</v>
      </c>
    </row>
    <row r="18" spans="2:19" x14ac:dyDescent="0.25">
      <c r="F18" s="96">
        <v>42401</v>
      </c>
      <c r="G18" s="7">
        <v>94.49</v>
      </c>
      <c r="H18" s="10">
        <f t="shared" si="1"/>
        <v>11.811249999999999</v>
      </c>
      <c r="I18" s="7">
        <v>0.35</v>
      </c>
      <c r="J18" s="7">
        <v>1.1000000000000001</v>
      </c>
      <c r="K18" s="103">
        <f t="shared" si="2"/>
        <v>2.1260249999999998</v>
      </c>
      <c r="L18" s="10">
        <f t="shared" si="0"/>
        <v>107.67727499999999</v>
      </c>
      <c r="M18" s="7"/>
      <c r="N18" s="10">
        <v>74.2</v>
      </c>
      <c r="O18" s="10">
        <v>73.75</v>
      </c>
      <c r="P18" s="10">
        <v>74.45</v>
      </c>
      <c r="Q18" s="7">
        <v>75.150000000000006</v>
      </c>
      <c r="R18" s="7">
        <v>72.8</v>
      </c>
      <c r="S18" s="7">
        <v>78.45</v>
      </c>
    </row>
    <row r="19" spans="2:19" x14ac:dyDescent="0.25">
      <c r="F19" s="96">
        <v>42430</v>
      </c>
      <c r="G19" s="7">
        <v>100.49</v>
      </c>
      <c r="H19" s="10">
        <f t="shared" si="1"/>
        <v>12.561249999999999</v>
      </c>
      <c r="I19" s="7">
        <v>0.35</v>
      </c>
      <c r="J19" s="7">
        <v>1.1000000000000001</v>
      </c>
      <c r="K19" s="103">
        <f t="shared" si="2"/>
        <v>2.2610250000000001</v>
      </c>
      <c r="L19" s="10">
        <f t="shared" si="0"/>
        <v>114.562275</v>
      </c>
      <c r="M19" s="7"/>
      <c r="N19" s="10">
        <v>74.849999999999994</v>
      </c>
      <c r="O19" s="10">
        <v>74.3</v>
      </c>
      <c r="P19" s="10">
        <v>75.150000000000006</v>
      </c>
      <c r="Q19" s="7">
        <v>75.95</v>
      </c>
      <c r="R19" s="7">
        <v>73.2</v>
      </c>
      <c r="S19" s="7">
        <v>79.349999999999994</v>
      </c>
    </row>
    <row r="20" spans="2:19" x14ac:dyDescent="0.25">
      <c r="F20" s="96">
        <v>42461</v>
      </c>
      <c r="G20" s="7">
        <v>106.49</v>
      </c>
      <c r="H20" s="10">
        <f t="shared" si="1"/>
        <v>13.311249999999999</v>
      </c>
      <c r="I20" s="7">
        <v>0.35</v>
      </c>
      <c r="J20" s="7">
        <v>1.1000000000000001</v>
      </c>
      <c r="K20" s="103">
        <f t="shared" si="2"/>
        <v>2.3960249999999998</v>
      </c>
      <c r="L20" s="10">
        <f t="shared" si="0"/>
        <v>121.44727499999999</v>
      </c>
      <c r="M20" s="7"/>
      <c r="N20" s="10">
        <v>75.48</v>
      </c>
      <c r="O20" s="10">
        <v>74.87</v>
      </c>
      <c r="P20" s="10">
        <v>75.8</v>
      </c>
      <c r="Q20" s="4">
        <v>76.7</v>
      </c>
      <c r="R20" s="4">
        <v>73.64</v>
      </c>
      <c r="S20" s="7">
        <v>80.23</v>
      </c>
    </row>
    <row r="21" spans="2:19" x14ac:dyDescent="0.25">
      <c r="F21" s="96">
        <v>42491</v>
      </c>
      <c r="G21" s="7">
        <v>102.49</v>
      </c>
      <c r="H21" s="10">
        <f t="shared" si="1"/>
        <v>12.811249999999999</v>
      </c>
      <c r="I21" s="7">
        <v>0.35</v>
      </c>
      <c r="J21" s="7">
        <v>1.1000000000000001</v>
      </c>
      <c r="K21" s="103">
        <f t="shared" si="2"/>
        <v>2.306025</v>
      </c>
      <c r="L21" s="10">
        <f t="shared" si="0"/>
        <v>116.857275</v>
      </c>
      <c r="M21" s="7"/>
      <c r="N21" s="10">
        <v>75.05</v>
      </c>
      <c r="O21" s="10">
        <v>74.5</v>
      </c>
      <c r="P21" s="10">
        <v>75.349999999999994</v>
      </c>
      <c r="Q21" s="4">
        <v>76.2</v>
      </c>
      <c r="R21" s="4">
        <v>73.349999999999994</v>
      </c>
      <c r="S21" s="7">
        <v>79.650000000000006</v>
      </c>
    </row>
    <row r="22" spans="2:19" x14ac:dyDescent="0.25">
      <c r="F22" s="96">
        <v>42522</v>
      </c>
      <c r="G22" s="7">
        <v>100.49</v>
      </c>
      <c r="H22" s="10">
        <f t="shared" si="1"/>
        <v>12.561249999999999</v>
      </c>
      <c r="I22" s="7">
        <v>0.35</v>
      </c>
      <c r="J22" s="7">
        <v>1.1000000000000001</v>
      </c>
      <c r="K22" s="103">
        <f t="shared" si="2"/>
        <v>2.2610250000000001</v>
      </c>
      <c r="L22" s="10">
        <f t="shared" si="0"/>
        <v>114.562275</v>
      </c>
      <c r="M22" s="7"/>
      <c r="N22" s="10">
        <v>74.849999999999994</v>
      </c>
      <c r="O22" s="10">
        <v>74.3</v>
      </c>
      <c r="P22" s="10">
        <v>75.150000000000006</v>
      </c>
      <c r="Q22" s="4">
        <v>75.95</v>
      </c>
      <c r="R22" s="4">
        <v>73.2</v>
      </c>
      <c r="S22" s="7">
        <v>79.349999999999994</v>
      </c>
    </row>
    <row r="23" spans="2:19" x14ac:dyDescent="0.25">
      <c r="F23" s="96">
        <v>42552</v>
      </c>
      <c r="G23" s="7">
        <v>103.82</v>
      </c>
      <c r="H23" s="10">
        <f t="shared" si="1"/>
        <v>12.977499999999999</v>
      </c>
      <c r="I23" s="7">
        <v>0.35</v>
      </c>
      <c r="J23" s="7">
        <v>1.1000000000000001</v>
      </c>
      <c r="K23" s="103">
        <f t="shared" si="2"/>
        <v>2.33595</v>
      </c>
      <c r="L23" s="10">
        <f t="shared" si="0"/>
        <v>118.38344999999998</v>
      </c>
      <c r="M23" s="4"/>
      <c r="N23" s="10">
        <v>75.2</v>
      </c>
      <c r="O23" s="10">
        <v>74.599999999999994</v>
      </c>
      <c r="P23" s="10">
        <v>75.5</v>
      </c>
      <c r="Q23" s="4">
        <v>76.349999999999994</v>
      </c>
      <c r="R23" s="4">
        <v>73.45</v>
      </c>
      <c r="S23" s="7">
        <v>79.849999999999994</v>
      </c>
    </row>
    <row r="24" spans="2:19" x14ac:dyDescent="0.25">
      <c r="F24" s="96">
        <v>42583</v>
      </c>
      <c r="G24" s="7">
        <v>105.32</v>
      </c>
      <c r="H24" s="10">
        <f t="shared" si="1"/>
        <v>13.164999999999999</v>
      </c>
      <c r="I24" s="7">
        <v>0.35</v>
      </c>
      <c r="J24" s="7">
        <v>1.1000000000000001</v>
      </c>
      <c r="K24" s="103">
        <f t="shared" si="2"/>
        <v>2.3696999999999999</v>
      </c>
      <c r="L24" s="10">
        <f t="shared" si="0"/>
        <v>120.10469999999998</v>
      </c>
      <c r="M24" s="4"/>
      <c r="N24" s="10">
        <v>75.349999999999994</v>
      </c>
      <c r="O24" s="10">
        <v>74.739999999999995</v>
      </c>
      <c r="P24" s="10">
        <v>75.650000000000006</v>
      </c>
      <c r="Q24" s="4">
        <v>76.55</v>
      </c>
      <c r="R24" s="4">
        <v>73.55</v>
      </c>
      <c r="S24" s="7">
        <v>80.05</v>
      </c>
    </row>
    <row r="25" spans="2:19" x14ac:dyDescent="0.25">
      <c r="F25" s="96">
        <v>42614</v>
      </c>
      <c r="G25" s="7">
        <v>105.32</v>
      </c>
      <c r="H25" s="10">
        <f t="shared" si="1"/>
        <v>13.164999999999999</v>
      </c>
      <c r="I25" s="7">
        <v>0.35</v>
      </c>
      <c r="J25" s="7">
        <v>1.1000000000000001</v>
      </c>
      <c r="K25" s="103">
        <f t="shared" si="2"/>
        <v>2.3696999999999999</v>
      </c>
      <c r="L25" s="10">
        <f t="shared" si="0"/>
        <v>120.10469999999998</v>
      </c>
      <c r="M25" s="4"/>
      <c r="N25" s="10"/>
      <c r="O25" s="10"/>
      <c r="P25" s="10"/>
      <c r="Q25" s="4"/>
      <c r="R25" s="4"/>
      <c r="S25" s="7"/>
    </row>
    <row r="26" spans="2:19" x14ac:dyDescent="0.25">
      <c r="C26">
        <f>AVERAGE(D26:E26)</f>
        <v>107.36500000000001</v>
      </c>
      <c r="D26">
        <v>106.23</v>
      </c>
      <c r="E26">
        <v>108.5</v>
      </c>
      <c r="F26" s="97">
        <v>42644</v>
      </c>
      <c r="G26" s="7">
        <v>104.52</v>
      </c>
      <c r="H26" s="10">
        <f t="shared" si="1"/>
        <v>13.065</v>
      </c>
      <c r="I26" s="7">
        <v>0.35</v>
      </c>
      <c r="J26" s="7">
        <v>1.1000000000000001</v>
      </c>
      <c r="K26" s="103">
        <f t="shared" si="2"/>
        <v>2.3517000000000001</v>
      </c>
      <c r="L26" s="10">
        <f>G26+H26+I26-J26+K26</f>
        <v>119.18669999999999</v>
      </c>
      <c r="M26" s="4"/>
      <c r="N26" s="10"/>
      <c r="O26" s="10"/>
      <c r="P26" s="10"/>
      <c r="Q26" s="4"/>
      <c r="R26" s="4"/>
      <c r="S26" s="7"/>
    </row>
    <row r="27" spans="2:19" x14ac:dyDescent="0.25">
      <c r="B27">
        <f>AVERAGE(C27:E27)</f>
        <v>108.23</v>
      </c>
      <c r="C27">
        <v>108.23</v>
      </c>
      <c r="D27">
        <v>108.23</v>
      </c>
      <c r="E27">
        <v>108.23</v>
      </c>
      <c r="F27" s="95">
        <v>42675</v>
      </c>
      <c r="G27" s="12">
        <v>107.36</v>
      </c>
      <c r="H27" s="10">
        <f t="shared" si="1"/>
        <v>13.42</v>
      </c>
      <c r="I27" s="7">
        <v>0.35</v>
      </c>
      <c r="J27" s="7">
        <v>1.1000000000000001</v>
      </c>
      <c r="K27" s="103">
        <f t="shared" si="2"/>
        <v>2.4156</v>
      </c>
      <c r="L27" s="10">
        <f t="shared" ref="L27:L29" si="3">G27+H27+I27-J27+K27</f>
        <v>122.4456</v>
      </c>
      <c r="M27" s="4"/>
      <c r="N27" s="4"/>
      <c r="O27" s="4"/>
      <c r="P27" s="4"/>
      <c r="Q27" s="4"/>
      <c r="R27" s="4"/>
      <c r="S27" s="4"/>
    </row>
    <row r="28" spans="2:19" x14ac:dyDescent="0.25">
      <c r="E28">
        <v>108.23</v>
      </c>
      <c r="F28" s="95">
        <v>42705</v>
      </c>
      <c r="G28" s="12">
        <v>108.23</v>
      </c>
      <c r="H28" s="10">
        <f t="shared" si="1"/>
        <v>13.52875</v>
      </c>
      <c r="I28" s="7">
        <v>0.35</v>
      </c>
      <c r="J28" s="7">
        <v>1.1000000000000001</v>
      </c>
      <c r="K28" s="103">
        <f t="shared" si="2"/>
        <v>2.4351750000000001</v>
      </c>
      <c r="L28" s="10">
        <f t="shared" si="3"/>
        <v>123.44392500000001</v>
      </c>
      <c r="M28" s="4"/>
      <c r="N28" s="4"/>
      <c r="O28" s="4"/>
      <c r="P28" s="4"/>
      <c r="Q28" s="4"/>
      <c r="R28" s="4"/>
      <c r="S28" s="4"/>
    </row>
    <row r="29" spans="2:19" x14ac:dyDescent="0.25">
      <c r="F29" s="95">
        <v>42736</v>
      </c>
      <c r="G29" s="12">
        <v>108.23</v>
      </c>
      <c r="H29" s="10">
        <f t="shared" si="1"/>
        <v>13.52875</v>
      </c>
      <c r="I29" s="120">
        <v>0.35</v>
      </c>
      <c r="J29" s="4"/>
      <c r="K29" s="103">
        <f t="shared" si="2"/>
        <v>2.4351750000000001</v>
      </c>
      <c r="L29" s="10">
        <f t="shared" si="3"/>
        <v>124.543925</v>
      </c>
      <c r="M29" s="4"/>
      <c r="N29" s="4"/>
      <c r="O29" s="4"/>
      <c r="P29" s="4"/>
      <c r="Q29" s="4"/>
      <c r="R29" s="4"/>
      <c r="S29" s="4"/>
    </row>
    <row r="30" spans="2:19" x14ac:dyDescent="0.25">
      <c r="F30" s="95">
        <v>42736</v>
      </c>
      <c r="G30" s="12">
        <v>108.23</v>
      </c>
      <c r="H30" s="10">
        <f t="shared" ref="H30:H31" si="4">G30*$H$8</f>
        <v>13.52875</v>
      </c>
      <c r="I30" s="120">
        <v>0.35</v>
      </c>
      <c r="J30" s="4"/>
      <c r="K30" s="103">
        <f t="shared" ref="K30:K31" si="5">(G30+H30)*$K$8</f>
        <v>2.4351750000000001</v>
      </c>
      <c r="L30" s="10">
        <f t="shared" ref="L30:L31" si="6">G30+H30+I30-J30+K30</f>
        <v>124.543925</v>
      </c>
    </row>
    <row r="31" spans="2:19" x14ac:dyDescent="0.25">
      <c r="F31" s="95">
        <v>42736</v>
      </c>
      <c r="G31" s="12">
        <v>108.23</v>
      </c>
      <c r="H31" s="10">
        <f t="shared" si="4"/>
        <v>13.52875</v>
      </c>
      <c r="I31" s="120">
        <v>0.35</v>
      </c>
      <c r="J31" s="4"/>
      <c r="K31" s="103">
        <f t="shared" si="5"/>
        <v>2.4351750000000001</v>
      </c>
      <c r="L31" s="10">
        <f t="shared" si="6"/>
        <v>124.543925</v>
      </c>
    </row>
  </sheetData>
  <mergeCells count="2">
    <mergeCell ref="G6:L6"/>
    <mergeCell ref="N6:Q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10"/>
  <sheetViews>
    <sheetView workbookViewId="0">
      <selection activeCell="F11" sqref="F11"/>
    </sheetView>
  </sheetViews>
  <sheetFormatPr defaultRowHeight="15" x14ac:dyDescent="0.25"/>
  <cols>
    <col min="6" max="6" width="54.140625" bestFit="1" customWidth="1"/>
  </cols>
  <sheetData>
    <row r="8" spans="6:6" x14ac:dyDescent="0.25">
      <c r="F8" s="122" t="s">
        <v>121</v>
      </c>
    </row>
    <row r="9" spans="6:6" x14ac:dyDescent="0.25">
      <c r="F9" s="122" t="s">
        <v>122</v>
      </c>
    </row>
    <row r="10" spans="6:6" x14ac:dyDescent="0.25">
      <c r="F10" s="122" t="s">
        <v>123</v>
      </c>
    </row>
  </sheetData>
  <hyperlinks>
    <hyperlink ref="F8" r:id="rId1"/>
    <hyperlink ref="F9" r:id="rId2"/>
    <hyperlink ref="F1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" sqref="D1:G1"/>
    </sheetView>
  </sheetViews>
  <sheetFormatPr defaultRowHeight="15" x14ac:dyDescent="0.25"/>
  <cols>
    <col min="1" max="1" width="24.42578125" customWidth="1"/>
    <col min="2" max="2" width="15.85546875" customWidth="1"/>
    <col min="3" max="3" width="16.85546875" customWidth="1"/>
    <col min="4" max="4" width="17.28515625" customWidth="1"/>
    <col min="5" max="5" width="21.7109375" customWidth="1"/>
    <col min="6" max="6" width="19.7109375" customWidth="1"/>
  </cols>
  <sheetData>
    <row r="1" spans="1:7" ht="60" x14ac:dyDescent="0.25">
      <c r="A1" s="81" t="s">
        <v>34</v>
      </c>
      <c r="B1" s="81" t="s">
        <v>45</v>
      </c>
      <c r="C1" s="81" t="s">
        <v>86</v>
      </c>
      <c r="D1" s="81" t="s">
        <v>87</v>
      </c>
      <c r="E1" s="81" t="s">
        <v>88</v>
      </c>
      <c r="F1" s="43" t="s">
        <v>56</v>
      </c>
      <c r="G1" s="82" t="s">
        <v>89</v>
      </c>
    </row>
    <row r="2" spans="1:7" x14ac:dyDescent="0.25">
      <c r="A2" s="27">
        <v>41640</v>
      </c>
      <c r="B2" s="55">
        <v>62.274999999999999</v>
      </c>
      <c r="C2" s="28">
        <v>99.5</v>
      </c>
      <c r="D2" s="29">
        <v>110.54</v>
      </c>
      <c r="E2" s="83">
        <f t="shared" ref="E2:E21" si="0">((D2+(D2*12.5%))+(D2+(D2*12.5%))*2%)</f>
        <v>126.84465</v>
      </c>
      <c r="F2" s="45"/>
      <c r="G2" s="10">
        <v>217.5</v>
      </c>
    </row>
    <row r="3" spans="1:7" x14ac:dyDescent="0.25">
      <c r="A3" s="27">
        <v>41671</v>
      </c>
      <c r="B3" s="55">
        <v>62.95</v>
      </c>
      <c r="C3" s="28">
        <v>104.53</v>
      </c>
      <c r="D3" s="29">
        <v>112.6</v>
      </c>
      <c r="E3" s="83">
        <f t="shared" si="0"/>
        <v>129.20849999999999</v>
      </c>
      <c r="F3" s="45"/>
      <c r="G3" s="10"/>
    </row>
    <row r="4" spans="1:7" x14ac:dyDescent="0.25">
      <c r="A4" s="27">
        <v>41699</v>
      </c>
      <c r="B4" s="55">
        <v>61.875</v>
      </c>
      <c r="C4" s="28">
        <v>102.59</v>
      </c>
      <c r="D4" s="29">
        <v>110.6</v>
      </c>
      <c r="E4" s="83">
        <f t="shared" si="0"/>
        <v>126.9135</v>
      </c>
      <c r="F4" s="45"/>
      <c r="G4" s="10"/>
    </row>
    <row r="5" spans="1:7" x14ac:dyDescent="0.25">
      <c r="A5" s="27">
        <v>41730</v>
      </c>
      <c r="B5" s="55">
        <v>60.625</v>
      </c>
      <c r="C5" s="28">
        <v>100.77</v>
      </c>
      <c r="D5" s="29">
        <v>109.6</v>
      </c>
      <c r="E5" s="83">
        <f t="shared" si="0"/>
        <v>125.76599999999999</v>
      </c>
      <c r="F5" s="45"/>
      <c r="G5" s="10">
        <v>205</v>
      </c>
    </row>
    <row r="6" spans="1:7" x14ac:dyDescent="0.25">
      <c r="A6" s="27">
        <v>41760</v>
      </c>
      <c r="B6" s="55">
        <v>60.475000000000001</v>
      </c>
      <c r="C6" s="28">
        <v>103.71</v>
      </c>
      <c r="D6" s="29">
        <v>110.6</v>
      </c>
      <c r="E6" s="83">
        <f t="shared" si="0"/>
        <v>126.9135</v>
      </c>
      <c r="F6" s="45"/>
      <c r="G6" s="10">
        <v>205</v>
      </c>
    </row>
    <row r="7" spans="1:7" x14ac:dyDescent="0.25">
      <c r="A7" s="27">
        <v>41791</v>
      </c>
      <c r="B7" s="55">
        <v>60.15</v>
      </c>
      <c r="C7" s="28">
        <v>106.18</v>
      </c>
      <c r="D7" s="29">
        <v>109.6</v>
      </c>
      <c r="E7" s="83">
        <f t="shared" si="0"/>
        <v>125.76599999999999</v>
      </c>
      <c r="F7" s="45"/>
      <c r="G7" s="10">
        <v>205</v>
      </c>
    </row>
    <row r="8" spans="1:7" x14ac:dyDescent="0.25">
      <c r="A8" s="27">
        <v>41821</v>
      </c>
      <c r="B8" s="55">
        <v>60.4</v>
      </c>
      <c r="C8" s="28">
        <v>98.43</v>
      </c>
      <c r="D8" s="29">
        <v>112.6</v>
      </c>
      <c r="E8" s="83">
        <f t="shared" si="0"/>
        <v>129.20849999999999</v>
      </c>
      <c r="F8" s="45">
        <v>163.89</v>
      </c>
      <c r="G8" s="10">
        <v>205</v>
      </c>
    </row>
    <row r="9" spans="1:7" x14ac:dyDescent="0.25">
      <c r="A9" s="27">
        <v>41852</v>
      </c>
      <c r="B9" s="55">
        <v>61.55</v>
      </c>
      <c r="C9" s="28">
        <v>98.15</v>
      </c>
      <c r="D9" s="29">
        <v>113.6</v>
      </c>
      <c r="E9" s="83">
        <f t="shared" si="0"/>
        <v>130.35599999999999</v>
      </c>
      <c r="F9" s="45">
        <v>163.89</v>
      </c>
      <c r="G9" s="10">
        <v>205</v>
      </c>
    </row>
    <row r="10" spans="1:7" x14ac:dyDescent="0.25">
      <c r="A10" s="27">
        <v>41883</v>
      </c>
      <c r="B10" s="55">
        <v>61.375</v>
      </c>
      <c r="C10" s="28">
        <v>91.44</v>
      </c>
      <c r="D10" s="29">
        <v>113.6</v>
      </c>
      <c r="E10" s="83">
        <f t="shared" si="0"/>
        <v>130.35599999999999</v>
      </c>
      <c r="F10" s="45">
        <v>163.89</v>
      </c>
      <c r="G10" s="10">
        <v>205</v>
      </c>
    </row>
    <row r="11" spans="1:7" x14ac:dyDescent="0.25">
      <c r="A11" s="27">
        <v>41913</v>
      </c>
      <c r="B11" s="55">
        <v>62.174999999999997</v>
      </c>
      <c r="C11" s="28">
        <v>80.930000000000007</v>
      </c>
      <c r="D11" s="29">
        <v>111.1</v>
      </c>
      <c r="E11" s="83">
        <f t="shared" si="0"/>
        <v>127.48725</v>
      </c>
      <c r="F11" s="45">
        <v>188</v>
      </c>
      <c r="G11" s="10">
        <v>205</v>
      </c>
    </row>
    <row r="12" spans="1:7" x14ac:dyDescent="0.25">
      <c r="A12" s="27">
        <v>41944</v>
      </c>
      <c r="B12" s="55">
        <v>62.25</v>
      </c>
      <c r="C12" s="28">
        <v>66.67</v>
      </c>
      <c r="D12" s="29">
        <v>107.1</v>
      </c>
      <c r="E12" s="83">
        <f t="shared" si="0"/>
        <v>122.89725</v>
      </c>
      <c r="F12" s="45">
        <v>177.64</v>
      </c>
      <c r="G12" s="10">
        <v>205</v>
      </c>
    </row>
    <row r="13" spans="1:7" x14ac:dyDescent="0.25">
      <c r="A13" s="27">
        <v>41974</v>
      </c>
      <c r="B13" s="55">
        <v>63.174999999999997</v>
      </c>
      <c r="C13" s="28">
        <v>54.31</v>
      </c>
      <c r="D13" s="26">
        <v>97</v>
      </c>
      <c r="E13" s="83">
        <f t="shared" si="0"/>
        <v>111.3075</v>
      </c>
      <c r="F13" s="45">
        <v>177.64</v>
      </c>
      <c r="G13" s="10">
        <v>205</v>
      </c>
    </row>
    <row r="14" spans="1:7" x14ac:dyDescent="0.25">
      <c r="A14" s="27">
        <v>42005</v>
      </c>
      <c r="B14" s="55">
        <v>63.05</v>
      </c>
      <c r="C14" s="28">
        <v>48.79</v>
      </c>
      <c r="D14" s="26">
        <v>84</v>
      </c>
      <c r="E14" s="83">
        <f t="shared" si="0"/>
        <v>96.39</v>
      </c>
      <c r="F14" s="45">
        <v>168.47</v>
      </c>
      <c r="G14" s="10">
        <v>205</v>
      </c>
    </row>
    <row r="15" spans="1:7" x14ac:dyDescent="0.25">
      <c r="A15" s="27">
        <v>42036</v>
      </c>
      <c r="B15" s="55">
        <v>62.625</v>
      </c>
      <c r="C15" s="28">
        <v>50.69</v>
      </c>
      <c r="D15" s="26">
        <v>83.1</v>
      </c>
      <c r="E15" s="83">
        <f t="shared" si="0"/>
        <v>95.357249999999993</v>
      </c>
      <c r="F15" s="45">
        <v>168.47</v>
      </c>
      <c r="G15" s="10">
        <v>205</v>
      </c>
    </row>
    <row r="16" spans="1:7" x14ac:dyDescent="0.25">
      <c r="A16" s="27">
        <v>42064</v>
      </c>
      <c r="B16" s="55">
        <v>62.9</v>
      </c>
      <c r="C16" s="28">
        <v>48.24</v>
      </c>
      <c r="D16" s="26">
        <v>101.11</v>
      </c>
      <c r="E16" s="83">
        <f t="shared" si="0"/>
        <v>116.023725</v>
      </c>
      <c r="F16" s="45">
        <v>168.47</v>
      </c>
      <c r="G16" s="10">
        <v>195</v>
      </c>
    </row>
    <row r="17" spans="1:7" x14ac:dyDescent="0.25">
      <c r="A17" s="27">
        <v>42095</v>
      </c>
      <c r="B17" s="55">
        <v>63.075000000000003</v>
      </c>
      <c r="C17" s="28">
        <v>60.16</v>
      </c>
      <c r="D17" s="26">
        <v>103</v>
      </c>
      <c r="E17" s="83">
        <f t="shared" si="0"/>
        <v>118.1925</v>
      </c>
      <c r="F17" s="45">
        <v>168.47</v>
      </c>
      <c r="G17" s="10">
        <v>195</v>
      </c>
    </row>
    <row r="18" spans="1:7" x14ac:dyDescent="0.25">
      <c r="A18" s="27">
        <v>42125</v>
      </c>
      <c r="B18" s="55">
        <v>63.65</v>
      </c>
      <c r="C18" s="28">
        <v>60.49</v>
      </c>
      <c r="D18" s="26">
        <v>105.6</v>
      </c>
      <c r="E18" s="83">
        <f t="shared" si="0"/>
        <v>121.176</v>
      </c>
      <c r="F18" s="45">
        <v>175.57</v>
      </c>
      <c r="G18" s="10">
        <v>205</v>
      </c>
    </row>
    <row r="19" spans="1:7" x14ac:dyDescent="0.25">
      <c r="A19" s="27">
        <v>42156</v>
      </c>
      <c r="B19" s="55">
        <v>64.650000000000006</v>
      </c>
      <c r="C19" s="28">
        <v>59.48</v>
      </c>
      <c r="D19" s="26">
        <v>101.6</v>
      </c>
      <c r="E19" s="83">
        <f t="shared" si="0"/>
        <v>116.586</v>
      </c>
      <c r="F19" s="45">
        <v>175.57</v>
      </c>
      <c r="G19" s="10">
        <v>195</v>
      </c>
    </row>
    <row r="20" spans="1:7" x14ac:dyDescent="0.25">
      <c r="A20" s="27">
        <v>42186</v>
      </c>
      <c r="B20" s="55">
        <v>63.725000000000001</v>
      </c>
      <c r="C20" s="28">
        <v>47.11</v>
      </c>
      <c r="D20" s="26">
        <v>95</v>
      </c>
      <c r="E20" s="83">
        <f t="shared" si="0"/>
        <v>109.0125</v>
      </c>
      <c r="F20" s="45">
        <v>167.54</v>
      </c>
      <c r="G20" s="10">
        <v>195</v>
      </c>
    </row>
    <row r="21" spans="1:7" x14ac:dyDescent="0.25">
      <c r="A21" s="27">
        <v>42217</v>
      </c>
      <c r="B21" s="84">
        <v>65.05</v>
      </c>
      <c r="C21" s="28">
        <v>45.63</v>
      </c>
      <c r="D21" s="26">
        <v>87</v>
      </c>
      <c r="E21" s="83">
        <f t="shared" si="0"/>
        <v>99.832499999999996</v>
      </c>
      <c r="F21" s="45">
        <v>167.57</v>
      </c>
      <c r="G21" s="10">
        <v>203</v>
      </c>
    </row>
    <row r="22" spans="1:7" x14ac:dyDescent="0.25">
      <c r="A22" s="85">
        <v>42248</v>
      </c>
      <c r="B22" s="31">
        <v>66.95</v>
      </c>
      <c r="C22" s="30">
        <v>45.05</v>
      </c>
      <c r="D22" s="26">
        <v>82.1</v>
      </c>
      <c r="E22" s="83">
        <f>((D22+(D22*12.5%))+(D22+(D22*12.5%))*2%)</f>
        <v>94.20975</v>
      </c>
      <c r="F22" s="45">
        <v>159.54</v>
      </c>
      <c r="G22" s="10">
        <v>203</v>
      </c>
    </row>
    <row r="23" spans="1:7" x14ac:dyDescent="0.25">
      <c r="A23" s="27">
        <v>42278</v>
      </c>
      <c r="B23" s="31">
        <v>65.75</v>
      </c>
      <c r="C23" s="29">
        <v>46.3</v>
      </c>
      <c r="D23" s="26">
        <v>84</v>
      </c>
      <c r="E23" s="83">
        <f>((D23+(D23*12.5%))+(D23+(D23*12.5%))*2%)</f>
        <v>96.39</v>
      </c>
      <c r="F23" s="45">
        <v>158.36000000000001</v>
      </c>
      <c r="G23" s="10">
        <v>203</v>
      </c>
    </row>
    <row r="24" spans="1:7" x14ac:dyDescent="0.25">
      <c r="A24" s="27">
        <v>42309</v>
      </c>
      <c r="B24" s="86">
        <v>66.45</v>
      </c>
      <c r="C24" s="26">
        <v>41.65</v>
      </c>
      <c r="D24" s="26">
        <v>78.099999999999994</v>
      </c>
      <c r="E24" s="83">
        <f>((D24+(D24*12.5%))+(D24+(D24*12.5%))*2%)</f>
        <v>89.619749999999996</v>
      </c>
      <c r="F24" s="45">
        <v>153.77000000000001</v>
      </c>
      <c r="G24" s="10">
        <v>177</v>
      </c>
    </row>
    <row r="25" spans="1:7" x14ac:dyDescent="0.25">
      <c r="A25" s="27">
        <v>42339</v>
      </c>
      <c r="B25" s="87">
        <v>67.23</v>
      </c>
      <c r="C25" s="29">
        <v>35.47</v>
      </c>
      <c r="D25" s="33">
        <v>79.86</v>
      </c>
      <c r="E25" s="88">
        <f>((D25+(D25*12.5%))+(D25+(D25*12.5%))*2%)</f>
        <v>91.639350000000007</v>
      </c>
      <c r="F25" s="4"/>
      <c r="G25" s="17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90"/>
  <sheetViews>
    <sheetView workbookViewId="0">
      <selection activeCell="A76" sqref="A76"/>
    </sheetView>
  </sheetViews>
  <sheetFormatPr defaultRowHeight="15" x14ac:dyDescent="0.25"/>
  <cols>
    <col min="5" max="5" width="12.42578125" bestFit="1" customWidth="1"/>
    <col min="7" max="7" width="13.85546875" bestFit="1" customWidth="1"/>
    <col min="8" max="8" width="13.28515625" customWidth="1"/>
    <col min="9" max="9" width="15" customWidth="1"/>
    <col min="10" max="10" width="21.140625" bestFit="1" customWidth="1"/>
    <col min="12" max="12" width="12" bestFit="1" customWidth="1"/>
  </cols>
  <sheetData>
    <row r="3" spans="1:13" x14ac:dyDescent="0.25">
      <c r="B3" s="15">
        <v>42156</v>
      </c>
    </row>
    <row r="4" spans="1:13" x14ac:dyDescent="0.25">
      <c r="A4" s="5" t="s">
        <v>6</v>
      </c>
    </row>
    <row r="5" spans="1:13" x14ac:dyDescent="0.25">
      <c r="B5" s="18" t="s">
        <v>27</v>
      </c>
      <c r="C5" s="7" t="s">
        <v>10</v>
      </c>
      <c r="D5" s="7" t="s">
        <v>10</v>
      </c>
      <c r="E5" s="7" t="s">
        <v>15</v>
      </c>
      <c r="F5" s="7" t="s">
        <v>17</v>
      </c>
      <c r="G5" s="7" t="s">
        <v>4</v>
      </c>
      <c r="H5" s="7" t="s">
        <v>18</v>
      </c>
      <c r="I5" s="7" t="s">
        <v>14</v>
      </c>
      <c r="J5" s="7" t="s">
        <v>20</v>
      </c>
      <c r="K5" s="7" t="s">
        <v>5</v>
      </c>
      <c r="L5" s="7" t="s">
        <v>21</v>
      </c>
      <c r="M5" s="7"/>
    </row>
    <row r="6" spans="1:13" x14ac:dyDescent="0.25">
      <c r="B6" s="18" t="s">
        <v>28</v>
      </c>
      <c r="C6" s="7" t="s">
        <v>11</v>
      </c>
      <c r="D6" s="7" t="s">
        <v>12</v>
      </c>
      <c r="E6" s="7" t="s">
        <v>16</v>
      </c>
      <c r="F6" s="7" t="s">
        <v>3</v>
      </c>
      <c r="G6" s="8">
        <v>0.02</v>
      </c>
      <c r="H6" s="7" t="s">
        <v>4</v>
      </c>
      <c r="I6" s="7" t="s">
        <v>19</v>
      </c>
      <c r="J6" s="9">
        <v>1.1000000000000001E-3</v>
      </c>
      <c r="K6" s="10">
        <v>2.87</v>
      </c>
      <c r="L6" s="7">
        <v>1</v>
      </c>
      <c r="M6" s="7"/>
    </row>
    <row r="7" spans="1:13" x14ac:dyDescent="0.25">
      <c r="C7" s="7">
        <v>1621</v>
      </c>
      <c r="D7" s="7">
        <f>C7/1000</f>
        <v>1.621</v>
      </c>
      <c r="E7" s="7">
        <v>113050.32</v>
      </c>
      <c r="F7" s="7">
        <f>E7/C7</f>
        <v>69.74109808760025</v>
      </c>
      <c r="G7" s="7">
        <f>F7*2%</f>
        <v>1.394821961752005</v>
      </c>
      <c r="H7" s="7">
        <f>F7+G7</f>
        <v>71.135920049352251</v>
      </c>
      <c r="I7" s="7">
        <f>H7/1.06125</f>
        <v>67.030313356280089</v>
      </c>
      <c r="J7" s="7">
        <f>I7+(H7*J6)</f>
        <v>67.108562868334374</v>
      </c>
      <c r="K7" s="10">
        <f>J7+$K$6</f>
        <v>69.978562868334379</v>
      </c>
      <c r="L7" s="7">
        <f>K7+1</f>
        <v>70.978562868334379</v>
      </c>
      <c r="M7" s="7"/>
    </row>
    <row r="8" spans="1:13" x14ac:dyDescent="0.25">
      <c r="C8" s="7">
        <v>3730</v>
      </c>
      <c r="D8" s="7">
        <f>C8/1000</f>
        <v>3.73</v>
      </c>
      <c r="E8" s="7">
        <v>260134.3</v>
      </c>
      <c r="F8" s="7">
        <f>E8/C8</f>
        <v>69.741099195710447</v>
      </c>
      <c r="G8" s="7">
        <f>F8*2%</f>
        <v>1.3948219839142089</v>
      </c>
      <c r="H8" s="7">
        <f>F8+G8</f>
        <v>71.13592117962466</v>
      </c>
      <c r="I8" s="7">
        <f>H8/1.06125</f>
        <v>67.030314421318877</v>
      </c>
      <c r="J8" s="7">
        <f>I8+(H8*J6)</f>
        <v>67.10856393461647</v>
      </c>
      <c r="K8" s="10">
        <f>J8+$K$6</f>
        <v>69.978563934616474</v>
      </c>
      <c r="L8" s="7">
        <f>K8+1</f>
        <v>70.978563934616474</v>
      </c>
      <c r="M8" s="7"/>
    </row>
    <row r="9" spans="1:13" x14ac:dyDescent="0.25">
      <c r="C9" s="7">
        <v>2869</v>
      </c>
      <c r="D9" s="7">
        <f>C9/1000</f>
        <v>2.8690000000000002</v>
      </c>
      <c r="E9" s="7">
        <v>199411.31</v>
      </c>
      <c r="F9" s="7">
        <f>E9/C9</f>
        <v>69.505510630881844</v>
      </c>
      <c r="G9" s="7">
        <f>F9*2%</f>
        <v>1.390110212617637</v>
      </c>
      <c r="H9" s="7">
        <f>F9+G9</f>
        <v>70.895620843499486</v>
      </c>
      <c r="I9" s="7">
        <f>H9/1.06125</f>
        <v>66.803883009186791</v>
      </c>
      <c r="J9" s="7">
        <f>I9+(H9*J6)</f>
        <v>66.881868192114638</v>
      </c>
      <c r="K9" s="10">
        <f>J9+$K$6</f>
        <v>69.751868192114642</v>
      </c>
      <c r="L9" s="7">
        <f>K9+1</f>
        <v>70.751868192114642</v>
      </c>
      <c r="M9" s="7"/>
    </row>
    <row r="10" spans="1:13" x14ac:dyDescent="0.25">
      <c r="C10" s="7">
        <v>405</v>
      </c>
      <c r="D10" s="7"/>
      <c r="E10" s="7">
        <v>28245.15</v>
      </c>
      <c r="F10" s="7">
        <f>E10/C10</f>
        <v>69.74111111111111</v>
      </c>
      <c r="G10" s="7">
        <f>F10*2%</f>
        <v>1.3948222222222222</v>
      </c>
      <c r="H10" s="7">
        <f>F10+G10</f>
        <v>71.135933333333327</v>
      </c>
      <c r="I10" s="7">
        <f>H10/1.06125</f>
        <v>67.030325873576743</v>
      </c>
      <c r="J10" s="7">
        <f>I10+(H10*J6)</f>
        <v>67.10857540024341</v>
      </c>
      <c r="K10" s="10">
        <f>J10+$K$6</f>
        <v>69.978575400243415</v>
      </c>
      <c r="L10" s="7">
        <f>K10+1</f>
        <v>70.978575400243415</v>
      </c>
      <c r="M10" s="7"/>
    </row>
    <row r="11" spans="1:13" x14ac:dyDescent="0.25">
      <c r="K11" t="s">
        <v>25</v>
      </c>
      <c r="L11" s="11">
        <f>AVERAGE(L7:L10)</f>
        <v>70.921892598827228</v>
      </c>
    </row>
    <row r="12" spans="1:13" x14ac:dyDescent="0.25">
      <c r="B12" s="6" t="s">
        <v>27</v>
      </c>
      <c r="C12" s="7" t="s">
        <v>10</v>
      </c>
      <c r="D12" s="7" t="s">
        <v>10</v>
      </c>
      <c r="E12" s="7" t="s">
        <v>15</v>
      </c>
      <c r="F12" s="7" t="s">
        <v>17</v>
      </c>
      <c r="G12" s="7" t="s">
        <v>4</v>
      </c>
      <c r="H12" s="7" t="s">
        <v>18</v>
      </c>
      <c r="I12" s="7" t="s">
        <v>14</v>
      </c>
      <c r="J12" s="7" t="s">
        <v>20</v>
      </c>
      <c r="K12" s="7" t="s">
        <v>5</v>
      </c>
      <c r="L12" s="7" t="s">
        <v>21</v>
      </c>
    </row>
    <row r="13" spans="1:13" x14ac:dyDescent="0.25">
      <c r="B13" s="6" t="s">
        <v>26</v>
      </c>
      <c r="C13" s="12">
        <v>5764</v>
      </c>
      <c r="D13" s="4"/>
      <c r="E13" s="12">
        <v>380920.63</v>
      </c>
      <c r="F13" s="4">
        <f>E13/C13</f>
        <v>66.086160652324779</v>
      </c>
      <c r="G13" s="4">
        <f>F13*G6</f>
        <v>1.3217232130464955</v>
      </c>
      <c r="H13" s="4">
        <f>F13+G13</f>
        <v>67.407883865371275</v>
      </c>
      <c r="I13" s="7">
        <f>H13/1.06125</f>
        <v>63.517440626969396</v>
      </c>
      <c r="J13" s="7">
        <f>I13+(H13*J6)</f>
        <v>63.591589299221305</v>
      </c>
      <c r="K13" s="16">
        <f>J13+K6</f>
        <v>66.461589299221302</v>
      </c>
      <c r="L13" s="17">
        <f>K13+L6</f>
        <v>67.461589299221302</v>
      </c>
    </row>
    <row r="14" spans="1:13" x14ac:dyDescent="0.25">
      <c r="L14" s="13"/>
    </row>
    <row r="15" spans="1:13" x14ac:dyDescent="0.25">
      <c r="L15" s="13"/>
    </row>
    <row r="16" spans="1:13" x14ac:dyDescent="0.25">
      <c r="I16" s="7" t="s">
        <v>28</v>
      </c>
      <c r="J16" s="8">
        <v>0.25</v>
      </c>
      <c r="K16" s="7">
        <f>L11</f>
        <v>70.921892598827228</v>
      </c>
      <c r="L16" s="12">
        <f>K16*J16</f>
        <v>17.730473149706807</v>
      </c>
    </row>
    <row r="17" spans="1:12" x14ac:dyDescent="0.25">
      <c r="I17" s="7" t="s">
        <v>29</v>
      </c>
      <c r="J17" s="8">
        <v>0.75</v>
      </c>
      <c r="K17" s="10">
        <f>L13</f>
        <v>67.461589299221302</v>
      </c>
      <c r="L17" s="12">
        <f>K17*J17</f>
        <v>50.596191974415973</v>
      </c>
    </row>
    <row r="18" spans="1:12" x14ac:dyDescent="0.25">
      <c r="I18" s="7"/>
      <c r="J18" s="7"/>
      <c r="K18" s="7" t="s">
        <v>2</v>
      </c>
      <c r="L18" s="17">
        <f>L17+L16</f>
        <v>68.326665124122783</v>
      </c>
    </row>
    <row r="19" spans="1:12" x14ac:dyDescent="0.25">
      <c r="L19" s="13"/>
    </row>
    <row r="20" spans="1:12" x14ac:dyDescent="0.25">
      <c r="A20" s="19" t="s">
        <v>22</v>
      </c>
      <c r="B20" s="19"/>
      <c r="C20" s="7" t="s">
        <v>10</v>
      </c>
      <c r="D20" s="7" t="s">
        <v>13</v>
      </c>
      <c r="E20" s="7" t="s">
        <v>15</v>
      </c>
      <c r="F20" s="7" t="s">
        <v>17</v>
      </c>
      <c r="G20" s="7" t="s">
        <v>4</v>
      </c>
      <c r="H20" s="7" t="s">
        <v>18</v>
      </c>
      <c r="I20" s="7" t="s">
        <v>23</v>
      </c>
      <c r="J20" s="12" t="s">
        <v>24</v>
      </c>
      <c r="K20" s="12" t="s">
        <v>5</v>
      </c>
      <c r="L20" s="12" t="s">
        <v>2</v>
      </c>
    </row>
    <row r="21" spans="1:12" x14ac:dyDescent="0.25">
      <c r="B21" s="14"/>
      <c r="C21" s="7" t="s">
        <v>9</v>
      </c>
      <c r="D21" s="7"/>
      <c r="E21" s="7" t="s">
        <v>16</v>
      </c>
      <c r="F21" s="7" t="s">
        <v>3</v>
      </c>
      <c r="G21" s="8">
        <v>0.02</v>
      </c>
      <c r="H21" s="7" t="s">
        <v>4</v>
      </c>
      <c r="I21" s="7"/>
      <c r="J21" s="7"/>
      <c r="K21" s="7"/>
      <c r="L21" s="7"/>
    </row>
    <row r="22" spans="1:12" x14ac:dyDescent="0.25">
      <c r="B22" s="14"/>
      <c r="C22" s="7">
        <v>4600</v>
      </c>
      <c r="D22" s="7">
        <v>107.5</v>
      </c>
      <c r="E22" s="7">
        <f>D22*C22</f>
        <v>494500</v>
      </c>
      <c r="F22" s="7">
        <f>E22/C22</f>
        <v>107.5</v>
      </c>
      <c r="G22" s="7">
        <f>F22*G21</f>
        <v>2.15</v>
      </c>
      <c r="H22" s="7">
        <f>F22+G22</f>
        <v>109.65</v>
      </c>
      <c r="I22" s="7">
        <v>11.51</v>
      </c>
      <c r="J22" s="7">
        <f>H22-I22</f>
        <v>98.14</v>
      </c>
      <c r="K22" s="7">
        <v>1.25</v>
      </c>
      <c r="L22" s="7">
        <f>J22+K22</f>
        <v>99.39</v>
      </c>
    </row>
    <row r="26" spans="1:12" x14ac:dyDescent="0.25">
      <c r="A26" s="19" t="s">
        <v>8</v>
      </c>
      <c r="B26" s="19"/>
      <c r="C26" s="7" t="s">
        <v>10</v>
      </c>
      <c r="D26" s="7" t="s">
        <v>13</v>
      </c>
      <c r="E26" s="7" t="s">
        <v>3</v>
      </c>
      <c r="F26" s="7" t="s">
        <v>4</v>
      </c>
      <c r="G26" s="7" t="s">
        <v>2</v>
      </c>
      <c r="H26" s="7" t="s">
        <v>30</v>
      </c>
      <c r="I26" s="7" t="s">
        <v>31</v>
      </c>
      <c r="J26" s="12" t="s">
        <v>32</v>
      </c>
      <c r="K26" s="12" t="s">
        <v>5</v>
      </c>
      <c r="L26" s="12" t="s">
        <v>2</v>
      </c>
    </row>
    <row r="27" spans="1:12" x14ac:dyDescent="0.25">
      <c r="B27" s="14"/>
      <c r="C27" s="7" t="s">
        <v>9</v>
      </c>
      <c r="D27" s="7"/>
      <c r="E27" s="9">
        <v>0.125</v>
      </c>
      <c r="F27" s="8">
        <v>0.02</v>
      </c>
      <c r="G27" s="8"/>
      <c r="H27" s="7"/>
      <c r="I27" s="7"/>
      <c r="J27" s="7"/>
      <c r="K27" s="7"/>
      <c r="L27" s="7"/>
    </row>
    <row r="28" spans="1:12" x14ac:dyDescent="0.25">
      <c r="B28" s="14"/>
      <c r="C28" s="7">
        <v>9490</v>
      </c>
      <c r="D28" s="7">
        <v>140</v>
      </c>
      <c r="E28" s="7">
        <f>D28*E27</f>
        <v>17.5</v>
      </c>
      <c r="F28" s="7">
        <f>(D28+E28)*F27</f>
        <v>3.15</v>
      </c>
      <c r="G28" s="7">
        <f>D28+E28+F28</f>
        <v>160.65</v>
      </c>
      <c r="H28" s="7">
        <f>G28-E28</f>
        <v>143.15</v>
      </c>
      <c r="I28" s="7">
        <f>G28*C28</f>
        <v>1524568.5</v>
      </c>
      <c r="J28" s="7">
        <f>H28*C28</f>
        <v>1358493.5</v>
      </c>
      <c r="K28" s="7">
        <v>1.25</v>
      </c>
      <c r="L28" s="7">
        <f>H28+K28</f>
        <v>144.4</v>
      </c>
    </row>
    <row r="33" spans="1:13" x14ac:dyDescent="0.25">
      <c r="B33" s="15">
        <v>42217</v>
      </c>
    </row>
    <row r="34" spans="1:13" x14ac:dyDescent="0.25">
      <c r="A34" s="5" t="s">
        <v>6</v>
      </c>
    </row>
    <row r="35" spans="1:13" x14ac:dyDescent="0.25">
      <c r="B35" s="18" t="s">
        <v>27</v>
      </c>
      <c r="C35" s="7" t="s">
        <v>10</v>
      </c>
      <c r="D35" s="7" t="s">
        <v>10</v>
      </c>
      <c r="E35" s="7" t="s">
        <v>15</v>
      </c>
      <c r="F35" s="7" t="s">
        <v>17</v>
      </c>
      <c r="G35" s="7" t="s">
        <v>4</v>
      </c>
      <c r="H35" s="7" t="s">
        <v>18</v>
      </c>
      <c r="I35" s="7" t="s">
        <v>14</v>
      </c>
      <c r="J35" s="7" t="s">
        <v>20</v>
      </c>
      <c r="K35" s="7" t="s">
        <v>5</v>
      </c>
      <c r="L35" s="7" t="s">
        <v>21</v>
      </c>
      <c r="M35" s="7"/>
    </row>
    <row r="36" spans="1:13" x14ac:dyDescent="0.25">
      <c r="B36" s="18" t="s">
        <v>28</v>
      </c>
      <c r="C36" s="7" t="s">
        <v>11</v>
      </c>
      <c r="D36" s="7" t="s">
        <v>12</v>
      </c>
      <c r="E36" s="7" t="s">
        <v>16</v>
      </c>
      <c r="F36" s="7" t="s">
        <v>3</v>
      </c>
      <c r="G36" s="8">
        <v>0.02</v>
      </c>
      <c r="H36" s="7" t="s">
        <v>4</v>
      </c>
      <c r="I36" s="7" t="s">
        <v>19</v>
      </c>
      <c r="J36" s="9">
        <v>1.1000000000000001E-3</v>
      </c>
      <c r="K36" s="10">
        <v>2.58</v>
      </c>
      <c r="L36" s="7">
        <v>1</v>
      </c>
      <c r="M36" s="7"/>
    </row>
    <row r="37" spans="1:13" x14ac:dyDescent="0.25">
      <c r="C37" s="7">
        <v>771</v>
      </c>
      <c r="D37" s="7">
        <f>C37/1000</f>
        <v>0.77100000000000002</v>
      </c>
      <c r="E37" s="7">
        <v>53770.39</v>
      </c>
      <c r="F37" s="7">
        <f>E37/C37</f>
        <v>69.74110246433203</v>
      </c>
      <c r="G37" s="7">
        <f>F37*2%</f>
        <v>1.3948220492866406</v>
      </c>
      <c r="H37" s="7">
        <f>F37+G37</f>
        <v>71.135924513618676</v>
      </c>
      <c r="I37" s="7">
        <f>H37/1.06125</f>
        <v>67.030317562891568</v>
      </c>
      <c r="J37" s="7">
        <f>I37+(H37*J36)</f>
        <v>67.108567079856542</v>
      </c>
      <c r="K37" s="10">
        <f>J37+K36</f>
        <v>69.68856707985654</v>
      </c>
      <c r="L37" s="7">
        <f>K37+1</f>
        <v>70.68856707985654</v>
      </c>
      <c r="M37" s="7"/>
    </row>
    <row r="38" spans="1:13" x14ac:dyDescent="0.25">
      <c r="K38" t="s">
        <v>25</v>
      </c>
      <c r="L38" s="11">
        <f>AVERAGE(L37:L37)</f>
        <v>70.68856707985654</v>
      </c>
    </row>
    <row r="39" spans="1:13" x14ac:dyDescent="0.25">
      <c r="B39" s="6" t="s">
        <v>27</v>
      </c>
      <c r="C39" s="7" t="s">
        <v>10</v>
      </c>
      <c r="D39" s="7" t="s">
        <v>10</v>
      </c>
      <c r="E39" s="7" t="s">
        <v>15</v>
      </c>
      <c r="F39" s="7" t="s">
        <v>17</v>
      </c>
      <c r="G39" s="7" t="s">
        <v>4</v>
      </c>
      <c r="H39" s="7" t="s">
        <v>18</v>
      </c>
      <c r="I39" s="7" t="s">
        <v>14</v>
      </c>
      <c r="J39" s="7" t="s">
        <v>20</v>
      </c>
      <c r="K39" s="7" t="s">
        <v>5</v>
      </c>
      <c r="L39" s="7" t="s">
        <v>21</v>
      </c>
    </row>
    <row r="40" spans="1:13" x14ac:dyDescent="0.25">
      <c r="B40" s="6" t="s">
        <v>26</v>
      </c>
      <c r="C40" s="12">
        <v>1507</v>
      </c>
      <c r="D40" s="4"/>
      <c r="E40" s="12">
        <v>99591.84</v>
      </c>
      <c r="F40" s="4">
        <f>E40/C40</f>
        <v>66.086157929661582</v>
      </c>
      <c r="G40" s="4">
        <f>F40*G36</f>
        <v>1.3217231585932316</v>
      </c>
      <c r="H40" s="4">
        <f>F40+G40</f>
        <v>67.407881088254811</v>
      </c>
      <c r="I40" s="7">
        <f>H40/1.06125</f>
        <v>63.517438010134093</v>
      </c>
      <c r="J40" s="7">
        <f>I40+(H40*J36)</f>
        <v>63.591586679331172</v>
      </c>
      <c r="K40" s="16">
        <f>J40+K36</f>
        <v>66.17158667933117</v>
      </c>
      <c r="L40" s="17">
        <f>K40+L36</f>
        <v>67.17158667933117</v>
      </c>
    </row>
    <row r="41" spans="1:13" x14ac:dyDescent="0.25">
      <c r="L41" s="13"/>
    </row>
    <row r="42" spans="1:13" x14ac:dyDescent="0.25">
      <c r="L42" s="13"/>
    </row>
    <row r="43" spans="1:13" x14ac:dyDescent="0.25">
      <c r="I43" s="7" t="s">
        <v>28</v>
      </c>
      <c r="J43" s="8">
        <v>0.25</v>
      </c>
      <c r="K43" s="7">
        <f>L38</f>
        <v>70.68856707985654</v>
      </c>
      <c r="L43" s="12">
        <f>K43*J43</f>
        <v>17.672141769964135</v>
      </c>
    </row>
    <row r="44" spans="1:13" x14ac:dyDescent="0.25">
      <c r="I44" s="7" t="s">
        <v>29</v>
      </c>
      <c r="J44" s="8">
        <v>0.75</v>
      </c>
      <c r="K44" s="10">
        <f>L40</f>
        <v>67.17158667933117</v>
      </c>
      <c r="L44" s="12">
        <f>K44*J44</f>
        <v>50.378690009498378</v>
      </c>
    </row>
    <row r="45" spans="1:13" x14ac:dyDescent="0.25">
      <c r="I45" s="7"/>
      <c r="J45" s="7"/>
      <c r="K45" s="7" t="s">
        <v>2</v>
      </c>
      <c r="L45" s="17">
        <f>L44+L43</f>
        <v>68.050831779462513</v>
      </c>
    </row>
    <row r="49" spans="1:12" x14ac:dyDescent="0.25">
      <c r="L49" s="13"/>
    </row>
    <row r="50" spans="1:12" x14ac:dyDescent="0.25">
      <c r="A50" s="19" t="s">
        <v>22</v>
      </c>
      <c r="B50" s="19"/>
      <c r="C50" s="7" t="s">
        <v>10</v>
      </c>
      <c r="D50" s="7" t="s">
        <v>13</v>
      </c>
      <c r="E50" s="7" t="s">
        <v>15</v>
      </c>
      <c r="F50" s="7" t="s">
        <v>17</v>
      </c>
      <c r="G50" s="7" t="s">
        <v>4</v>
      </c>
      <c r="H50" s="7" t="s">
        <v>18</v>
      </c>
      <c r="I50" s="7" t="s">
        <v>23</v>
      </c>
      <c r="J50" s="12" t="s">
        <v>24</v>
      </c>
      <c r="K50" s="12" t="s">
        <v>5</v>
      </c>
      <c r="L50" s="12" t="s">
        <v>2</v>
      </c>
    </row>
    <row r="51" spans="1:12" x14ac:dyDescent="0.25">
      <c r="B51" s="14"/>
      <c r="C51" s="7" t="s">
        <v>9</v>
      </c>
      <c r="D51" s="7"/>
      <c r="E51" s="7" t="s">
        <v>16</v>
      </c>
      <c r="F51" s="7" t="s">
        <v>3</v>
      </c>
      <c r="G51" s="8">
        <v>0.02</v>
      </c>
      <c r="H51" s="7" t="s">
        <v>4</v>
      </c>
      <c r="I51" s="7"/>
      <c r="J51" s="7"/>
      <c r="K51" s="7"/>
      <c r="L51" s="7"/>
    </row>
    <row r="52" spans="1:12" x14ac:dyDescent="0.25">
      <c r="B52" s="14"/>
      <c r="C52" s="7">
        <v>2300</v>
      </c>
      <c r="D52" s="7">
        <v>110</v>
      </c>
      <c r="E52" s="7">
        <f>D52*C52</f>
        <v>253000</v>
      </c>
      <c r="F52" s="7">
        <f>E52/C52</f>
        <v>110</v>
      </c>
      <c r="G52" s="7">
        <f>F52*G51</f>
        <v>2.2000000000000002</v>
      </c>
      <c r="H52" s="7">
        <f>F52+G52</f>
        <v>112.2</v>
      </c>
      <c r="I52" s="7">
        <v>14</v>
      </c>
      <c r="J52" s="7">
        <f>H52-I52</f>
        <v>98.2</v>
      </c>
      <c r="K52" s="7">
        <v>1.25</v>
      </c>
      <c r="L52" s="7">
        <f>J52+K52</f>
        <v>99.45</v>
      </c>
    </row>
    <row r="56" spans="1:12" x14ac:dyDescent="0.25">
      <c r="A56" s="19" t="s">
        <v>8</v>
      </c>
      <c r="B56" s="19"/>
      <c r="C56" s="7" t="s">
        <v>10</v>
      </c>
      <c r="D56" s="7" t="s">
        <v>13</v>
      </c>
      <c r="E56" s="7" t="s">
        <v>3</v>
      </c>
      <c r="F56" s="7" t="s">
        <v>4</v>
      </c>
      <c r="G56" s="7" t="s">
        <v>2</v>
      </c>
      <c r="H56" s="7" t="s">
        <v>30</v>
      </c>
      <c r="I56" s="7" t="s">
        <v>31</v>
      </c>
      <c r="J56" s="12" t="s">
        <v>32</v>
      </c>
      <c r="K56" s="12" t="s">
        <v>5</v>
      </c>
      <c r="L56" s="12" t="s">
        <v>2</v>
      </c>
    </row>
    <row r="57" spans="1:12" x14ac:dyDescent="0.25">
      <c r="B57" s="14"/>
      <c r="C57" s="7" t="s">
        <v>9</v>
      </c>
      <c r="D57" s="7"/>
      <c r="E57" s="9">
        <v>0.125</v>
      </c>
      <c r="F57" s="8">
        <v>0.02</v>
      </c>
      <c r="G57" s="8"/>
      <c r="H57" s="7"/>
      <c r="I57" s="7"/>
      <c r="J57" s="7"/>
      <c r="K57" s="7"/>
      <c r="L57" s="7"/>
    </row>
    <row r="58" spans="1:12" x14ac:dyDescent="0.25">
      <c r="B58" s="14"/>
      <c r="C58" s="7">
        <v>9490</v>
      </c>
      <c r="D58" s="7">
        <v>140</v>
      </c>
      <c r="E58" s="7">
        <f>D58*E57</f>
        <v>17.5</v>
      </c>
      <c r="F58" s="7">
        <f>(D58+E58)*F57</f>
        <v>3.15</v>
      </c>
      <c r="G58" s="7">
        <f>D58+E58+F58</f>
        <v>160.65</v>
      </c>
      <c r="H58" s="7">
        <f>G58-E58</f>
        <v>143.15</v>
      </c>
      <c r="I58" s="7">
        <f>G58*C58</f>
        <v>1524568.5</v>
      </c>
      <c r="J58" s="7">
        <f>H58*C58</f>
        <v>1358493.5</v>
      </c>
      <c r="K58" s="7">
        <v>1.25</v>
      </c>
      <c r="L58" s="7">
        <f>H58+K58</f>
        <v>144.4</v>
      </c>
    </row>
    <row r="65" spans="1:12" x14ac:dyDescent="0.25">
      <c r="B65" s="15" t="s">
        <v>48</v>
      </c>
    </row>
    <row r="66" spans="1:12" x14ac:dyDescent="0.25">
      <c r="A66" s="5" t="s">
        <v>6</v>
      </c>
    </row>
    <row r="67" spans="1:12" x14ac:dyDescent="0.25">
      <c r="B67" s="18" t="s">
        <v>27</v>
      </c>
      <c r="C67" s="7" t="s">
        <v>10</v>
      </c>
      <c r="D67" s="7" t="s">
        <v>10</v>
      </c>
      <c r="E67" s="7" t="s">
        <v>15</v>
      </c>
      <c r="F67" s="7" t="s">
        <v>17</v>
      </c>
      <c r="G67" s="7" t="s">
        <v>4</v>
      </c>
      <c r="H67" s="7" t="s">
        <v>18</v>
      </c>
      <c r="I67" s="7" t="s">
        <v>14</v>
      </c>
      <c r="J67" s="7" t="s">
        <v>20</v>
      </c>
      <c r="K67" s="7" t="s">
        <v>5</v>
      </c>
      <c r="L67" s="7" t="s">
        <v>21</v>
      </c>
    </row>
    <row r="68" spans="1:12" x14ac:dyDescent="0.25">
      <c r="B68" s="18" t="s">
        <v>28</v>
      </c>
      <c r="C68" s="7" t="s">
        <v>11</v>
      </c>
      <c r="D68" s="7" t="s">
        <v>12</v>
      </c>
      <c r="E68" s="7" t="s">
        <v>16</v>
      </c>
      <c r="F68" s="7" t="s">
        <v>3</v>
      </c>
      <c r="G68" s="8">
        <v>0.02</v>
      </c>
      <c r="H68" s="7" t="s">
        <v>4</v>
      </c>
      <c r="I68" s="7" t="s">
        <v>19</v>
      </c>
      <c r="J68" s="9">
        <v>1.1000000000000001E-3</v>
      </c>
      <c r="K68" s="10">
        <v>2.58</v>
      </c>
      <c r="L68" s="7">
        <v>1</v>
      </c>
    </row>
    <row r="69" spans="1:12" x14ac:dyDescent="0.25">
      <c r="C69" s="7">
        <v>771</v>
      </c>
      <c r="D69" s="7">
        <f>C69/1000</f>
        <v>0.77100000000000002</v>
      </c>
      <c r="E69" s="7">
        <v>53770.39</v>
      </c>
      <c r="F69" s="7">
        <f>E69/C69</f>
        <v>69.74110246433203</v>
      </c>
      <c r="G69" s="7">
        <f>F69*2%</f>
        <v>1.3948220492866406</v>
      </c>
      <c r="H69" s="7">
        <f>F69+G69</f>
        <v>71.135924513618676</v>
      </c>
      <c r="I69" s="7">
        <f>H69/1.06125</f>
        <v>67.030317562891568</v>
      </c>
      <c r="J69" s="7">
        <f>I69+(H69*J68)</f>
        <v>67.108567079856542</v>
      </c>
      <c r="K69" s="10">
        <f>J69+K68</f>
        <v>69.68856707985654</v>
      </c>
      <c r="L69" s="7">
        <f>K69+1</f>
        <v>70.68856707985654</v>
      </c>
    </row>
    <row r="70" spans="1:12" x14ac:dyDescent="0.25">
      <c r="K70" t="s">
        <v>25</v>
      </c>
      <c r="L70" s="11">
        <f>AVERAGE(L69:L69)</f>
        <v>70.68856707985654</v>
      </c>
    </row>
    <row r="71" spans="1:12" x14ac:dyDescent="0.25">
      <c r="B71" s="6" t="s">
        <v>27</v>
      </c>
      <c r="C71" s="7" t="s">
        <v>10</v>
      </c>
      <c r="D71" s="7" t="s">
        <v>10</v>
      </c>
      <c r="E71" s="7" t="s">
        <v>15</v>
      </c>
      <c r="F71" s="7" t="s">
        <v>17</v>
      </c>
      <c r="G71" s="7" t="s">
        <v>4</v>
      </c>
      <c r="H71" s="7" t="s">
        <v>18</v>
      </c>
      <c r="I71" s="7" t="s">
        <v>14</v>
      </c>
      <c r="J71" s="7" t="s">
        <v>20</v>
      </c>
      <c r="K71" s="7" t="s">
        <v>5</v>
      </c>
      <c r="L71" s="7" t="s">
        <v>21</v>
      </c>
    </row>
    <row r="72" spans="1:12" x14ac:dyDescent="0.25">
      <c r="B72" s="6" t="s">
        <v>26</v>
      </c>
      <c r="C72" s="12">
        <v>1507</v>
      </c>
      <c r="D72" s="4"/>
      <c r="E72" s="12">
        <v>99591.84</v>
      </c>
      <c r="F72" s="4">
        <f>E72/C72</f>
        <v>66.086157929661582</v>
      </c>
      <c r="G72" s="4">
        <f>F72*G68</f>
        <v>1.3217231585932316</v>
      </c>
      <c r="H72" s="4">
        <f>F72+G72</f>
        <v>67.407881088254811</v>
      </c>
      <c r="I72" s="7">
        <f>H72/1.06125</f>
        <v>63.517438010134093</v>
      </c>
      <c r="J72" s="7">
        <f>I72+(H72*J68)</f>
        <v>63.591586679331172</v>
      </c>
      <c r="K72" s="16">
        <f>J72+K68</f>
        <v>66.17158667933117</v>
      </c>
      <c r="L72" s="17">
        <f>K72+L68</f>
        <v>67.17158667933117</v>
      </c>
    </row>
    <row r="73" spans="1:12" x14ac:dyDescent="0.25">
      <c r="L73" s="13"/>
    </row>
    <row r="74" spans="1:12" x14ac:dyDescent="0.25">
      <c r="L74" s="13"/>
    </row>
    <row r="75" spans="1:12" x14ac:dyDescent="0.25">
      <c r="I75" s="7" t="s">
        <v>28</v>
      </c>
      <c r="J75" s="8">
        <v>0.25</v>
      </c>
      <c r="K75" s="7">
        <f>L70</f>
        <v>70.68856707985654</v>
      </c>
      <c r="L75" s="12">
        <f>K75*J75</f>
        <v>17.672141769964135</v>
      </c>
    </row>
    <row r="76" spans="1:12" x14ac:dyDescent="0.25">
      <c r="I76" s="7" t="s">
        <v>29</v>
      </c>
      <c r="J76" s="8">
        <v>0.75</v>
      </c>
      <c r="K76" s="10">
        <f>L72</f>
        <v>67.17158667933117</v>
      </c>
      <c r="L76" s="12">
        <f>K76*J76</f>
        <v>50.378690009498378</v>
      </c>
    </row>
    <row r="77" spans="1:12" x14ac:dyDescent="0.25">
      <c r="I77" s="7"/>
      <c r="J77" s="7"/>
      <c r="K77" s="7" t="s">
        <v>2</v>
      </c>
      <c r="L77" s="17">
        <f>L76+L75</f>
        <v>68.050831779462513</v>
      </c>
    </row>
    <row r="81" spans="1:12" x14ac:dyDescent="0.25">
      <c r="L81" s="13"/>
    </row>
    <row r="82" spans="1:12" x14ac:dyDescent="0.25">
      <c r="A82" s="19" t="s">
        <v>22</v>
      </c>
      <c r="B82" s="19"/>
      <c r="C82" s="7" t="s">
        <v>10</v>
      </c>
      <c r="D82" s="7" t="s">
        <v>13</v>
      </c>
      <c r="E82" s="7" t="s">
        <v>15</v>
      </c>
      <c r="F82" s="7" t="s">
        <v>17</v>
      </c>
      <c r="G82" s="7" t="s">
        <v>4</v>
      </c>
      <c r="H82" s="7" t="s">
        <v>18</v>
      </c>
      <c r="I82" s="7" t="s">
        <v>23</v>
      </c>
      <c r="J82" s="12" t="s">
        <v>24</v>
      </c>
      <c r="K82" s="12" t="s">
        <v>5</v>
      </c>
      <c r="L82" s="12" t="s">
        <v>2</v>
      </c>
    </row>
    <row r="83" spans="1:12" x14ac:dyDescent="0.25">
      <c r="B83" s="14"/>
      <c r="C83" s="7" t="s">
        <v>9</v>
      </c>
      <c r="D83" s="7"/>
      <c r="E83" s="7" t="s">
        <v>16</v>
      </c>
      <c r="F83" s="7" t="s">
        <v>3</v>
      </c>
      <c r="G83" s="8">
        <v>0.02</v>
      </c>
      <c r="H83" s="7" t="s">
        <v>4</v>
      </c>
      <c r="I83" s="7"/>
      <c r="J83" s="7"/>
      <c r="K83" s="7"/>
      <c r="L83" s="7"/>
    </row>
    <row r="84" spans="1:12" x14ac:dyDescent="0.25">
      <c r="B84" s="14"/>
      <c r="C84" s="7">
        <v>2300</v>
      </c>
      <c r="D84" s="7">
        <v>110</v>
      </c>
      <c r="E84" s="7">
        <f>D84*C84</f>
        <v>253000</v>
      </c>
      <c r="F84" s="7">
        <f>E84/C84</f>
        <v>110</v>
      </c>
      <c r="G84" s="7">
        <f>F84*G83</f>
        <v>2.2000000000000002</v>
      </c>
      <c r="H84" s="7">
        <f>F84+G84</f>
        <v>112.2</v>
      </c>
      <c r="I84" s="7">
        <v>14</v>
      </c>
      <c r="J84" s="7">
        <f>H84-I84</f>
        <v>98.2</v>
      </c>
      <c r="K84" s="7">
        <v>1.25</v>
      </c>
      <c r="L84" s="7">
        <f>J84+K84</f>
        <v>99.45</v>
      </c>
    </row>
    <row r="88" spans="1:12" x14ac:dyDescent="0.25">
      <c r="A88" s="19" t="s">
        <v>8</v>
      </c>
      <c r="B88" s="19"/>
      <c r="C88" s="7" t="s">
        <v>10</v>
      </c>
      <c r="D88" s="7" t="s">
        <v>13</v>
      </c>
      <c r="E88" s="7" t="s">
        <v>3</v>
      </c>
      <c r="F88" s="7" t="s">
        <v>4</v>
      </c>
      <c r="G88" s="7" t="s">
        <v>2</v>
      </c>
      <c r="H88" s="7" t="s">
        <v>30</v>
      </c>
      <c r="I88" s="7" t="s">
        <v>31</v>
      </c>
      <c r="J88" s="12" t="s">
        <v>32</v>
      </c>
      <c r="K88" s="12" t="s">
        <v>5</v>
      </c>
      <c r="L88" s="12" t="s">
        <v>2</v>
      </c>
    </row>
    <row r="89" spans="1:12" x14ac:dyDescent="0.25">
      <c r="B89" s="14"/>
      <c r="C89" s="7" t="s">
        <v>9</v>
      </c>
      <c r="D89" s="7"/>
      <c r="E89" s="9">
        <v>0.125</v>
      </c>
      <c r="F89" s="8">
        <v>0.02</v>
      </c>
      <c r="G89" s="8"/>
      <c r="H89" s="7"/>
      <c r="I89" s="7"/>
      <c r="J89" s="7"/>
      <c r="K89" s="7"/>
      <c r="L89" s="7"/>
    </row>
    <row r="90" spans="1:12" x14ac:dyDescent="0.25">
      <c r="B90" s="14"/>
      <c r="C90" s="7">
        <v>9490</v>
      </c>
      <c r="D90" s="7">
        <v>140</v>
      </c>
      <c r="E90" s="7">
        <f>D90*E89</f>
        <v>17.5</v>
      </c>
      <c r="F90" s="7">
        <f>(D90+E90)*F89</f>
        <v>3.15</v>
      </c>
      <c r="G90" s="7">
        <f>D90+E90+F90</f>
        <v>160.65</v>
      </c>
      <c r="H90" s="7">
        <f>G90-E90</f>
        <v>143.15</v>
      </c>
      <c r="I90" s="7">
        <f>G90*C90</f>
        <v>1524568.5</v>
      </c>
      <c r="J90" s="7">
        <f>H90*C90</f>
        <v>1358493.5</v>
      </c>
      <c r="K90" s="7">
        <v>1.25</v>
      </c>
      <c r="L90" s="7">
        <f>H90+K90</f>
        <v>144.4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79"/>
  <sheetViews>
    <sheetView workbookViewId="0">
      <pane xSplit="3" ySplit="5" topLeftCell="D34" activePane="bottomRight" state="frozen"/>
      <selection pane="topRight" activeCell="D1" sqref="D1"/>
      <selection pane="bottomLeft" activeCell="A6" sqref="A6"/>
      <selection pane="bottomRight" activeCell="E43" sqref="E43"/>
    </sheetView>
  </sheetViews>
  <sheetFormatPr defaultRowHeight="15" x14ac:dyDescent="0.25"/>
  <cols>
    <col min="3" max="3" width="17.5703125" bestFit="1" customWidth="1"/>
    <col min="4" max="4" width="14.85546875" style="20" bestFit="1" customWidth="1"/>
    <col min="5" max="5" width="12.42578125" bestFit="1" customWidth="1"/>
    <col min="6" max="6" width="12.42578125" customWidth="1"/>
    <col min="7" max="7" width="18" customWidth="1"/>
    <col min="8" max="8" width="11.28515625" customWidth="1"/>
    <col min="9" max="9" width="14.28515625" customWidth="1"/>
    <col min="10" max="10" width="20.42578125" bestFit="1" customWidth="1"/>
    <col min="13" max="13" width="11.5703125" bestFit="1" customWidth="1"/>
  </cols>
  <sheetData>
    <row r="3" spans="3:20" x14ac:dyDescent="0.25">
      <c r="C3" s="21"/>
      <c r="D3" s="22"/>
    </row>
    <row r="5" spans="3:20" ht="94.5" x14ac:dyDescent="0.25">
      <c r="C5" s="23" t="s">
        <v>34</v>
      </c>
      <c r="D5" s="23" t="s">
        <v>45</v>
      </c>
      <c r="E5" s="23" t="s">
        <v>35</v>
      </c>
      <c r="F5" s="23"/>
      <c r="G5" s="23" t="s">
        <v>37</v>
      </c>
      <c r="H5" s="24" t="s">
        <v>36</v>
      </c>
      <c r="I5" s="24" t="s">
        <v>6</v>
      </c>
      <c r="J5" s="24" t="s">
        <v>22</v>
      </c>
      <c r="K5" s="24" t="s">
        <v>46</v>
      </c>
      <c r="L5" s="25" t="s">
        <v>47</v>
      </c>
      <c r="M5" s="36"/>
      <c r="N5" s="36"/>
      <c r="P5" t="s">
        <v>54</v>
      </c>
      <c r="Q5" t="s">
        <v>55</v>
      </c>
      <c r="S5" s="43" t="s">
        <v>56</v>
      </c>
      <c r="T5" s="44" t="s">
        <v>57</v>
      </c>
    </row>
    <row r="6" spans="3:20" x14ac:dyDescent="0.25">
      <c r="C6" s="27">
        <v>41275</v>
      </c>
      <c r="D6" s="27"/>
      <c r="E6" s="28">
        <v>101.47</v>
      </c>
      <c r="F6" s="28"/>
      <c r="G6" s="28">
        <v>106</v>
      </c>
      <c r="H6" s="29">
        <v>110</v>
      </c>
      <c r="I6" s="7"/>
      <c r="J6" s="7"/>
      <c r="K6" s="26"/>
      <c r="L6" s="26"/>
      <c r="M6" s="37"/>
      <c r="N6" s="37"/>
      <c r="S6" s="45"/>
      <c r="T6" s="46"/>
    </row>
    <row r="7" spans="3:20" x14ac:dyDescent="0.25">
      <c r="C7" s="27">
        <v>41306</v>
      </c>
      <c r="D7" s="27"/>
      <c r="E7" s="28">
        <v>95.36</v>
      </c>
      <c r="F7" s="28"/>
      <c r="G7" s="28">
        <v>109</v>
      </c>
      <c r="H7" s="29">
        <v>128</v>
      </c>
      <c r="I7" s="7"/>
      <c r="J7" s="7"/>
      <c r="K7" s="26"/>
      <c r="L7" s="26"/>
      <c r="M7" s="37"/>
      <c r="N7" s="37"/>
      <c r="S7" s="45"/>
      <c r="T7" s="46"/>
    </row>
    <row r="8" spans="3:20" x14ac:dyDescent="0.25">
      <c r="C8" s="27">
        <v>41334</v>
      </c>
      <c r="D8" s="27"/>
      <c r="E8" s="28">
        <v>98.99</v>
      </c>
      <c r="F8" s="28"/>
      <c r="G8" s="28">
        <v>108</v>
      </c>
      <c r="H8" s="29">
        <v>128</v>
      </c>
      <c r="I8" s="7"/>
      <c r="J8" s="7"/>
      <c r="K8" s="26">
        <v>156.18</v>
      </c>
      <c r="L8" s="26"/>
      <c r="M8" s="37"/>
      <c r="N8" s="37"/>
      <c r="S8" s="45"/>
      <c r="T8" s="46"/>
    </row>
    <row r="9" spans="3:20" x14ac:dyDescent="0.25">
      <c r="C9" s="27">
        <v>41365</v>
      </c>
      <c r="D9" s="27"/>
      <c r="E9" s="28">
        <v>96.96</v>
      </c>
      <c r="F9" s="28"/>
      <c r="G9" s="28">
        <v>103</v>
      </c>
      <c r="H9" s="29">
        <v>128</v>
      </c>
      <c r="I9" s="7"/>
      <c r="J9" s="7"/>
      <c r="K9" s="26">
        <v>156.18</v>
      </c>
      <c r="L9" s="26"/>
      <c r="M9" s="37"/>
      <c r="N9" s="37"/>
      <c r="S9" s="45"/>
      <c r="T9" s="46"/>
    </row>
    <row r="10" spans="3:20" x14ac:dyDescent="0.25">
      <c r="C10" s="27">
        <v>41395</v>
      </c>
      <c r="D10" s="55">
        <v>54.975000000000001</v>
      </c>
      <c r="E10" s="28">
        <v>95.95</v>
      </c>
      <c r="F10" s="28">
        <f t="shared" ref="F10:F32" si="0">(D10*E10)/1000</f>
        <v>5.2748512500000002</v>
      </c>
      <c r="G10" s="28">
        <v>103</v>
      </c>
      <c r="H10" s="29">
        <v>128</v>
      </c>
      <c r="I10" s="7"/>
      <c r="J10" s="7"/>
      <c r="K10" s="26">
        <v>156.18</v>
      </c>
      <c r="L10" s="26"/>
      <c r="M10" s="37"/>
      <c r="N10" s="37"/>
      <c r="S10" s="45"/>
      <c r="T10" s="46"/>
    </row>
    <row r="11" spans="3:20" x14ac:dyDescent="0.25">
      <c r="C11" s="27">
        <v>41426</v>
      </c>
      <c r="D11" s="55">
        <v>58.024999999999999</v>
      </c>
      <c r="E11" s="28">
        <v>98.48</v>
      </c>
      <c r="F11" s="28">
        <f t="shared" si="0"/>
        <v>5.714302</v>
      </c>
      <c r="G11" s="28">
        <v>106</v>
      </c>
      <c r="H11" s="29">
        <v>128</v>
      </c>
      <c r="I11" s="7"/>
      <c r="J11" s="7"/>
      <c r="K11" s="26">
        <v>153.75</v>
      </c>
      <c r="L11" s="26"/>
      <c r="M11" s="37"/>
      <c r="N11" s="37"/>
      <c r="S11" s="45"/>
      <c r="T11" s="46">
        <v>200</v>
      </c>
    </row>
    <row r="12" spans="3:20" x14ac:dyDescent="0.25">
      <c r="C12" s="27">
        <v>41456</v>
      </c>
      <c r="D12" s="55">
        <v>60.075000000000003</v>
      </c>
      <c r="E12" s="28">
        <v>107.41</v>
      </c>
      <c r="F12" s="28">
        <f t="shared" si="0"/>
        <v>6.4526557499999999</v>
      </c>
      <c r="G12" s="28">
        <v>111</v>
      </c>
      <c r="H12" s="29">
        <v>128</v>
      </c>
      <c r="I12" s="7">
        <v>63.67</v>
      </c>
      <c r="J12" s="7">
        <v>95.6</v>
      </c>
      <c r="K12" s="26">
        <v>155.44999999999999</v>
      </c>
      <c r="L12" s="26"/>
      <c r="M12" s="37"/>
      <c r="N12" s="37"/>
      <c r="S12" s="45"/>
      <c r="T12" s="46">
        <v>217.5</v>
      </c>
    </row>
    <row r="13" spans="3:20" x14ac:dyDescent="0.25">
      <c r="C13" s="27">
        <v>41487</v>
      </c>
      <c r="D13" s="55">
        <v>61.725000000000001</v>
      </c>
      <c r="E13" s="28">
        <v>110.14</v>
      </c>
      <c r="F13" s="28">
        <f t="shared" si="0"/>
        <v>6.798391500000001</v>
      </c>
      <c r="G13" s="28">
        <v>112</v>
      </c>
      <c r="H13" s="29">
        <v>128</v>
      </c>
      <c r="I13" s="7">
        <v>63.67</v>
      </c>
      <c r="J13" s="7">
        <v>95.6</v>
      </c>
      <c r="K13" s="26">
        <v>155.44999999999999</v>
      </c>
      <c r="L13" s="26"/>
      <c r="M13" s="37"/>
      <c r="N13" s="37"/>
      <c r="S13" s="45"/>
      <c r="T13" s="46">
        <v>217.5</v>
      </c>
    </row>
    <row r="14" spans="3:20" x14ac:dyDescent="0.25">
      <c r="C14" s="27">
        <v>41518</v>
      </c>
      <c r="D14" s="55">
        <v>65.400000000000006</v>
      </c>
      <c r="E14" s="28">
        <v>104.3</v>
      </c>
      <c r="F14" s="28">
        <f t="shared" si="0"/>
        <v>6.8212200000000003</v>
      </c>
      <c r="G14" s="28">
        <v>120</v>
      </c>
      <c r="H14" s="29">
        <v>138</v>
      </c>
      <c r="I14" s="7">
        <v>63.67</v>
      </c>
      <c r="J14" s="7">
        <v>95.6</v>
      </c>
      <c r="K14" s="26">
        <v>155.44999999999999</v>
      </c>
      <c r="L14" s="26"/>
      <c r="M14" s="37"/>
      <c r="N14" s="37"/>
      <c r="S14" s="45"/>
      <c r="T14" s="46">
        <v>217.5</v>
      </c>
    </row>
    <row r="15" spans="3:20" x14ac:dyDescent="0.25">
      <c r="C15" s="27">
        <v>41548</v>
      </c>
      <c r="D15" s="55">
        <v>62.375</v>
      </c>
      <c r="E15" s="28">
        <v>98.41</v>
      </c>
      <c r="F15" s="28">
        <f t="shared" si="0"/>
        <v>6.1383237499999996</v>
      </c>
      <c r="G15" s="28">
        <v>114</v>
      </c>
      <c r="H15" s="29">
        <v>148</v>
      </c>
      <c r="I15" s="7">
        <v>67.52</v>
      </c>
      <c r="J15" s="7">
        <v>109</v>
      </c>
      <c r="K15" s="26">
        <v>161.5</v>
      </c>
      <c r="L15" s="26"/>
      <c r="M15" s="37"/>
      <c r="N15" s="37"/>
      <c r="S15" s="45"/>
      <c r="T15" s="46">
        <v>232.5</v>
      </c>
    </row>
    <row r="16" spans="3:20" x14ac:dyDescent="0.25">
      <c r="C16" s="27">
        <v>41579</v>
      </c>
      <c r="D16" s="55">
        <v>63.2</v>
      </c>
      <c r="E16" s="28">
        <v>94.77</v>
      </c>
      <c r="F16" s="28">
        <f t="shared" si="0"/>
        <v>5.9894639999999999</v>
      </c>
      <c r="G16" s="28">
        <v>110</v>
      </c>
      <c r="H16" s="29">
        <v>148</v>
      </c>
      <c r="I16" s="7">
        <v>67.52</v>
      </c>
      <c r="J16" s="7">
        <v>109</v>
      </c>
      <c r="K16" s="26">
        <v>161.5</v>
      </c>
      <c r="L16" s="26"/>
      <c r="M16" s="37"/>
      <c r="N16" s="37"/>
      <c r="S16" s="45"/>
      <c r="T16" s="46">
        <v>215.5</v>
      </c>
    </row>
    <row r="17" spans="3:21" x14ac:dyDescent="0.25">
      <c r="C17" s="27">
        <v>41609</v>
      </c>
      <c r="D17" s="55">
        <v>62.6</v>
      </c>
      <c r="E17" s="28">
        <v>100.53</v>
      </c>
      <c r="F17" s="28">
        <f t="shared" si="0"/>
        <v>6.2931780000000002</v>
      </c>
      <c r="G17" s="28">
        <v>110</v>
      </c>
      <c r="H17" s="29">
        <v>148</v>
      </c>
      <c r="I17" s="7">
        <v>67.52</v>
      </c>
      <c r="J17" s="7">
        <v>109</v>
      </c>
      <c r="K17" s="26">
        <v>161.5</v>
      </c>
      <c r="L17" s="26"/>
      <c r="M17" s="37"/>
      <c r="N17" s="37"/>
      <c r="S17" s="45"/>
      <c r="T17" s="46">
        <v>215.5</v>
      </c>
    </row>
    <row r="18" spans="3:21" x14ac:dyDescent="0.25">
      <c r="C18" s="27">
        <v>41640</v>
      </c>
      <c r="D18" s="55">
        <v>62.274999999999999</v>
      </c>
      <c r="E18" s="28">
        <v>99.5</v>
      </c>
      <c r="F18" s="28">
        <f t="shared" si="0"/>
        <v>6.1963625000000002</v>
      </c>
      <c r="G18" s="28">
        <v>110</v>
      </c>
      <c r="H18" s="29">
        <v>148</v>
      </c>
      <c r="I18" s="7">
        <v>67.52</v>
      </c>
      <c r="J18" s="7">
        <v>109</v>
      </c>
      <c r="K18" s="26">
        <v>161.5</v>
      </c>
      <c r="L18" s="26"/>
      <c r="M18" s="37"/>
      <c r="N18" s="37"/>
      <c r="S18" s="45"/>
      <c r="T18" s="46">
        <v>217.5</v>
      </c>
    </row>
    <row r="19" spans="3:21" x14ac:dyDescent="0.25">
      <c r="C19" s="27">
        <v>41671</v>
      </c>
      <c r="D19" s="55">
        <v>62.95</v>
      </c>
      <c r="E19" s="28">
        <v>104.53</v>
      </c>
      <c r="F19" s="28">
        <f t="shared" si="0"/>
        <v>6.5801635000000003</v>
      </c>
      <c r="G19" s="28">
        <v>109</v>
      </c>
      <c r="H19" s="29">
        <v>148</v>
      </c>
      <c r="I19" s="7">
        <v>67.52</v>
      </c>
      <c r="J19" s="7">
        <v>109</v>
      </c>
      <c r="K19" s="26">
        <v>161.5</v>
      </c>
      <c r="L19" s="26"/>
      <c r="M19" s="37" t="s">
        <v>49</v>
      </c>
      <c r="N19" s="37"/>
      <c r="S19" s="45"/>
      <c r="T19" s="46"/>
    </row>
    <row r="20" spans="3:21" x14ac:dyDescent="0.25">
      <c r="C20" s="27">
        <v>41699</v>
      </c>
      <c r="D20" s="55">
        <v>61.875</v>
      </c>
      <c r="E20" s="28">
        <v>102.59</v>
      </c>
      <c r="F20" s="28">
        <f t="shared" si="0"/>
        <v>6.3477562500000007</v>
      </c>
      <c r="G20" s="28">
        <v>107</v>
      </c>
      <c r="H20" s="29">
        <v>148</v>
      </c>
      <c r="I20" s="7">
        <v>67.52</v>
      </c>
      <c r="J20" s="7">
        <v>109</v>
      </c>
      <c r="K20" s="26">
        <v>161.5</v>
      </c>
      <c r="L20" s="26"/>
      <c r="M20" s="37"/>
      <c r="N20" s="37"/>
      <c r="S20" s="45"/>
      <c r="T20" s="46"/>
      <c r="U20" s="35" t="e">
        <f t="shared" ref="U20:U39" si="1">(S20-S19)/S19</f>
        <v>#DIV/0!</v>
      </c>
    </row>
    <row r="21" spans="3:21" x14ac:dyDescent="0.25">
      <c r="C21" s="27">
        <v>41730</v>
      </c>
      <c r="D21" s="55">
        <v>60.625</v>
      </c>
      <c r="E21" s="28">
        <v>100.77</v>
      </c>
      <c r="F21" s="28">
        <f t="shared" si="0"/>
        <v>6.1091812499999998</v>
      </c>
      <c r="G21" s="28">
        <v>105</v>
      </c>
      <c r="H21" s="29">
        <v>148</v>
      </c>
      <c r="I21" s="7">
        <v>67.52</v>
      </c>
      <c r="J21" s="7">
        <v>109</v>
      </c>
      <c r="K21" s="26">
        <v>161.5</v>
      </c>
      <c r="L21" s="26"/>
      <c r="M21" s="39"/>
      <c r="N21" s="37"/>
      <c r="P21" s="35"/>
      <c r="S21" s="45"/>
      <c r="T21" s="46">
        <v>205</v>
      </c>
      <c r="U21" s="35" t="e">
        <f t="shared" si="1"/>
        <v>#DIV/0!</v>
      </c>
    </row>
    <row r="22" spans="3:21" x14ac:dyDescent="0.25">
      <c r="C22" s="27">
        <v>41760</v>
      </c>
      <c r="D22" s="55">
        <v>60.475000000000001</v>
      </c>
      <c r="E22" s="28">
        <v>103.71</v>
      </c>
      <c r="F22" s="28">
        <f t="shared" si="0"/>
        <v>6.2718622499999999</v>
      </c>
      <c r="G22" s="28">
        <v>106</v>
      </c>
      <c r="H22" s="29">
        <v>148</v>
      </c>
      <c r="I22" s="7">
        <v>67.52</v>
      </c>
      <c r="J22" s="7">
        <v>109</v>
      </c>
      <c r="K22" s="26">
        <v>161.5</v>
      </c>
      <c r="L22" s="26"/>
      <c r="M22" s="39"/>
      <c r="N22" s="37"/>
      <c r="P22" s="35"/>
      <c r="S22" s="45"/>
      <c r="T22" s="46">
        <v>205</v>
      </c>
      <c r="U22" s="35" t="e">
        <f t="shared" si="1"/>
        <v>#DIV/0!</v>
      </c>
    </row>
    <row r="23" spans="3:21" x14ac:dyDescent="0.25">
      <c r="C23" s="27">
        <v>41791</v>
      </c>
      <c r="D23" s="55">
        <v>60.15</v>
      </c>
      <c r="E23" s="28">
        <v>106.18</v>
      </c>
      <c r="F23" s="28">
        <f t="shared" si="0"/>
        <v>6.3867269999999996</v>
      </c>
      <c r="G23" s="28">
        <v>102</v>
      </c>
      <c r="H23" s="29">
        <v>148</v>
      </c>
      <c r="I23" s="7">
        <v>67.52</v>
      </c>
      <c r="J23" s="7">
        <v>109</v>
      </c>
      <c r="K23" s="26">
        <v>161.5</v>
      </c>
      <c r="L23" s="26"/>
      <c r="M23" s="39"/>
      <c r="N23" s="37"/>
      <c r="P23" s="35"/>
      <c r="S23" s="45"/>
      <c r="T23" s="46">
        <v>205</v>
      </c>
      <c r="U23" s="35" t="e">
        <f t="shared" si="1"/>
        <v>#DIV/0!</v>
      </c>
    </row>
    <row r="24" spans="3:21" x14ac:dyDescent="0.25">
      <c r="C24" s="27">
        <v>41821</v>
      </c>
      <c r="D24" s="55">
        <v>60.4</v>
      </c>
      <c r="E24" s="28">
        <v>98.43</v>
      </c>
      <c r="F24" s="28">
        <f t="shared" si="0"/>
        <v>5.9451720000000003</v>
      </c>
      <c r="G24" s="28">
        <v>109</v>
      </c>
      <c r="H24" s="29">
        <v>148</v>
      </c>
      <c r="I24" s="7">
        <v>67.52</v>
      </c>
      <c r="J24" s="7">
        <v>109</v>
      </c>
      <c r="K24" s="26">
        <v>161.5</v>
      </c>
      <c r="L24" s="26"/>
      <c r="M24" s="39">
        <f t="shared" ref="M24:M41" si="2">(D24*E24-D23*E23)/(D23*E23)</f>
        <v>-6.9136351060566606E-2</v>
      </c>
      <c r="N24" s="37"/>
      <c r="O24" s="35">
        <f t="shared" ref="O24:P38" si="3">(G23-G24)/G23</f>
        <v>-6.8627450980392163E-2</v>
      </c>
      <c r="P24" s="35">
        <f t="shared" si="3"/>
        <v>0</v>
      </c>
      <c r="S24" s="45">
        <v>163.89</v>
      </c>
      <c r="T24" s="46">
        <v>205</v>
      </c>
      <c r="U24" s="35" t="e">
        <f t="shared" si="1"/>
        <v>#DIV/0!</v>
      </c>
    </row>
    <row r="25" spans="3:21" x14ac:dyDescent="0.25">
      <c r="C25" s="27">
        <v>41852</v>
      </c>
      <c r="D25" s="55">
        <v>61.55</v>
      </c>
      <c r="E25" s="28">
        <v>98.15</v>
      </c>
      <c r="F25" s="28">
        <f t="shared" si="0"/>
        <v>6.0411324999999998</v>
      </c>
      <c r="G25" s="28">
        <v>111</v>
      </c>
      <c r="H25" s="29">
        <v>148</v>
      </c>
      <c r="I25" s="7">
        <v>67.52</v>
      </c>
      <c r="J25" s="7">
        <v>109</v>
      </c>
      <c r="K25" s="26">
        <v>161.5</v>
      </c>
      <c r="L25" s="26"/>
      <c r="M25" s="39">
        <f t="shared" si="2"/>
        <v>1.6140912323478484E-2</v>
      </c>
      <c r="N25" s="37"/>
      <c r="O25" s="35">
        <f t="shared" si="3"/>
        <v>-1.834862385321101E-2</v>
      </c>
      <c r="P25" s="35">
        <f t="shared" si="3"/>
        <v>0</v>
      </c>
      <c r="S25" s="45">
        <v>163.89</v>
      </c>
      <c r="T25" s="46">
        <v>205</v>
      </c>
      <c r="U25" s="35">
        <f t="shared" si="1"/>
        <v>0</v>
      </c>
    </row>
    <row r="26" spans="3:21" x14ac:dyDescent="0.25">
      <c r="C26" s="27">
        <v>41883</v>
      </c>
      <c r="D26" s="55">
        <v>61.375</v>
      </c>
      <c r="E26" s="28">
        <v>91.44</v>
      </c>
      <c r="F26" s="28">
        <f t="shared" si="0"/>
        <v>5.6121300000000005</v>
      </c>
      <c r="G26" s="28">
        <v>111</v>
      </c>
      <c r="H26" s="29">
        <v>148</v>
      </c>
      <c r="I26" s="7">
        <v>67.52</v>
      </c>
      <c r="J26" s="7">
        <v>109</v>
      </c>
      <c r="K26" s="26">
        <v>161.5</v>
      </c>
      <c r="L26" s="26"/>
      <c r="M26" s="39">
        <f t="shared" si="2"/>
        <v>-7.1013588925586318E-2</v>
      </c>
      <c r="N26" s="37"/>
      <c r="O26" s="35">
        <f t="shared" si="3"/>
        <v>0</v>
      </c>
      <c r="P26" s="35">
        <f t="shared" si="3"/>
        <v>0</v>
      </c>
      <c r="S26" s="45">
        <v>163.89</v>
      </c>
      <c r="T26" s="46">
        <v>205</v>
      </c>
      <c r="U26" s="35">
        <f t="shared" si="1"/>
        <v>0</v>
      </c>
    </row>
    <row r="27" spans="3:21" x14ac:dyDescent="0.25">
      <c r="C27" s="27">
        <v>41913</v>
      </c>
      <c r="D27" s="55">
        <v>62.174999999999997</v>
      </c>
      <c r="E27" s="28">
        <v>80.930000000000007</v>
      </c>
      <c r="F27" s="28">
        <f t="shared" si="0"/>
        <v>5.0318227499999999</v>
      </c>
      <c r="G27" s="28">
        <v>107</v>
      </c>
      <c r="H27" s="29">
        <v>148</v>
      </c>
      <c r="I27" s="7">
        <v>67.52</v>
      </c>
      <c r="J27" s="7">
        <v>109</v>
      </c>
      <c r="K27" s="26">
        <v>161.5</v>
      </c>
      <c r="L27" s="26"/>
      <c r="M27" s="39">
        <f t="shared" si="2"/>
        <v>-0.10340231783654331</v>
      </c>
      <c r="N27" s="37"/>
      <c r="O27" s="40">
        <f t="shared" si="3"/>
        <v>3.6036036036036036E-2</v>
      </c>
      <c r="P27" s="35">
        <f t="shared" si="3"/>
        <v>0</v>
      </c>
      <c r="S27" s="45">
        <v>188</v>
      </c>
      <c r="T27" s="46">
        <v>205</v>
      </c>
      <c r="U27" s="35">
        <f t="shared" si="1"/>
        <v>0.14711086704496928</v>
      </c>
    </row>
    <row r="28" spans="3:21" x14ac:dyDescent="0.25">
      <c r="C28" s="27">
        <v>41944</v>
      </c>
      <c r="D28" s="55">
        <v>62.25</v>
      </c>
      <c r="E28" s="28">
        <v>66.67</v>
      </c>
      <c r="F28" s="28">
        <f t="shared" si="0"/>
        <v>4.1502075000000005</v>
      </c>
      <c r="G28" s="28">
        <v>102</v>
      </c>
      <c r="H28" s="29">
        <v>148</v>
      </c>
      <c r="I28" s="7">
        <v>67.52</v>
      </c>
      <c r="J28" s="7">
        <v>109</v>
      </c>
      <c r="K28" s="26">
        <v>161.5</v>
      </c>
      <c r="L28" s="26"/>
      <c r="M28" s="39">
        <f t="shared" si="2"/>
        <v>-0.17520793036678403</v>
      </c>
      <c r="N28" s="37"/>
      <c r="O28" s="40">
        <f t="shared" si="3"/>
        <v>4.6728971962616821E-2</v>
      </c>
      <c r="P28" s="35">
        <f t="shared" si="3"/>
        <v>0</v>
      </c>
      <c r="S28" s="45">
        <v>177.64</v>
      </c>
      <c r="T28" s="46">
        <v>205</v>
      </c>
      <c r="U28" s="35">
        <f t="shared" si="1"/>
        <v>-5.510638297872348E-2</v>
      </c>
    </row>
    <row r="29" spans="3:21" x14ac:dyDescent="0.25">
      <c r="C29" s="27">
        <v>41974</v>
      </c>
      <c r="D29" s="55">
        <v>63.174999999999997</v>
      </c>
      <c r="E29" s="28">
        <v>54.31</v>
      </c>
      <c r="F29" s="28">
        <f t="shared" si="0"/>
        <v>3.4310342500000002</v>
      </c>
      <c r="G29" s="28">
        <v>101</v>
      </c>
      <c r="H29" s="26">
        <v>129</v>
      </c>
      <c r="I29" s="7">
        <v>67.510000000000005</v>
      </c>
      <c r="J29" s="7">
        <v>111.5</v>
      </c>
      <c r="K29" s="26">
        <v>158.22</v>
      </c>
      <c r="L29" s="26"/>
      <c r="M29" s="39">
        <f t="shared" si="2"/>
        <v>-0.17328609473140805</v>
      </c>
      <c r="N29" s="37"/>
      <c r="O29" s="40">
        <f t="shared" si="3"/>
        <v>9.8039215686274508E-3</v>
      </c>
      <c r="P29" s="35">
        <f t="shared" si="3"/>
        <v>0.12837837837837837</v>
      </c>
      <c r="S29" s="45">
        <v>177.64</v>
      </c>
      <c r="T29" s="46">
        <v>205</v>
      </c>
      <c r="U29" s="35">
        <f t="shared" si="1"/>
        <v>0</v>
      </c>
    </row>
    <row r="30" spans="3:21" x14ac:dyDescent="0.25">
      <c r="C30" s="27">
        <v>42005</v>
      </c>
      <c r="D30" s="55">
        <v>63.05</v>
      </c>
      <c r="E30" s="28">
        <v>48.79</v>
      </c>
      <c r="F30" s="28">
        <f t="shared" si="0"/>
        <v>3.0762095</v>
      </c>
      <c r="G30" s="28">
        <v>94</v>
      </c>
      <c r="H30" s="26">
        <v>129</v>
      </c>
      <c r="I30" s="7">
        <v>67.510000000000005</v>
      </c>
      <c r="J30" s="7">
        <v>111.5</v>
      </c>
      <c r="K30" s="26">
        <v>158.22</v>
      </c>
      <c r="L30" s="26"/>
      <c r="M30" s="39">
        <f t="shared" si="2"/>
        <v>-0.10341626580964623</v>
      </c>
      <c r="N30" s="37"/>
      <c r="O30" s="35">
        <f t="shared" si="3"/>
        <v>6.9306930693069313E-2</v>
      </c>
      <c r="P30" s="35">
        <f t="shared" si="3"/>
        <v>0</v>
      </c>
      <c r="S30" s="45">
        <v>168.47</v>
      </c>
      <c r="T30" s="46">
        <v>205</v>
      </c>
      <c r="U30" s="35">
        <f t="shared" si="1"/>
        <v>-5.1621256473767106E-2</v>
      </c>
    </row>
    <row r="31" spans="3:21" x14ac:dyDescent="0.25">
      <c r="C31" s="27">
        <v>42036</v>
      </c>
      <c r="D31" s="55">
        <v>62.625</v>
      </c>
      <c r="E31" s="28">
        <v>50.69</v>
      </c>
      <c r="F31" s="28">
        <f t="shared" si="0"/>
        <v>3.1744612499999998</v>
      </c>
      <c r="G31" s="28">
        <v>92</v>
      </c>
      <c r="H31" s="26">
        <v>130</v>
      </c>
      <c r="I31" s="7">
        <v>67.52</v>
      </c>
      <c r="J31" s="7">
        <v>111.5</v>
      </c>
      <c r="K31" s="26">
        <v>158.22</v>
      </c>
      <c r="L31" s="26"/>
      <c r="M31" s="39">
        <f t="shared" si="2"/>
        <v>3.1939225855716236E-2</v>
      </c>
      <c r="N31" s="37"/>
      <c r="O31" s="35">
        <f t="shared" si="3"/>
        <v>2.1276595744680851E-2</v>
      </c>
      <c r="P31" s="35">
        <f t="shared" si="3"/>
        <v>-7.7519379844961239E-3</v>
      </c>
      <c r="S31" s="45">
        <v>168.47</v>
      </c>
      <c r="T31" s="46">
        <v>205</v>
      </c>
      <c r="U31" s="35">
        <f t="shared" si="1"/>
        <v>0</v>
      </c>
    </row>
    <row r="32" spans="3:21" x14ac:dyDescent="0.25">
      <c r="C32" s="27">
        <v>42064</v>
      </c>
      <c r="D32" s="55">
        <v>62.9</v>
      </c>
      <c r="E32" s="28">
        <v>48.24</v>
      </c>
      <c r="F32" s="28">
        <f t="shared" si="0"/>
        <v>3.0342960000000003</v>
      </c>
      <c r="G32" s="28">
        <v>94</v>
      </c>
      <c r="H32" s="26">
        <v>123</v>
      </c>
      <c r="I32" s="7">
        <v>62.56</v>
      </c>
      <c r="J32" s="7">
        <v>98.38</v>
      </c>
      <c r="K32" s="26">
        <v>153</v>
      </c>
      <c r="L32" s="26"/>
      <c r="M32" s="39">
        <f t="shared" si="2"/>
        <v>-4.4154027711001222E-2</v>
      </c>
      <c r="N32" s="37"/>
      <c r="O32" s="35">
        <f t="shared" si="3"/>
        <v>-2.1739130434782608E-2</v>
      </c>
      <c r="P32" s="35">
        <f t="shared" si="3"/>
        <v>5.3846153846153849E-2</v>
      </c>
      <c r="S32" s="45">
        <v>168.47</v>
      </c>
      <c r="T32" s="46">
        <v>195</v>
      </c>
      <c r="U32" s="35">
        <f t="shared" si="1"/>
        <v>0</v>
      </c>
    </row>
    <row r="33" spans="3:21" x14ac:dyDescent="0.25">
      <c r="C33" s="27">
        <v>42095</v>
      </c>
      <c r="D33" s="55">
        <v>63.075000000000003</v>
      </c>
      <c r="E33" s="28">
        <v>60.16</v>
      </c>
      <c r="F33" s="57">
        <f t="shared" ref="F33:F46" si="4">(D33*E33)/1000</f>
        <v>3.7945920000000002</v>
      </c>
      <c r="G33" s="28">
        <v>101</v>
      </c>
      <c r="H33" s="26">
        <v>123</v>
      </c>
      <c r="I33" s="7">
        <v>67.22</v>
      </c>
      <c r="J33" s="7">
        <v>98.38</v>
      </c>
      <c r="K33" s="26">
        <v>155.85</v>
      </c>
      <c r="L33" s="26"/>
      <c r="M33" s="39">
        <f t="shared" si="2"/>
        <v>0.25056751220052353</v>
      </c>
      <c r="N33" s="37"/>
      <c r="O33" s="35">
        <f t="shared" si="3"/>
        <v>-7.4468085106382975E-2</v>
      </c>
      <c r="P33" s="35">
        <f t="shared" si="3"/>
        <v>0</v>
      </c>
      <c r="S33" s="45">
        <v>168.47</v>
      </c>
      <c r="T33" s="46">
        <v>195</v>
      </c>
      <c r="U33" s="35">
        <f t="shared" si="1"/>
        <v>0</v>
      </c>
    </row>
    <row r="34" spans="3:21" x14ac:dyDescent="0.25">
      <c r="C34" s="27">
        <v>42125</v>
      </c>
      <c r="D34" s="55">
        <v>63.65</v>
      </c>
      <c r="E34" s="28">
        <v>60.49</v>
      </c>
      <c r="F34" s="57">
        <f t="shared" si="4"/>
        <v>3.8501885000000002</v>
      </c>
      <c r="G34" s="28">
        <v>104</v>
      </c>
      <c r="H34" s="26">
        <v>123</v>
      </c>
      <c r="I34" s="7">
        <v>67.22</v>
      </c>
      <c r="J34" s="7">
        <v>98.38</v>
      </c>
      <c r="K34" s="26">
        <v>155.85</v>
      </c>
      <c r="L34" s="26">
        <v>154.94999999999999</v>
      </c>
      <c r="M34" s="39">
        <f t="shared" si="2"/>
        <v>1.4651509305875336E-2</v>
      </c>
      <c r="N34" s="37"/>
      <c r="O34" s="35">
        <f t="shared" si="3"/>
        <v>-2.9702970297029702E-2</v>
      </c>
      <c r="P34" s="35">
        <f t="shared" si="3"/>
        <v>0</v>
      </c>
      <c r="S34" s="45">
        <v>175.57</v>
      </c>
      <c r="T34" s="46">
        <v>205</v>
      </c>
      <c r="U34" s="35">
        <f t="shared" si="1"/>
        <v>4.214400189944794E-2</v>
      </c>
    </row>
    <row r="35" spans="3:21" x14ac:dyDescent="0.25">
      <c r="C35" s="27">
        <v>42156</v>
      </c>
      <c r="D35" s="55">
        <v>64.650000000000006</v>
      </c>
      <c r="E35" s="28">
        <v>59.48</v>
      </c>
      <c r="F35" s="57">
        <f t="shared" si="4"/>
        <v>3.8453819999999999</v>
      </c>
      <c r="G35" s="28">
        <v>78</v>
      </c>
      <c r="H35" s="26">
        <v>129</v>
      </c>
      <c r="I35" s="7">
        <v>68.2</v>
      </c>
      <c r="J35" s="7">
        <v>98.38</v>
      </c>
      <c r="K35" s="26">
        <v>158.6</v>
      </c>
      <c r="L35" s="26">
        <v>154.94999999999999</v>
      </c>
      <c r="M35" s="39">
        <f t="shared" si="2"/>
        <v>-1.2483804364384085E-3</v>
      </c>
      <c r="N35" s="37"/>
      <c r="O35" s="35">
        <f t="shared" si="3"/>
        <v>0.25</v>
      </c>
      <c r="P35" s="35">
        <f t="shared" si="3"/>
        <v>-4.878048780487805E-2</v>
      </c>
      <c r="S35" s="45">
        <v>175.57</v>
      </c>
      <c r="T35" s="46">
        <v>195</v>
      </c>
      <c r="U35" s="35">
        <f t="shared" si="1"/>
        <v>0</v>
      </c>
    </row>
    <row r="36" spans="3:21" x14ac:dyDescent="0.25">
      <c r="C36" s="27">
        <v>42186</v>
      </c>
      <c r="D36" s="55">
        <v>63.725000000000001</v>
      </c>
      <c r="E36" s="28">
        <v>47.11</v>
      </c>
      <c r="F36" s="57">
        <f t="shared" si="4"/>
        <v>3.0020847499999999</v>
      </c>
      <c r="G36" s="28">
        <v>72</v>
      </c>
      <c r="H36" s="26">
        <v>129</v>
      </c>
      <c r="I36" s="7">
        <v>68.2</v>
      </c>
      <c r="J36" s="7">
        <v>98.38</v>
      </c>
      <c r="K36" s="26">
        <v>158.6</v>
      </c>
      <c r="L36" s="26">
        <v>156.85</v>
      </c>
      <c r="M36" s="39">
        <f t="shared" si="2"/>
        <v>-0.21930129438375695</v>
      </c>
      <c r="N36" s="37"/>
      <c r="O36" s="35">
        <f t="shared" si="3"/>
        <v>7.6923076923076927E-2</v>
      </c>
      <c r="P36" s="35">
        <f t="shared" si="3"/>
        <v>0</v>
      </c>
      <c r="S36" s="45">
        <v>167.54</v>
      </c>
      <c r="T36" s="46">
        <v>195</v>
      </c>
      <c r="U36" s="35">
        <f t="shared" si="1"/>
        <v>-4.573674317935867E-2</v>
      </c>
    </row>
    <row r="37" spans="3:21" x14ac:dyDescent="0.25">
      <c r="C37" s="27">
        <v>42217</v>
      </c>
      <c r="D37" s="55">
        <v>65.05</v>
      </c>
      <c r="E37" s="28">
        <v>45.63</v>
      </c>
      <c r="F37" s="57">
        <f t="shared" si="4"/>
        <v>2.9682314999999999</v>
      </c>
      <c r="G37" s="28">
        <v>68.8</v>
      </c>
      <c r="H37" s="26">
        <v>129</v>
      </c>
      <c r="I37" s="7">
        <v>68.2</v>
      </c>
      <c r="J37" s="7">
        <v>98.38</v>
      </c>
      <c r="K37" s="26">
        <v>158.6</v>
      </c>
      <c r="L37" s="26">
        <v>156.85</v>
      </c>
      <c r="M37" s="39">
        <f t="shared" si="2"/>
        <v>-1.1276580383015542E-2</v>
      </c>
      <c r="N37" s="37"/>
      <c r="O37" s="35">
        <f t="shared" si="3"/>
        <v>4.4444444444444481E-2</v>
      </c>
      <c r="P37" s="35">
        <f t="shared" si="3"/>
        <v>0</v>
      </c>
      <c r="S37" s="45">
        <v>167.57</v>
      </c>
      <c r="T37" s="46">
        <v>203</v>
      </c>
      <c r="U37" s="35">
        <f t="shared" si="1"/>
        <v>1.7906171660499664E-4</v>
      </c>
    </row>
    <row r="38" spans="3:21" x14ac:dyDescent="0.25">
      <c r="C38" s="27">
        <v>42248</v>
      </c>
      <c r="D38" s="55">
        <v>66.95</v>
      </c>
      <c r="E38" s="30">
        <v>45.05</v>
      </c>
      <c r="F38" s="57">
        <f t="shared" si="4"/>
        <v>3.0160974999999999</v>
      </c>
      <c r="G38" s="28">
        <v>68.8</v>
      </c>
      <c r="H38" s="26">
        <v>114</v>
      </c>
      <c r="I38" s="7">
        <v>68.2</v>
      </c>
      <c r="J38" s="7">
        <v>87.4</v>
      </c>
      <c r="K38" s="26"/>
      <c r="L38" s="26">
        <v>153.30000000000001</v>
      </c>
      <c r="M38" s="39">
        <f t="shared" si="2"/>
        <v>1.6126100676446559E-2</v>
      </c>
      <c r="N38" s="37"/>
      <c r="O38" s="35">
        <f t="shared" si="3"/>
        <v>0</v>
      </c>
      <c r="P38" s="35">
        <f t="shared" si="3"/>
        <v>0.11627906976744186</v>
      </c>
      <c r="S38" s="45">
        <v>159.54</v>
      </c>
      <c r="T38" s="46">
        <v>203</v>
      </c>
      <c r="U38" s="35">
        <f t="shared" si="1"/>
        <v>-4.7920272125082063E-2</v>
      </c>
    </row>
    <row r="39" spans="3:21" x14ac:dyDescent="0.25">
      <c r="C39" s="27">
        <v>42278</v>
      </c>
      <c r="D39" s="55">
        <v>65.75</v>
      </c>
      <c r="E39" s="29">
        <v>46.3</v>
      </c>
      <c r="F39" s="57">
        <f t="shared" si="4"/>
        <v>3.044225</v>
      </c>
      <c r="G39" s="28">
        <v>68.8</v>
      </c>
      <c r="H39" s="26">
        <v>114</v>
      </c>
      <c r="I39" s="7">
        <v>68.2</v>
      </c>
      <c r="J39" s="7">
        <v>87.4</v>
      </c>
      <c r="K39" s="26"/>
      <c r="L39" s="26">
        <v>153.30000000000001</v>
      </c>
      <c r="M39" s="39">
        <f t="shared" si="2"/>
        <v>9.3257926840893089E-3</v>
      </c>
      <c r="N39" s="37"/>
      <c r="O39" s="35">
        <f t="shared" ref="O39:P41" si="5">(G38-G39)/G38</f>
        <v>0</v>
      </c>
      <c r="P39" s="35">
        <f t="shared" si="5"/>
        <v>0</v>
      </c>
      <c r="S39" s="45">
        <v>158.36000000000001</v>
      </c>
      <c r="T39" s="46">
        <v>203</v>
      </c>
      <c r="U39" s="35">
        <f t="shared" si="1"/>
        <v>-7.396264259746637E-3</v>
      </c>
    </row>
    <row r="40" spans="3:21" x14ac:dyDescent="0.25">
      <c r="C40" s="27">
        <v>42309</v>
      </c>
      <c r="D40" s="56">
        <v>66.45</v>
      </c>
      <c r="E40" s="48">
        <v>41.65</v>
      </c>
      <c r="F40" s="57">
        <f t="shared" si="4"/>
        <v>2.7676425</v>
      </c>
      <c r="G40" s="26">
        <v>68.8</v>
      </c>
      <c r="H40" s="26">
        <v>112</v>
      </c>
      <c r="I40" s="7">
        <v>68.2</v>
      </c>
      <c r="J40" s="7">
        <v>87.4</v>
      </c>
      <c r="K40" s="26"/>
      <c r="L40" s="26">
        <v>153</v>
      </c>
      <c r="M40" s="39">
        <f t="shared" si="2"/>
        <v>-9.0854815264968913E-2</v>
      </c>
      <c r="N40" s="37"/>
      <c r="O40" s="35">
        <f t="shared" si="5"/>
        <v>0</v>
      </c>
      <c r="P40" s="35">
        <f t="shared" si="5"/>
        <v>1.7543859649122806E-2</v>
      </c>
      <c r="S40" s="45">
        <v>153.77000000000001</v>
      </c>
      <c r="T40" s="46">
        <v>177</v>
      </c>
      <c r="U40" s="35">
        <f>(S40-S39)/S39</f>
        <v>-2.8984592068704237E-2</v>
      </c>
    </row>
    <row r="41" spans="3:21" x14ac:dyDescent="0.25">
      <c r="C41" s="27">
        <v>42339</v>
      </c>
      <c r="D41" s="7">
        <v>67.23</v>
      </c>
      <c r="E41" s="29">
        <v>37.04</v>
      </c>
      <c r="F41" s="57">
        <f t="shared" si="4"/>
        <v>2.4901992000000002</v>
      </c>
      <c r="G41" s="7">
        <v>67.25</v>
      </c>
      <c r="H41" s="33">
        <v>101</v>
      </c>
      <c r="I41" s="7">
        <v>68.2</v>
      </c>
      <c r="J41" s="7">
        <v>87.4</v>
      </c>
      <c r="K41" s="4"/>
      <c r="L41" s="33">
        <v>151</v>
      </c>
      <c r="M41" s="39">
        <f t="shared" si="2"/>
        <v>-0.10024535322029486</v>
      </c>
      <c r="N41" s="38"/>
      <c r="O41" s="35">
        <f t="shared" si="5"/>
        <v>2.2529069767441821E-2</v>
      </c>
      <c r="P41" s="35">
        <f t="shared" si="5"/>
        <v>9.8214285714285712E-2</v>
      </c>
      <c r="S41" s="47">
        <v>136</v>
      </c>
      <c r="U41" s="35">
        <f>(S41-S40)/S40</f>
        <v>-0.11556220329062893</v>
      </c>
    </row>
    <row r="42" spans="3:21" x14ac:dyDescent="0.25">
      <c r="C42" s="27">
        <v>42370</v>
      </c>
      <c r="D42" s="7">
        <v>67.45</v>
      </c>
      <c r="E42" s="29">
        <v>33.619999999999997</v>
      </c>
      <c r="F42" s="57">
        <f t="shared" si="4"/>
        <v>2.2676689999999997</v>
      </c>
      <c r="G42" s="7"/>
      <c r="H42" s="33">
        <v>98</v>
      </c>
      <c r="I42" s="7">
        <v>68.2</v>
      </c>
      <c r="J42" s="7">
        <v>87.4</v>
      </c>
      <c r="K42" s="4"/>
      <c r="L42" s="33">
        <v>150.5</v>
      </c>
      <c r="M42" s="39"/>
      <c r="N42" s="38"/>
      <c r="O42" s="35"/>
      <c r="P42" s="35"/>
      <c r="S42" s="47"/>
      <c r="U42" s="35"/>
    </row>
    <row r="43" spans="3:21" x14ac:dyDescent="0.25">
      <c r="C43" s="27">
        <v>42401</v>
      </c>
      <c r="D43" s="7">
        <v>68.95</v>
      </c>
      <c r="E43" s="29">
        <v>33.75</v>
      </c>
      <c r="F43" s="57">
        <f t="shared" si="4"/>
        <v>2.3270624999999998</v>
      </c>
      <c r="G43" s="7">
        <v>66.25</v>
      </c>
      <c r="H43" s="33">
        <v>96</v>
      </c>
      <c r="I43" s="7">
        <v>68.2</v>
      </c>
      <c r="J43" s="7">
        <v>87.4</v>
      </c>
      <c r="K43" s="4"/>
      <c r="L43" s="33">
        <v>150.1</v>
      </c>
      <c r="M43" s="39" t="s">
        <v>72</v>
      </c>
      <c r="N43" s="38"/>
      <c r="O43" s="35"/>
      <c r="P43" s="35"/>
      <c r="S43" s="47"/>
      <c r="U43" s="35"/>
    </row>
    <row r="44" spans="3:21" x14ac:dyDescent="0.25">
      <c r="C44" s="27">
        <v>42430</v>
      </c>
      <c r="D44" s="7">
        <v>67.45</v>
      </c>
      <c r="E44" s="29">
        <v>38.340000000000003</v>
      </c>
      <c r="F44" s="57">
        <f t="shared" si="4"/>
        <v>2.5860330000000005</v>
      </c>
      <c r="G44" s="7">
        <v>69.25</v>
      </c>
      <c r="H44" s="33">
        <v>112</v>
      </c>
      <c r="I44" s="7">
        <v>68.2</v>
      </c>
      <c r="J44" s="7">
        <v>87.4</v>
      </c>
      <c r="K44" s="4"/>
      <c r="L44" s="33">
        <v>150.1</v>
      </c>
      <c r="M44" s="39" t="s">
        <v>72</v>
      </c>
      <c r="N44" s="38"/>
      <c r="O44" s="35"/>
      <c r="P44" s="35"/>
      <c r="S44" s="47"/>
      <c r="U44" s="35"/>
    </row>
    <row r="45" spans="3:21" x14ac:dyDescent="0.25">
      <c r="C45" s="27">
        <v>42461</v>
      </c>
      <c r="D45" s="7">
        <v>66.900000000000006</v>
      </c>
      <c r="E45" s="29">
        <v>45.92</v>
      </c>
      <c r="F45" s="57">
        <f t="shared" si="4"/>
        <v>3.0720480000000001</v>
      </c>
      <c r="G45" s="7"/>
      <c r="H45" s="33">
        <v>110</v>
      </c>
      <c r="I45" s="7">
        <v>68.2</v>
      </c>
      <c r="J45" s="7">
        <v>87.4</v>
      </c>
      <c r="K45" s="4"/>
      <c r="L45" s="33">
        <v>152.6</v>
      </c>
      <c r="M45" s="39" t="s">
        <v>73</v>
      </c>
      <c r="N45" s="38"/>
      <c r="O45" s="35"/>
      <c r="P45" s="35"/>
      <c r="S45" s="47"/>
      <c r="U45" s="35"/>
    </row>
    <row r="46" spans="3:21" x14ac:dyDescent="0.25">
      <c r="C46" s="27">
        <v>42491</v>
      </c>
      <c r="D46" s="7"/>
      <c r="E46" s="29">
        <v>47.07</v>
      </c>
      <c r="F46" s="57">
        <f t="shared" si="4"/>
        <v>0</v>
      </c>
      <c r="G46" s="7">
        <v>77.25</v>
      </c>
      <c r="H46" s="33"/>
      <c r="I46" s="7">
        <v>68.2</v>
      </c>
      <c r="J46" s="7">
        <v>87.4</v>
      </c>
      <c r="K46" s="4"/>
      <c r="L46" s="33">
        <v>152.6</v>
      </c>
      <c r="M46" s="39"/>
      <c r="N46" s="38"/>
      <c r="O46" s="35"/>
      <c r="P46" s="35"/>
      <c r="S46" s="47"/>
      <c r="U46" s="35"/>
    </row>
    <row r="47" spans="3:21" x14ac:dyDescent="0.25">
      <c r="C47" s="52">
        <v>42537</v>
      </c>
      <c r="D47" s="53"/>
      <c r="E47" s="54"/>
      <c r="F47" s="54"/>
      <c r="G47" s="2"/>
      <c r="H47" s="38"/>
      <c r="I47" s="14"/>
      <c r="J47" s="14"/>
      <c r="K47" s="2"/>
      <c r="L47" s="38"/>
      <c r="M47" s="39"/>
      <c r="N47" s="38"/>
      <c r="O47" s="35"/>
      <c r="P47" s="35"/>
      <c r="S47" s="47"/>
      <c r="U47" s="35"/>
    </row>
    <row r="48" spans="3:21" x14ac:dyDescent="0.25">
      <c r="C48" s="27">
        <v>42583</v>
      </c>
      <c r="S48" s="47">
        <v>126</v>
      </c>
      <c r="U48" s="35">
        <f>(S48-S41)/S41</f>
        <v>-7.3529411764705885E-2</v>
      </c>
    </row>
    <row r="49" spans="2:13" x14ac:dyDescent="0.25">
      <c r="C49" s="52">
        <v>42629</v>
      </c>
    </row>
    <row r="50" spans="2:13" x14ac:dyDescent="0.25">
      <c r="C50" s="27">
        <v>42675</v>
      </c>
    </row>
    <row r="51" spans="2:13" x14ac:dyDescent="0.25">
      <c r="C51" s="52">
        <v>42721</v>
      </c>
    </row>
    <row r="52" spans="2:13" x14ac:dyDescent="0.25">
      <c r="C52" s="27">
        <v>42767</v>
      </c>
    </row>
    <row r="53" spans="2:13" x14ac:dyDescent="0.25">
      <c r="C53" s="52">
        <v>42813</v>
      </c>
    </row>
    <row r="54" spans="2:13" x14ac:dyDescent="0.25">
      <c r="C54" s="27"/>
    </row>
    <row r="56" spans="2:13" x14ac:dyDescent="0.25">
      <c r="C56" t="s">
        <v>53</v>
      </c>
      <c r="L56" t="s">
        <v>50</v>
      </c>
      <c r="M56" s="41">
        <f>14/75*300</f>
        <v>56</v>
      </c>
    </row>
    <row r="57" spans="2:13" x14ac:dyDescent="0.25">
      <c r="L57" t="s">
        <v>52</v>
      </c>
      <c r="M57">
        <f>8%*98</f>
        <v>7.84</v>
      </c>
    </row>
    <row r="58" spans="2:13" x14ac:dyDescent="0.25">
      <c r="L58" t="s">
        <v>51</v>
      </c>
      <c r="M58" s="42">
        <f>M56*M57*1000</f>
        <v>439039.99999999994</v>
      </c>
    </row>
    <row r="61" spans="2:13" x14ac:dyDescent="0.25">
      <c r="B61" s="4"/>
      <c r="C61" s="4" t="s">
        <v>58</v>
      </c>
      <c r="D61" s="7"/>
      <c r="E61" s="4"/>
      <c r="F61" s="4"/>
      <c r="G61" s="4"/>
      <c r="H61" s="4"/>
      <c r="I61" s="4"/>
      <c r="J61" s="4"/>
    </row>
    <row r="62" spans="2:13" x14ac:dyDescent="0.25">
      <c r="B62" s="4"/>
      <c r="C62" s="4"/>
      <c r="D62" s="7"/>
      <c r="E62" s="4"/>
      <c r="F62" s="4"/>
      <c r="G62" s="4"/>
      <c r="H62" s="4"/>
      <c r="I62" s="4" t="s">
        <v>70</v>
      </c>
      <c r="J62" s="4"/>
    </row>
    <row r="63" spans="2:13" x14ac:dyDescent="0.25">
      <c r="B63" s="4"/>
      <c r="C63" s="4" t="s">
        <v>59</v>
      </c>
      <c r="D63" s="7" t="s">
        <v>60</v>
      </c>
      <c r="E63" s="4" t="s">
        <v>71</v>
      </c>
      <c r="F63" s="4"/>
      <c r="G63" s="4"/>
      <c r="H63" s="4"/>
      <c r="I63" s="4" t="s">
        <v>62</v>
      </c>
      <c r="J63" s="4" t="s">
        <v>63</v>
      </c>
      <c r="K63" t="s">
        <v>64</v>
      </c>
    </row>
    <row r="64" spans="2:13" x14ac:dyDescent="0.25">
      <c r="B64" s="4" t="s">
        <v>61</v>
      </c>
      <c r="C64" s="4">
        <v>30</v>
      </c>
      <c r="D64" s="7">
        <v>67</v>
      </c>
      <c r="E64" s="4">
        <f>C64*D64</f>
        <v>2010</v>
      </c>
      <c r="F64" s="4"/>
      <c r="G64" s="4"/>
      <c r="H64" s="4"/>
      <c r="I64" s="4"/>
      <c r="J64" s="4"/>
    </row>
    <row r="65" spans="2:15" x14ac:dyDescent="0.25">
      <c r="B65" s="4"/>
      <c r="C65" s="4"/>
      <c r="D65" s="7"/>
      <c r="E65" s="4"/>
      <c r="F65" s="4"/>
      <c r="G65" s="4"/>
      <c r="H65" s="4"/>
      <c r="I65" s="4"/>
      <c r="J65" s="4"/>
    </row>
    <row r="66" spans="2:15" x14ac:dyDescent="0.25">
      <c r="B66" s="4"/>
      <c r="C66" s="4">
        <v>30</v>
      </c>
      <c r="D66" s="7">
        <v>66</v>
      </c>
      <c r="E66" s="4">
        <f>C66*D66</f>
        <v>1980</v>
      </c>
      <c r="F66" s="4"/>
      <c r="G66" s="4"/>
      <c r="H66" s="4"/>
      <c r="I66" s="4"/>
      <c r="J66" s="4"/>
      <c r="O66" s="34"/>
    </row>
    <row r="67" spans="2:15" x14ac:dyDescent="0.25">
      <c r="B67" s="4"/>
      <c r="C67" s="4"/>
      <c r="D67" s="7"/>
      <c r="E67" s="4"/>
      <c r="F67" s="4"/>
      <c r="G67" s="4"/>
      <c r="H67" s="4"/>
      <c r="I67" s="4"/>
      <c r="J67" s="4"/>
    </row>
    <row r="68" spans="2:15" x14ac:dyDescent="0.25">
      <c r="B68" s="4"/>
      <c r="C68" s="4">
        <v>35</v>
      </c>
      <c r="D68" s="7">
        <v>68</v>
      </c>
      <c r="E68" s="4">
        <f>C68*D68</f>
        <v>2380</v>
      </c>
      <c r="F68" s="4"/>
      <c r="G68" s="49">
        <f>(E68-E64)/E68</f>
        <v>0.15546218487394958</v>
      </c>
      <c r="H68" s="4"/>
      <c r="I68" s="50">
        <v>0.35</v>
      </c>
      <c r="J68" s="50">
        <v>0.35</v>
      </c>
    </row>
    <row r="69" spans="2:15" x14ac:dyDescent="0.25">
      <c r="B69" s="4"/>
      <c r="C69" s="4"/>
      <c r="D69" s="7"/>
      <c r="E69" s="4"/>
      <c r="F69" s="4"/>
      <c r="G69" s="49"/>
      <c r="H69" s="4"/>
      <c r="I69" s="4"/>
      <c r="J69" s="4"/>
    </row>
    <row r="70" spans="2:15" x14ac:dyDescent="0.25">
      <c r="B70" s="4"/>
      <c r="C70" s="4">
        <v>40</v>
      </c>
      <c r="D70" s="7">
        <v>70</v>
      </c>
      <c r="E70" s="4">
        <f>C70*D70</f>
        <v>2800</v>
      </c>
      <c r="F70" s="4"/>
      <c r="G70" s="49">
        <f>(E70-E64)/E64</f>
        <v>0.39303482587064675</v>
      </c>
      <c r="H70" s="4"/>
      <c r="I70" s="50">
        <v>0.35</v>
      </c>
      <c r="J70" s="50">
        <v>0.35</v>
      </c>
    </row>
    <row r="71" spans="2:15" x14ac:dyDescent="0.25">
      <c r="B71" s="4"/>
      <c r="C71" s="4"/>
      <c r="D71" s="7"/>
      <c r="E71" s="4"/>
      <c r="F71" s="4"/>
      <c r="G71" s="4"/>
      <c r="H71" s="4"/>
      <c r="I71" s="4"/>
      <c r="J71" s="4"/>
    </row>
    <row r="72" spans="2:15" x14ac:dyDescent="0.25">
      <c r="B72" s="4"/>
      <c r="C72" s="4"/>
      <c r="D72" s="7"/>
      <c r="E72" s="4"/>
      <c r="F72" s="4"/>
      <c r="G72" s="4" t="s">
        <v>65</v>
      </c>
      <c r="H72" s="4"/>
      <c r="I72" s="51">
        <f>I68*G68</f>
        <v>5.4411764705882354E-2</v>
      </c>
      <c r="J72" s="51">
        <f>J68*G68</f>
        <v>5.4411764705882354E-2</v>
      </c>
    </row>
    <row r="73" spans="2:15" x14ac:dyDescent="0.25">
      <c r="B73" s="4"/>
      <c r="C73" s="4"/>
      <c r="D73" s="7"/>
      <c r="E73" s="4"/>
      <c r="F73" s="4"/>
      <c r="G73" s="4"/>
      <c r="H73" s="4"/>
      <c r="I73" s="4"/>
      <c r="J73" s="4"/>
    </row>
    <row r="74" spans="2:15" x14ac:dyDescent="0.25">
      <c r="B74" s="4"/>
      <c r="C74" s="4"/>
      <c r="D74" s="7"/>
      <c r="E74" s="4"/>
      <c r="F74" s="4"/>
      <c r="G74" s="4" t="s">
        <v>66</v>
      </c>
      <c r="H74" s="4"/>
      <c r="I74" s="51">
        <f>I70*G70</f>
        <v>0.13756218905472636</v>
      </c>
      <c r="J74" s="51">
        <f>J70*G70</f>
        <v>0.13756218905472636</v>
      </c>
    </row>
    <row r="75" spans="2:15" x14ac:dyDescent="0.25">
      <c r="B75" s="4"/>
      <c r="C75" s="4"/>
      <c r="D75" s="7"/>
      <c r="E75" s="4"/>
      <c r="F75" s="4"/>
      <c r="G75" s="4"/>
      <c r="H75" s="4"/>
      <c r="I75" s="4"/>
      <c r="J75" s="4"/>
    </row>
    <row r="76" spans="2:15" x14ac:dyDescent="0.25">
      <c r="B76" s="4"/>
      <c r="C76" s="4"/>
      <c r="D76" s="7"/>
      <c r="E76" s="4"/>
      <c r="F76" s="4"/>
      <c r="G76" s="4" t="s">
        <v>67</v>
      </c>
      <c r="H76" s="4"/>
      <c r="I76" s="51">
        <f>AVERAGE(I72:I74)</f>
        <v>9.5986976880304359E-2</v>
      </c>
      <c r="J76" s="51">
        <f>AVERAGE(J72:J74)</f>
        <v>9.5986976880304359E-2</v>
      </c>
    </row>
    <row r="77" spans="2:15" x14ac:dyDescent="0.25">
      <c r="B77" s="4"/>
      <c r="C77" s="4"/>
      <c r="D77" s="7"/>
      <c r="E77" s="4"/>
      <c r="F77" s="4"/>
      <c r="G77" s="4"/>
      <c r="H77" s="4"/>
      <c r="I77" s="4"/>
      <c r="J77" s="4"/>
    </row>
    <row r="78" spans="2:15" x14ac:dyDescent="0.25">
      <c r="B78" s="4"/>
      <c r="C78" s="4"/>
      <c r="D78" s="7"/>
      <c r="E78" s="4"/>
      <c r="F78" s="4"/>
      <c r="G78" s="4" t="s">
        <v>68</v>
      </c>
      <c r="H78" s="4"/>
      <c r="I78" s="50">
        <v>0.08</v>
      </c>
      <c r="J78" s="50">
        <v>0.08</v>
      </c>
    </row>
    <row r="79" spans="2:15" x14ac:dyDescent="0.25">
      <c r="H79" t="s">
        <v>69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7"/>
  <sheetViews>
    <sheetView topLeftCell="A5" workbookViewId="0">
      <selection activeCell="M10" sqref="M10:N24"/>
    </sheetView>
  </sheetViews>
  <sheetFormatPr defaultRowHeight="15" x14ac:dyDescent="0.25"/>
  <cols>
    <col min="3" max="3" width="8" bestFit="1" customWidth="1"/>
    <col min="4" max="4" width="14.85546875" style="20" bestFit="1" customWidth="1"/>
    <col min="5" max="5" width="12.42578125" bestFit="1" customWidth="1"/>
    <col min="6" max="6" width="18" customWidth="1"/>
    <col min="7" max="7" width="11.28515625" customWidth="1"/>
  </cols>
  <sheetData>
    <row r="3" spans="3:14" x14ac:dyDescent="0.25">
      <c r="C3" s="21"/>
      <c r="D3" s="22"/>
    </row>
    <row r="5" spans="3:14" ht="60" x14ac:dyDescent="0.25">
      <c r="C5" s="23" t="s">
        <v>34</v>
      </c>
      <c r="D5" s="23" t="s">
        <v>45</v>
      </c>
      <c r="E5" s="23" t="s">
        <v>35</v>
      </c>
      <c r="F5" s="23" t="s">
        <v>37</v>
      </c>
      <c r="G5" s="24" t="s">
        <v>36</v>
      </c>
      <c r="H5" s="24" t="s">
        <v>6</v>
      </c>
      <c r="I5" s="24" t="s">
        <v>22</v>
      </c>
    </row>
    <row r="6" spans="3:14" x14ac:dyDescent="0.25">
      <c r="C6" s="27">
        <v>41275</v>
      </c>
      <c r="D6" s="27"/>
      <c r="E6" s="28">
        <v>101.47</v>
      </c>
      <c r="F6" s="28">
        <v>106</v>
      </c>
      <c r="G6" s="29">
        <v>110</v>
      </c>
      <c r="H6" s="7"/>
      <c r="I6" s="7"/>
    </row>
    <row r="7" spans="3:14" x14ac:dyDescent="0.25">
      <c r="C7" s="27">
        <v>41306</v>
      </c>
      <c r="D7" s="27"/>
      <c r="E7" s="28">
        <v>95.36</v>
      </c>
      <c r="F7" s="28">
        <v>109</v>
      </c>
      <c r="G7" s="29">
        <v>128</v>
      </c>
      <c r="H7" s="7"/>
      <c r="I7" s="7"/>
    </row>
    <row r="8" spans="3:14" x14ac:dyDescent="0.25">
      <c r="C8" s="27">
        <v>41334</v>
      </c>
      <c r="D8" s="27"/>
      <c r="E8" s="28">
        <v>98.99</v>
      </c>
      <c r="F8" s="28">
        <v>108</v>
      </c>
      <c r="G8" s="29">
        <v>128</v>
      </c>
      <c r="H8" s="7"/>
      <c r="I8" s="7"/>
    </row>
    <row r="9" spans="3:14" x14ac:dyDescent="0.25">
      <c r="C9" s="27">
        <v>41365</v>
      </c>
      <c r="D9" s="27"/>
      <c r="E9" s="28">
        <v>96.96</v>
      </c>
      <c r="F9" s="28">
        <v>103</v>
      </c>
      <c r="G9" s="29">
        <v>128</v>
      </c>
      <c r="H9" s="7"/>
      <c r="I9" s="7"/>
    </row>
    <row r="10" spans="3:14" x14ac:dyDescent="0.25">
      <c r="C10" s="27">
        <v>41395</v>
      </c>
      <c r="D10" s="31">
        <v>54.975000000000001</v>
      </c>
      <c r="E10" s="28">
        <v>95.95</v>
      </c>
      <c r="F10" s="28">
        <v>103</v>
      </c>
      <c r="G10" s="29">
        <v>128</v>
      </c>
      <c r="H10" s="7"/>
      <c r="I10" s="7"/>
      <c r="M10" s="94">
        <v>42248</v>
      </c>
      <c r="N10" s="7">
        <v>98.43</v>
      </c>
    </row>
    <row r="11" spans="3:14" x14ac:dyDescent="0.25">
      <c r="C11" s="27">
        <v>41426</v>
      </c>
      <c r="D11" s="31">
        <v>58.024999999999999</v>
      </c>
      <c r="E11" s="28">
        <v>98.48</v>
      </c>
      <c r="F11" s="28">
        <v>106</v>
      </c>
      <c r="G11" s="29">
        <v>128</v>
      </c>
      <c r="H11" s="7"/>
      <c r="I11" s="7"/>
      <c r="M11" s="95">
        <v>42248</v>
      </c>
      <c r="N11" s="7">
        <v>98.43</v>
      </c>
    </row>
    <row r="12" spans="3:14" x14ac:dyDescent="0.25">
      <c r="C12" s="27">
        <v>41456</v>
      </c>
      <c r="D12" s="31">
        <v>60.075000000000003</v>
      </c>
      <c r="E12" s="28">
        <v>107.41</v>
      </c>
      <c r="F12" s="28">
        <v>111</v>
      </c>
      <c r="G12" s="29">
        <v>128</v>
      </c>
      <c r="H12" s="7">
        <v>63.67</v>
      </c>
      <c r="I12" s="7">
        <v>95.6</v>
      </c>
      <c r="M12" s="95">
        <v>42278</v>
      </c>
      <c r="N12" s="7">
        <v>101.43</v>
      </c>
    </row>
    <row r="13" spans="3:14" x14ac:dyDescent="0.25">
      <c r="C13" s="27">
        <v>41487</v>
      </c>
      <c r="D13" s="31">
        <v>61.725000000000001</v>
      </c>
      <c r="E13" s="28">
        <v>110.14</v>
      </c>
      <c r="F13" s="28">
        <v>112</v>
      </c>
      <c r="G13" s="29">
        <v>128</v>
      </c>
      <c r="H13" s="7">
        <v>63.67</v>
      </c>
      <c r="I13" s="7">
        <v>95.6</v>
      </c>
      <c r="M13" s="95">
        <v>42309</v>
      </c>
      <c r="N13" s="7">
        <v>98.49</v>
      </c>
    </row>
    <row r="14" spans="3:14" x14ac:dyDescent="0.25">
      <c r="C14" s="27">
        <v>41518</v>
      </c>
      <c r="D14" s="31">
        <v>65.400000000000006</v>
      </c>
      <c r="E14" s="28">
        <v>104.3</v>
      </c>
      <c r="F14" s="28">
        <v>120</v>
      </c>
      <c r="G14" s="29">
        <v>138</v>
      </c>
      <c r="H14" s="7">
        <v>63.67</v>
      </c>
      <c r="I14" s="7">
        <v>95.6</v>
      </c>
      <c r="M14" s="95">
        <v>42339</v>
      </c>
      <c r="N14" s="7">
        <v>93.49</v>
      </c>
    </row>
    <row r="15" spans="3:14" x14ac:dyDescent="0.25">
      <c r="C15" s="27">
        <v>41548</v>
      </c>
      <c r="D15" s="31">
        <v>62.375</v>
      </c>
      <c r="E15" s="28">
        <v>98.41</v>
      </c>
      <c r="F15" s="28">
        <v>114</v>
      </c>
      <c r="G15" s="29">
        <v>148</v>
      </c>
      <c r="H15" s="7">
        <v>67.52</v>
      </c>
      <c r="I15" s="7">
        <v>109</v>
      </c>
      <c r="M15" s="95">
        <v>42370</v>
      </c>
      <c r="N15" s="7">
        <v>91.49</v>
      </c>
    </row>
    <row r="16" spans="3:14" x14ac:dyDescent="0.25">
      <c r="C16" s="27">
        <v>41579</v>
      </c>
      <c r="D16" s="31">
        <v>63.2</v>
      </c>
      <c r="E16" s="28">
        <v>94.77</v>
      </c>
      <c r="F16" s="28">
        <v>110</v>
      </c>
      <c r="G16" s="29">
        <v>148</v>
      </c>
      <c r="H16" s="7">
        <v>67.52</v>
      </c>
      <c r="I16" s="7">
        <v>109</v>
      </c>
      <c r="M16" s="96">
        <v>42401</v>
      </c>
      <c r="N16" s="7">
        <v>94.49</v>
      </c>
    </row>
    <row r="17" spans="3:14" x14ac:dyDescent="0.25">
      <c r="C17" s="27">
        <v>41609</v>
      </c>
      <c r="D17" s="31">
        <v>62.6</v>
      </c>
      <c r="E17" s="28">
        <v>100.53</v>
      </c>
      <c r="F17" s="28">
        <v>110</v>
      </c>
      <c r="G17" s="29">
        <v>148</v>
      </c>
      <c r="H17" s="7">
        <v>67.52</v>
      </c>
      <c r="I17" s="7">
        <v>109</v>
      </c>
      <c r="M17" s="96">
        <v>42430</v>
      </c>
      <c r="N17" s="7">
        <v>100.49</v>
      </c>
    </row>
    <row r="18" spans="3:14" x14ac:dyDescent="0.25">
      <c r="C18" s="27">
        <v>41640</v>
      </c>
      <c r="D18" s="31">
        <v>62.274999999999999</v>
      </c>
      <c r="E18" s="28">
        <v>99.5</v>
      </c>
      <c r="F18" s="28">
        <v>110</v>
      </c>
      <c r="G18" s="29">
        <v>148</v>
      </c>
      <c r="H18" s="7">
        <v>67.52</v>
      </c>
      <c r="I18" s="7">
        <v>109</v>
      </c>
      <c r="M18" s="96">
        <v>42461</v>
      </c>
      <c r="N18" s="7">
        <v>106.49</v>
      </c>
    </row>
    <row r="19" spans="3:14" x14ac:dyDescent="0.25">
      <c r="C19" s="27">
        <v>41671</v>
      </c>
      <c r="D19" s="31">
        <v>62.95</v>
      </c>
      <c r="E19" s="28">
        <v>104.53</v>
      </c>
      <c r="F19" s="28">
        <v>109</v>
      </c>
      <c r="G19" s="29">
        <v>148</v>
      </c>
      <c r="H19" s="7">
        <v>67.52</v>
      </c>
      <c r="I19" s="7">
        <v>109</v>
      </c>
      <c r="M19" s="96">
        <v>42491</v>
      </c>
      <c r="N19" s="7">
        <v>102.49</v>
      </c>
    </row>
    <row r="20" spans="3:14" x14ac:dyDescent="0.25">
      <c r="C20" s="27">
        <v>41699</v>
      </c>
      <c r="D20" s="31">
        <v>61.875</v>
      </c>
      <c r="E20" s="28">
        <v>102.59</v>
      </c>
      <c r="F20" s="28">
        <v>107</v>
      </c>
      <c r="G20" s="29">
        <v>148</v>
      </c>
      <c r="H20" s="7">
        <v>67.52</v>
      </c>
      <c r="I20" s="7">
        <v>109</v>
      </c>
      <c r="M20" s="96">
        <v>42522</v>
      </c>
      <c r="N20" s="7">
        <v>100.49</v>
      </c>
    </row>
    <row r="21" spans="3:14" x14ac:dyDescent="0.25">
      <c r="C21" s="27">
        <v>41730</v>
      </c>
      <c r="D21" s="31">
        <v>60.625</v>
      </c>
      <c r="E21" s="28">
        <v>100.77</v>
      </c>
      <c r="F21" s="28">
        <v>105</v>
      </c>
      <c r="G21" s="29">
        <v>148</v>
      </c>
      <c r="H21" s="7">
        <v>67.52</v>
      </c>
      <c r="I21" s="7">
        <v>109</v>
      </c>
      <c r="M21" s="96">
        <v>42552</v>
      </c>
      <c r="N21" s="4">
        <v>103.82</v>
      </c>
    </row>
    <row r="22" spans="3:14" x14ac:dyDescent="0.25">
      <c r="C22" s="27">
        <v>41760</v>
      </c>
      <c r="D22" s="31">
        <v>60.475000000000001</v>
      </c>
      <c r="E22" s="28">
        <v>103.71</v>
      </c>
      <c r="F22" s="28">
        <v>106</v>
      </c>
      <c r="G22" s="29">
        <v>148</v>
      </c>
      <c r="H22" s="7">
        <v>67.52</v>
      </c>
      <c r="I22" s="7">
        <v>109</v>
      </c>
      <c r="M22" s="96">
        <v>42583</v>
      </c>
      <c r="N22" s="4">
        <v>105.32</v>
      </c>
    </row>
    <row r="23" spans="3:14" x14ac:dyDescent="0.25">
      <c r="C23" s="27">
        <v>41791</v>
      </c>
      <c r="D23" s="31">
        <v>60.15</v>
      </c>
      <c r="E23" s="28">
        <v>106.18</v>
      </c>
      <c r="F23" s="28">
        <v>102</v>
      </c>
      <c r="G23" s="29">
        <v>148</v>
      </c>
      <c r="H23" s="7">
        <v>67.52</v>
      </c>
      <c r="I23" s="7">
        <v>109</v>
      </c>
      <c r="M23" s="96">
        <v>42614</v>
      </c>
      <c r="N23" s="4">
        <v>105.32</v>
      </c>
    </row>
    <row r="24" spans="3:14" x14ac:dyDescent="0.25">
      <c r="C24" s="27">
        <v>41821</v>
      </c>
      <c r="D24" s="31">
        <v>60.4</v>
      </c>
      <c r="E24" s="28">
        <v>98.43</v>
      </c>
      <c r="F24" s="28">
        <v>109</v>
      </c>
      <c r="G24" s="29">
        <v>148</v>
      </c>
      <c r="H24" s="7">
        <v>67.52</v>
      </c>
      <c r="I24" s="7">
        <v>109</v>
      </c>
      <c r="M24" s="97">
        <v>42644</v>
      </c>
      <c r="N24" s="4">
        <v>104.52</v>
      </c>
    </row>
    <row r="25" spans="3:14" x14ac:dyDescent="0.25">
      <c r="C25" s="27">
        <v>41852</v>
      </c>
      <c r="D25" s="31">
        <v>61.55</v>
      </c>
      <c r="E25" s="28">
        <v>98.15</v>
      </c>
      <c r="F25" s="28">
        <v>111</v>
      </c>
      <c r="G25" s="29">
        <v>148</v>
      </c>
      <c r="H25" s="7">
        <v>67.52</v>
      </c>
      <c r="I25" s="7">
        <v>109</v>
      </c>
    </row>
    <row r="26" spans="3:14" x14ac:dyDescent="0.25">
      <c r="C26" s="27">
        <v>41883</v>
      </c>
      <c r="D26" s="31">
        <v>61.375</v>
      </c>
      <c r="E26" s="28">
        <v>91.44</v>
      </c>
      <c r="F26" s="28">
        <v>111</v>
      </c>
      <c r="G26" s="29">
        <v>148</v>
      </c>
      <c r="H26" s="7">
        <v>67.52</v>
      </c>
      <c r="I26" s="7">
        <v>109</v>
      </c>
    </row>
    <row r="27" spans="3:14" x14ac:dyDescent="0.25">
      <c r="C27" s="27">
        <v>41913</v>
      </c>
      <c r="D27" s="31">
        <v>62.174999999999997</v>
      </c>
      <c r="E27" s="28">
        <v>80.930000000000007</v>
      </c>
      <c r="F27" s="28">
        <v>107</v>
      </c>
      <c r="G27" s="29">
        <v>148</v>
      </c>
      <c r="H27" s="7">
        <v>67.52</v>
      </c>
      <c r="I27" s="7">
        <v>109</v>
      </c>
    </row>
    <row r="28" spans="3:14" x14ac:dyDescent="0.25">
      <c r="C28" s="27">
        <v>41944</v>
      </c>
      <c r="D28" s="31">
        <v>62.25</v>
      </c>
      <c r="E28" s="28">
        <v>66.67</v>
      </c>
      <c r="F28" s="28">
        <v>102</v>
      </c>
      <c r="G28" s="29">
        <v>148</v>
      </c>
      <c r="H28" s="7">
        <v>67.52</v>
      </c>
      <c r="I28" s="7">
        <v>109</v>
      </c>
    </row>
    <row r="29" spans="3:14" x14ac:dyDescent="0.25">
      <c r="C29" s="27">
        <v>41974</v>
      </c>
      <c r="D29" s="31">
        <v>63.174999999999997</v>
      </c>
      <c r="E29" s="28">
        <v>54.31</v>
      </c>
      <c r="F29" s="28">
        <v>101</v>
      </c>
      <c r="G29" s="26">
        <v>129</v>
      </c>
      <c r="H29" s="7">
        <v>67.510000000000005</v>
      </c>
      <c r="I29" s="7">
        <v>111.5</v>
      </c>
    </row>
    <row r="30" spans="3:14" x14ac:dyDescent="0.25">
      <c r="C30" s="27">
        <v>42005</v>
      </c>
      <c r="D30" s="31">
        <v>63.05</v>
      </c>
      <c r="E30" s="28">
        <v>48.79</v>
      </c>
      <c r="F30" s="28">
        <v>94</v>
      </c>
      <c r="G30" s="26">
        <v>129</v>
      </c>
      <c r="H30" s="7">
        <v>67.510000000000005</v>
      </c>
      <c r="I30" s="7">
        <v>111.5</v>
      </c>
    </row>
    <row r="31" spans="3:14" x14ac:dyDescent="0.25">
      <c r="C31" s="27">
        <v>42036</v>
      </c>
      <c r="D31" s="31">
        <v>62.625</v>
      </c>
      <c r="E31" s="28">
        <v>50.69</v>
      </c>
      <c r="F31" s="28">
        <v>92</v>
      </c>
      <c r="G31" s="26">
        <v>130</v>
      </c>
      <c r="H31" s="7">
        <v>67.52</v>
      </c>
      <c r="I31" s="7">
        <v>111.5</v>
      </c>
    </row>
    <row r="32" spans="3:14" x14ac:dyDescent="0.25">
      <c r="C32" s="27">
        <v>42064</v>
      </c>
      <c r="D32" s="31">
        <v>62.9</v>
      </c>
      <c r="E32" s="28">
        <v>48.24</v>
      </c>
      <c r="F32" s="28">
        <v>94</v>
      </c>
      <c r="G32" s="26">
        <v>123</v>
      </c>
      <c r="H32" s="7">
        <v>62.56</v>
      </c>
      <c r="I32" s="7">
        <v>98.38</v>
      </c>
    </row>
    <row r="33" spans="3:10" ht="15.75" x14ac:dyDescent="0.25">
      <c r="C33" s="64">
        <v>42095</v>
      </c>
      <c r="D33" s="68">
        <v>63.2</v>
      </c>
      <c r="E33" s="28">
        <v>60.16</v>
      </c>
      <c r="F33" s="28">
        <v>101</v>
      </c>
      <c r="G33" s="26">
        <v>123</v>
      </c>
      <c r="H33" s="7">
        <v>67.22</v>
      </c>
      <c r="I33" s="7">
        <v>98.38</v>
      </c>
    </row>
    <row r="34" spans="3:10" ht="15.75" x14ac:dyDescent="0.25">
      <c r="C34" s="64">
        <v>42125</v>
      </c>
      <c r="D34" s="68">
        <v>64.349999999999994</v>
      </c>
      <c r="E34" s="28">
        <v>60.49</v>
      </c>
      <c r="F34" s="28">
        <v>104</v>
      </c>
      <c r="G34" s="26">
        <v>123</v>
      </c>
      <c r="H34" s="7">
        <v>67.22</v>
      </c>
      <c r="I34" s="7">
        <v>98.38</v>
      </c>
    </row>
    <row r="35" spans="3:10" ht="15.75" x14ac:dyDescent="0.25">
      <c r="C35" s="64">
        <v>42156</v>
      </c>
      <c r="D35" s="68">
        <v>64.55</v>
      </c>
      <c r="E35" s="28">
        <v>59.48</v>
      </c>
      <c r="F35" s="28">
        <v>78</v>
      </c>
      <c r="G35" s="26">
        <v>129</v>
      </c>
      <c r="H35" s="7">
        <v>68.2</v>
      </c>
      <c r="I35" s="7">
        <v>98.38</v>
      </c>
    </row>
    <row r="36" spans="3:10" ht="15.75" x14ac:dyDescent="0.25">
      <c r="C36" s="64">
        <v>42186</v>
      </c>
      <c r="D36" s="68">
        <v>64.099999999999994</v>
      </c>
      <c r="E36" s="28">
        <v>47.11</v>
      </c>
      <c r="F36" s="28">
        <v>72</v>
      </c>
      <c r="G36" s="26">
        <v>129</v>
      </c>
      <c r="H36" s="7">
        <v>68.2</v>
      </c>
      <c r="I36" s="7">
        <v>98.38</v>
      </c>
    </row>
    <row r="37" spans="3:10" ht="15.75" x14ac:dyDescent="0.25">
      <c r="C37" s="64">
        <v>42217</v>
      </c>
      <c r="D37" s="68">
        <v>65.75</v>
      </c>
      <c r="E37" s="28">
        <v>45.63</v>
      </c>
      <c r="F37" s="28">
        <v>68.8</v>
      </c>
      <c r="G37" s="26">
        <v>129</v>
      </c>
      <c r="H37" s="7">
        <v>68.2</v>
      </c>
      <c r="I37" s="7">
        <v>98.38</v>
      </c>
    </row>
    <row r="38" spans="3:10" ht="15.75" x14ac:dyDescent="0.25">
      <c r="C38" s="64">
        <v>42248</v>
      </c>
      <c r="D38" s="68">
        <v>67.05</v>
      </c>
      <c r="E38" s="30">
        <v>45.05</v>
      </c>
      <c r="F38" s="28">
        <v>68.8</v>
      </c>
      <c r="G38" s="26">
        <v>114</v>
      </c>
      <c r="H38" s="7">
        <v>68.2</v>
      </c>
      <c r="I38" s="7">
        <v>87.4</v>
      </c>
    </row>
    <row r="39" spans="3:10" ht="15.75" x14ac:dyDescent="0.25">
      <c r="C39" s="64">
        <v>42278</v>
      </c>
      <c r="D39" s="68">
        <v>65.349999999999994</v>
      </c>
      <c r="E39" s="29">
        <v>46.3</v>
      </c>
      <c r="F39" s="28">
        <v>68.8</v>
      </c>
      <c r="G39" s="26">
        <v>114</v>
      </c>
      <c r="H39" s="7">
        <v>68.2</v>
      </c>
      <c r="I39" s="7">
        <v>87.4</v>
      </c>
    </row>
    <row r="40" spans="3:10" ht="15.75" x14ac:dyDescent="0.25">
      <c r="C40" s="64">
        <v>42309</v>
      </c>
      <c r="D40" s="68">
        <v>66.7</v>
      </c>
      <c r="E40" s="26">
        <v>41.65</v>
      </c>
      <c r="F40" s="26"/>
      <c r="G40" s="26">
        <v>112</v>
      </c>
      <c r="H40" s="7">
        <v>68.2</v>
      </c>
      <c r="I40" s="7">
        <v>87.4</v>
      </c>
    </row>
    <row r="41" spans="3:10" ht="15.75" x14ac:dyDescent="0.25">
      <c r="C41" s="64">
        <v>42339</v>
      </c>
      <c r="D41" s="68">
        <v>67.2</v>
      </c>
      <c r="E41" s="29">
        <v>35.47</v>
      </c>
      <c r="F41" s="33"/>
      <c r="G41" s="33">
        <v>101</v>
      </c>
      <c r="H41" s="7">
        <v>68.2</v>
      </c>
      <c r="I41" s="7">
        <v>87.4</v>
      </c>
      <c r="J41" s="32"/>
    </row>
    <row r="42" spans="3:10" ht="15.75" x14ac:dyDescent="0.25">
      <c r="C42" s="64">
        <v>42370</v>
      </c>
      <c r="D42" s="68">
        <v>67.349999999999994</v>
      </c>
      <c r="E42" s="66">
        <v>33.619999999999997</v>
      </c>
    </row>
    <row r="43" spans="3:10" ht="15.75" x14ac:dyDescent="0.25">
      <c r="C43" s="64">
        <v>42401</v>
      </c>
      <c r="D43" s="65">
        <v>68.95</v>
      </c>
      <c r="E43" s="66">
        <v>33.75</v>
      </c>
    </row>
    <row r="44" spans="3:10" ht="15.75" x14ac:dyDescent="0.25">
      <c r="C44" s="64">
        <v>42430</v>
      </c>
      <c r="D44" s="65">
        <v>67.45</v>
      </c>
      <c r="E44" s="66">
        <v>38.340000000000003</v>
      </c>
    </row>
    <row r="45" spans="3:10" ht="15.75" x14ac:dyDescent="0.25">
      <c r="C45" s="64">
        <v>42461</v>
      </c>
      <c r="D45" s="68">
        <v>66.900000000000006</v>
      </c>
      <c r="E45" s="66">
        <v>45.92</v>
      </c>
    </row>
    <row r="46" spans="3:10" ht="15.75" x14ac:dyDescent="0.25">
      <c r="C46" s="64">
        <v>42491</v>
      </c>
      <c r="D46" s="68">
        <v>68.05</v>
      </c>
      <c r="E46" s="66">
        <v>47.07</v>
      </c>
    </row>
    <row r="47" spans="3:10" ht="15.75" x14ac:dyDescent="0.25">
      <c r="C47" s="61">
        <v>42537</v>
      </c>
      <c r="D47" s="67">
        <v>68</v>
      </c>
      <c r="E47" s="66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>
      <selection activeCell="J2" sqref="J2"/>
    </sheetView>
  </sheetViews>
  <sheetFormatPr defaultRowHeight="15" x14ac:dyDescent="0.25"/>
  <sheetData>
    <row r="1" spans="2:14" x14ac:dyDescent="0.25">
      <c r="C1" t="s">
        <v>38</v>
      </c>
      <c r="D1" t="s">
        <v>0</v>
      </c>
      <c r="F1" t="s">
        <v>40</v>
      </c>
    </row>
    <row r="2" spans="2:14" x14ac:dyDescent="0.25">
      <c r="B2" t="s">
        <v>33</v>
      </c>
      <c r="C2">
        <v>8</v>
      </c>
      <c r="D2">
        <f>C2*1.4</f>
        <v>11.2</v>
      </c>
      <c r="E2">
        <f>D2/$D$8</f>
        <v>0.14795244385733156</v>
      </c>
      <c r="F2">
        <v>129</v>
      </c>
      <c r="G2" s="1">
        <f t="shared" ref="G2:G7" si="0">F2*E2</f>
        <v>19.085865257595771</v>
      </c>
    </row>
    <row r="3" spans="2:14" x14ac:dyDescent="0.25">
      <c r="B3" t="s">
        <v>39</v>
      </c>
      <c r="D3">
        <v>2</v>
      </c>
      <c r="E3">
        <f t="shared" ref="E3:E8" si="1">D3/$D$8</f>
        <v>2.6420079260237778E-2</v>
      </c>
      <c r="F3">
        <v>950</v>
      </c>
      <c r="G3" s="1">
        <f t="shared" si="0"/>
        <v>25.099075297225891</v>
      </c>
      <c r="J3" t="s">
        <v>42</v>
      </c>
    </row>
    <row r="4" spans="2:14" x14ac:dyDescent="0.25">
      <c r="B4" t="s">
        <v>1</v>
      </c>
      <c r="D4">
        <v>2.5</v>
      </c>
      <c r="E4">
        <f t="shared" si="1"/>
        <v>3.3025099075297222E-2</v>
      </c>
      <c r="F4">
        <v>285</v>
      </c>
      <c r="G4" s="1">
        <f t="shared" si="0"/>
        <v>9.4121532364597087</v>
      </c>
      <c r="L4" t="s">
        <v>43</v>
      </c>
      <c r="N4" t="s">
        <v>44</v>
      </c>
    </row>
    <row r="5" spans="2:14" x14ac:dyDescent="0.25">
      <c r="B5" t="s">
        <v>6</v>
      </c>
      <c r="D5">
        <v>40</v>
      </c>
      <c r="E5">
        <f t="shared" si="1"/>
        <v>0.52840158520475555</v>
      </c>
      <c r="F5">
        <v>67.2</v>
      </c>
      <c r="G5" s="1">
        <f t="shared" si="0"/>
        <v>35.508586525759576</v>
      </c>
    </row>
    <row r="6" spans="2:14" x14ac:dyDescent="0.25">
      <c r="B6" t="s">
        <v>22</v>
      </c>
      <c r="D6">
        <v>5</v>
      </c>
      <c r="E6">
        <f t="shared" si="1"/>
        <v>6.6050198150594444E-2</v>
      </c>
      <c r="F6">
        <v>99.4</v>
      </c>
      <c r="G6" s="1">
        <f t="shared" si="0"/>
        <v>6.5653896961690883</v>
      </c>
    </row>
    <row r="7" spans="2:14" x14ac:dyDescent="0.25">
      <c r="B7" t="s">
        <v>8</v>
      </c>
      <c r="D7">
        <v>15</v>
      </c>
      <c r="E7">
        <f t="shared" si="1"/>
        <v>0.19815059445178335</v>
      </c>
      <c r="F7">
        <v>144.4</v>
      </c>
      <c r="G7" s="1">
        <f t="shared" si="0"/>
        <v>28.612945838837515</v>
      </c>
    </row>
    <row r="8" spans="2:14" x14ac:dyDescent="0.25">
      <c r="C8" t="s">
        <v>2</v>
      </c>
      <c r="D8">
        <f>SUM(D2:D7)</f>
        <v>75.7</v>
      </c>
      <c r="E8">
        <f t="shared" si="1"/>
        <v>1</v>
      </c>
      <c r="G8" s="1">
        <f>SUM(G2:G7)</f>
        <v>124.28401585204756</v>
      </c>
    </row>
    <row r="10" spans="2:14" x14ac:dyDescent="0.25">
      <c r="E10" s="3">
        <v>10</v>
      </c>
      <c r="F10" t="s">
        <v>7</v>
      </c>
      <c r="G10">
        <f>(E10/100)*G8</f>
        <v>12.428401585204757</v>
      </c>
    </row>
    <row r="11" spans="2:14" x14ac:dyDescent="0.25">
      <c r="G11" s="1">
        <f>SUM(G8:G10)</f>
        <v>136.71241743725233</v>
      </c>
    </row>
    <row r="12" spans="2:14" x14ac:dyDescent="0.25">
      <c r="F12" t="s">
        <v>41</v>
      </c>
      <c r="G12">
        <v>13</v>
      </c>
    </row>
    <row r="13" spans="2:14" x14ac:dyDescent="0.25">
      <c r="G13" s="1">
        <f>SUM(G11:G12)</f>
        <v>149.71241743725233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93</v>
      </c>
    </row>
    <row r="3" spans="1:3" x14ac:dyDescent="0.25">
      <c r="A3" s="90">
        <v>42005</v>
      </c>
      <c r="C3" s="91">
        <v>96700</v>
      </c>
    </row>
    <row r="4" spans="1:3" x14ac:dyDescent="0.25">
      <c r="A4" s="90">
        <v>42036</v>
      </c>
    </row>
    <row r="5" spans="1:3" x14ac:dyDescent="0.25">
      <c r="A5" s="90">
        <v>42064</v>
      </c>
    </row>
    <row r="6" spans="1:3" x14ac:dyDescent="0.25">
      <c r="A6" s="90">
        <v>42095</v>
      </c>
    </row>
    <row r="7" spans="1:3" x14ac:dyDescent="0.25">
      <c r="A7" s="90">
        <v>42125</v>
      </c>
    </row>
    <row r="8" spans="1:3" x14ac:dyDescent="0.25">
      <c r="A8" s="90">
        <v>42156</v>
      </c>
    </row>
    <row r="9" spans="1:3" x14ac:dyDescent="0.25">
      <c r="A9" s="90">
        <v>42186</v>
      </c>
    </row>
    <row r="10" spans="1:3" x14ac:dyDescent="0.25">
      <c r="A10" s="90">
        <v>42217</v>
      </c>
    </row>
    <row r="11" spans="1:3" x14ac:dyDescent="0.25">
      <c r="A11" s="90">
        <v>42248</v>
      </c>
    </row>
    <row r="12" spans="1:3" x14ac:dyDescent="0.25">
      <c r="A12" s="90">
        <v>42278</v>
      </c>
    </row>
    <row r="13" spans="1:3" x14ac:dyDescent="0.25">
      <c r="A13" s="90">
        <v>42309</v>
      </c>
    </row>
    <row r="14" spans="1:3" x14ac:dyDescent="0.25">
      <c r="A14" s="90">
        <v>42339</v>
      </c>
    </row>
    <row r="15" spans="1:3" x14ac:dyDescent="0.25">
      <c r="A15" s="90">
        <v>42370</v>
      </c>
    </row>
    <row r="16" spans="1:3" x14ac:dyDescent="0.25">
      <c r="A16" s="90">
        <v>42401</v>
      </c>
    </row>
    <row r="17" spans="1:1" x14ac:dyDescent="0.25">
      <c r="A17" s="90">
        <v>42430</v>
      </c>
    </row>
    <row r="18" spans="1:1" x14ac:dyDescent="0.25">
      <c r="A18" s="90">
        <v>42461</v>
      </c>
    </row>
    <row r="19" spans="1:1" x14ac:dyDescent="0.25">
      <c r="A19" s="90">
        <v>42491</v>
      </c>
    </row>
    <row r="20" spans="1:1" x14ac:dyDescent="0.25">
      <c r="A20" s="90">
        <v>42522</v>
      </c>
    </row>
    <row r="21" spans="1:1" x14ac:dyDescent="0.25">
      <c r="A21" s="90">
        <v>42552</v>
      </c>
    </row>
    <row r="22" spans="1:1" x14ac:dyDescent="0.25">
      <c r="A22" s="90">
        <v>42583</v>
      </c>
    </row>
    <row r="23" spans="1:1" x14ac:dyDescent="0.25">
      <c r="A23" s="90">
        <v>42614</v>
      </c>
    </row>
    <row r="24" spans="1:1" x14ac:dyDescent="0.25">
      <c r="A24" s="90">
        <v>42644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89" zoomScaleNormal="89" workbookViewId="0">
      <pane xSplit="1" ySplit="5" topLeftCell="B25" activePane="bottomRight" state="frozen"/>
      <selection pane="topRight" activeCell="D1" sqref="D1"/>
      <selection pane="bottomLeft" activeCell="A6" sqref="A6"/>
      <selection pane="bottomRight" activeCell="G38" sqref="G38"/>
    </sheetView>
  </sheetViews>
  <sheetFormatPr defaultRowHeight="15" x14ac:dyDescent="0.25"/>
  <cols>
    <col min="1" max="1" width="17.5703125" bestFit="1" customWidth="1"/>
    <col min="2" max="2" width="14.85546875" style="20" bestFit="1" customWidth="1"/>
    <col min="3" max="3" width="12.42578125" bestFit="1" customWidth="1"/>
    <col min="4" max="5" width="12.42578125" customWidth="1"/>
    <col min="6" max="6" width="18" customWidth="1"/>
    <col min="7" max="8" width="11.28515625" customWidth="1"/>
    <col min="9" max="9" width="14.28515625" customWidth="1"/>
    <col min="10" max="10" width="20.42578125" bestFit="1" customWidth="1"/>
    <col min="14" max="14" width="11.5703125" bestFit="1" customWidth="1"/>
  </cols>
  <sheetData>
    <row r="1" spans="1:22" x14ac:dyDescent="0.25">
      <c r="L1" t="s">
        <v>83</v>
      </c>
    </row>
    <row r="2" spans="1:22" x14ac:dyDescent="0.25">
      <c r="L2" t="s">
        <v>84</v>
      </c>
    </row>
    <row r="3" spans="1:22" x14ac:dyDescent="0.25">
      <c r="A3" s="21"/>
      <c r="B3" s="22"/>
    </row>
    <row r="5" spans="1:22" ht="94.5" x14ac:dyDescent="0.25">
      <c r="A5" s="59" t="s">
        <v>59</v>
      </c>
      <c r="B5" s="59" t="s">
        <v>45</v>
      </c>
      <c r="C5" s="59" t="s">
        <v>35</v>
      </c>
      <c r="D5" s="59" t="s">
        <v>80</v>
      </c>
      <c r="E5" s="59"/>
      <c r="F5" s="59" t="s">
        <v>81</v>
      </c>
      <c r="G5" s="60" t="s">
        <v>36</v>
      </c>
      <c r="H5" s="60" t="s">
        <v>82</v>
      </c>
      <c r="I5" s="60" t="s">
        <v>6</v>
      </c>
      <c r="J5" s="60" t="s">
        <v>22</v>
      </c>
      <c r="K5" s="60" t="s">
        <v>46</v>
      </c>
      <c r="L5" s="63" t="s">
        <v>47</v>
      </c>
      <c r="M5" s="76" t="s">
        <v>85</v>
      </c>
      <c r="N5" s="36"/>
      <c r="O5" s="36"/>
      <c r="Q5" t="s">
        <v>54</v>
      </c>
      <c r="R5" t="s">
        <v>55</v>
      </c>
      <c r="T5" s="43" t="s">
        <v>56</v>
      </c>
      <c r="U5" s="44" t="s">
        <v>57</v>
      </c>
    </row>
    <row r="6" spans="1:22" ht="15.75" x14ac:dyDescent="0.25">
      <c r="A6" s="61">
        <v>41883</v>
      </c>
      <c r="B6" s="62">
        <v>61.375</v>
      </c>
      <c r="C6" s="62">
        <v>91.44</v>
      </c>
      <c r="D6" s="62">
        <f t="shared" ref="D6:D38" si="0">(B6*C6)/1000</f>
        <v>5.6121300000000005</v>
      </c>
      <c r="E6" s="62"/>
      <c r="F6" s="62">
        <v>111</v>
      </c>
      <c r="G6" s="66">
        <v>148</v>
      </c>
      <c r="H6" s="66"/>
      <c r="I6" s="67">
        <v>67.52</v>
      </c>
      <c r="J6" s="67">
        <v>109</v>
      </c>
      <c r="K6" s="67">
        <v>161.5</v>
      </c>
      <c r="L6" s="67"/>
      <c r="M6" s="77"/>
      <c r="N6" s="39" t="e">
        <f>(B6*C6-#REF!*#REF!)/(#REF!*#REF!)</f>
        <v>#REF!</v>
      </c>
      <c r="O6" s="37"/>
      <c r="P6" s="35" t="e">
        <f>(#REF!-F6)/#REF!</f>
        <v>#REF!</v>
      </c>
      <c r="Q6" s="35" t="e">
        <f>(#REF!-G6)/#REF!</f>
        <v>#REF!</v>
      </c>
      <c r="T6" s="45">
        <v>163.89</v>
      </c>
      <c r="U6" s="46">
        <v>205</v>
      </c>
      <c r="V6" s="35" t="e">
        <f>(T6-#REF!)/#REF!</f>
        <v>#REF!</v>
      </c>
    </row>
    <row r="7" spans="1:22" ht="15.75" x14ac:dyDescent="0.25">
      <c r="A7" s="73">
        <v>41913</v>
      </c>
      <c r="B7" s="74">
        <v>62.174999999999997</v>
      </c>
      <c r="C7" s="74">
        <v>80.930000000000007</v>
      </c>
      <c r="D7" s="74">
        <f t="shared" si="0"/>
        <v>5.0318227499999999</v>
      </c>
      <c r="E7" s="74"/>
      <c r="F7" s="74">
        <v>107</v>
      </c>
      <c r="G7" s="74">
        <v>148</v>
      </c>
      <c r="H7" s="74"/>
      <c r="I7" s="70">
        <v>67.52</v>
      </c>
      <c r="J7" s="70">
        <v>109</v>
      </c>
      <c r="K7" s="70">
        <v>161.5</v>
      </c>
      <c r="L7" s="70"/>
      <c r="M7" s="78"/>
      <c r="N7" s="39">
        <f t="shared" ref="N7:N21" si="1">(B7*C7-B6*C6)/(B6*C6)</f>
        <v>-0.10340231783654331</v>
      </c>
      <c r="O7" s="37"/>
      <c r="P7" s="40">
        <f t="shared" ref="P7:P21" si="2">(F6-F7)/F6</f>
        <v>3.6036036036036036E-2</v>
      </c>
      <c r="Q7" s="35">
        <f t="shared" ref="Q7:Q21" si="3">(G6-G7)/G6</f>
        <v>0</v>
      </c>
      <c r="T7" s="45">
        <v>188</v>
      </c>
      <c r="U7" s="46">
        <v>205</v>
      </c>
      <c r="V7" s="35">
        <f t="shared" ref="V7:V19" si="4">(T7-T6)/T6</f>
        <v>0.14711086704496928</v>
      </c>
    </row>
    <row r="8" spans="1:22" ht="15.75" x14ac:dyDescent="0.25">
      <c r="A8" s="61">
        <v>41944</v>
      </c>
      <c r="B8" s="62">
        <v>62.25</v>
      </c>
      <c r="C8" s="62">
        <v>66.67</v>
      </c>
      <c r="D8" s="62">
        <f t="shared" si="0"/>
        <v>4.1502075000000005</v>
      </c>
      <c r="E8" s="62"/>
      <c r="F8" s="62">
        <v>102</v>
      </c>
      <c r="G8" s="66">
        <v>148</v>
      </c>
      <c r="H8" s="66"/>
      <c r="I8" s="67">
        <v>67.52</v>
      </c>
      <c r="J8" s="67">
        <v>109</v>
      </c>
      <c r="K8" s="67">
        <v>161.5</v>
      </c>
      <c r="L8" s="67"/>
      <c r="M8" s="77"/>
      <c r="N8" s="39">
        <f t="shared" si="1"/>
        <v>-0.17520793036678403</v>
      </c>
      <c r="O8" s="37"/>
      <c r="P8" s="40">
        <f t="shared" si="2"/>
        <v>4.6728971962616821E-2</v>
      </c>
      <c r="Q8" s="35">
        <f t="shared" si="3"/>
        <v>0</v>
      </c>
      <c r="T8" s="45">
        <v>177.64</v>
      </c>
      <c r="U8" s="46">
        <v>205</v>
      </c>
      <c r="V8" s="35">
        <f t="shared" si="4"/>
        <v>-5.510638297872348E-2</v>
      </c>
    </row>
    <row r="9" spans="1:22" ht="15.75" x14ac:dyDescent="0.25">
      <c r="A9" s="61">
        <v>41974</v>
      </c>
      <c r="B9" s="62">
        <v>63.174999999999997</v>
      </c>
      <c r="C9" s="62">
        <v>54.31</v>
      </c>
      <c r="D9" s="62">
        <f t="shared" si="0"/>
        <v>3.4310342500000002</v>
      </c>
      <c r="E9" s="62"/>
      <c r="F9" s="62">
        <v>101</v>
      </c>
      <c r="G9" s="67">
        <v>129</v>
      </c>
      <c r="H9" s="67"/>
      <c r="I9" s="67">
        <v>67.510000000000005</v>
      </c>
      <c r="J9" s="67">
        <v>111.5</v>
      </c>
      <c r="K9" s="67">
        <v>158.22</v>
      </c>
      <c r="L9" s="67"/>
      <c r="M9" s="77"/>
      <c r="N9" s="39">
        <f t="shared" si="1"/>
        <v>-0.17328609473140805</v>
      </c>
      <c r="O9" s="37"/>
      <c r="P9" s="40">
        <f t="shared" si="2"/>
        <v>9.8039215686274508E-3</v>
      </c>
      <c r="Q9" s="35">
        <f t="shared" si="3"/>
        <v>0.12837837837837837</v>
      </c>
      <c r="T9" s="45">
        <v>177.64</v>
      </c>
      <c r="U9" s="46">
        <v>205</v>
      </c>
      <c r="V9" s="35">
        <f t="shared" si="4"/>
        <v>0</v>
      </c>
    </row>
    <row r="10" spans="1:22" ht="15.75" x14ac:dyDescent="0.25">
      <c r="A10" s="61">
        <v>42005</v>
      </c>
      <c r="B10" s="62">
        <v>63.05</v>
      </c>
      <c r="C10" s="62">
        <v>48.79</v>
      </c>
      <c r="D10" s="62">
        <f t="shared" si="0"/>
        <v>3.0762095</v>
      </c>
      <c r="E10" s="62"/>
      <c r="F10" s="62">
        <v>94</v>
      </c>
      <c r="G10" s="67">
        <v>129</v>
      </c>
      <c r="H10" s="67"/>
      <c r="I10" s="67">
        <v>67.510000000000005</v>
      </c>
      <c r="J10" s="67">
        <v>111.5</v>
      </c>
      <c r="K10" s="67">
        <v>158.22</v>
      </c>
      <c r="L10" s="67"/>
      <c r="M10" s="77"/>
      <c r="N10" s="39">
        <f t="shared" si="1"/>
        <v>-0.10341626580964623</v>
      </c>
      <c r="O10" s="37"/>
      <c r="P10" s="35">
        <f t="shared" si="2"/>
        <v>6.9306930693069313E-2</v>
      </c>
      <c r="Q10" s="35">
        <f t="shared" si="3"/>
        <v>0</v>
      </c>
      <c r="T10" s="45">
        <v>168.47</v>
      </c>
      <c r="U10" s="46">
        <v>205</v>
      </c>
      <c r="V10" s="35">
        <f t="shared" si="4"/>
        <v>-5.1621256473767106E-2</v>
      </c>
    </row>
    <row r="11" spans="1:22" ht="15.75" x14ac:dyDescent="0.25">
      <c r="A11" s="61">
        <v>42036</v>
      </c>
      <c r="B11" s="62">
        <v>62.625</v>
      </c>
      <c r="C11" s="62">
        <v>50.69</v>
      </c>
      <c r="D11" s="62">
        <f t="shared" si="0"/>
        <v>3.1744612499999998</v>
      </c>
      <c r="E11" s="62"/>
      <c r="F11" s="62">
        <v>92</v>
      </c>
      <c r="G11" s="67">
        <v>130</v>
      </c>
      <c r="H11" s="67"/>
      <c r="I11" s="67">
        <v>67.52</v>
      </c>
      <c r="J11" s="67">
        <v>111.5</v>
      </c>
      <c r="K11" s="67">
        <v>158.22</v>
      </c>
      <c r="L11" s="67"/>
      <c r="M11" s="77"/>
      <c r="N11" s="39">
        <f t="shared" si="1"/>
        <v>3.1939225855716236E-2</v>
      </c>
      <c r="O11" s="37"/>
      <c r="P11" s="35">
        <f t="shared" si="2"/>
        <v>2.1276595744680851E-2</v>
      </c>
      <c r="Q11" s="35">
        <f t="shared" si="3"/>
        <v>-7.7519379844961239E-3</v>
      </c>
      <c r="T11" s="45">
        <v>168.47</v>
      </c>
      <c r="U11" s="46">
        <v>205</v>
      </c>
      <c r="V11" s="35">
        <f t="shared" si="4"/>
        <v>0</v>
      </c>
    </row>
    <row r="12" spans="1:22" ht="15.75" x14ac:dyDescent="0.25">
      <c r="A12" s="73">
        <v>42064</v>
      </c>
      <c r="B12" s="74">
        <v>62.9</v>
      </c>
      <c r="C12" s="74">
        <v>48.24</v>
      </c>
      <c r="D12" s="74">
        <f t="shared" si="0"/>
        <v>3.0342960000000003</v>
      </c>
      <c r="E12" s="74"/>
      <c r="F12" s="74">
        <v>94</v>
      </c>
      <c r="G12" s="70">
        <v>123</v>
      </c>
      <c r="H12" s="70"/>
      <c r="I12" s="70">
        <v>62.56</v>
      </c>
      <c r="J12" s="70">
        <v>98.38</v>
      </c>
      <c r="K12" s="70">
        <v>153</v>
      </c>
      <c r="L12" s="70"/>
      <c r="M12" s="78"/>
      <c r="N12" s="75">
        <f t="shared" si="1"/>
        <v>-4.4154027711001222E-2</v>
      </c>
      <c r="O12" s="37"/>
      <c r="P12" s="35">
        <f t="shared" si="2"/>
        <v>-2.1739130434782608E-2</v>
      </c>
      <c r="Q12" s="35">
        <f t="shared" si="3"/>
        <v>5.3846153846153849E-2</v>
      </c>
      <c r="T12" s="45">
        <v>168.47</v>
      </c>
      <c r="U12" s="46">
        <v>195</v>
      </c>
      <c r="V12" s="35">
        <f t="shared" si="4"/>
        <v>0</v>
      </c>
    </row>
    <row r="13" spans="1:22" ht="15.75" x14ac:dyDescent="0.25">
      <c r="A13" s="64">
        <v>42095</v>
      </c>
      <c r="B13" s="68">
        <v>63.2</v>
      </c>
      <c r="C13" s="62">
        <v>60.16</v>
      </c>
      <c r="D13" s="62">
        <f t="shared" si="0"/>
        <v>3.8021120000000002</v>
      </c>
      <c r="E13" s="62"/>
      <c r="F13" s="62">
        <v>101</v>
      </c>
      <c r="G13" s="67">
        <v>123</v>
      </c>
      <c r="H13" s="67"/>
      <c r="I13" s="67">
        <v>67.22</v>
      </c>
      <c r="J13" s="67">
        <v>98.38</v>
      </c>
      <c r="K13" s="67">
        <v>155.85</v>
      </c>
      <c r="L13" s="67"/>
      <c r="M13" s="77"/>
      <c r="N13" s="39">
        <f t="shared" si="1"/>
        <v>0.25304584654891932</v>
      </c>
      <c r="O13" s="37"/>
      <c r="P13" s="35">
        <f t="shared" si="2"/>
        <v>-7.4468085106382975E-2</v>
      </c>
      <c r="Q13" s="35">
        <f t="shared" si="3"/>
        <v>0</v>
      </c>
      <c r="T13" s="45">
        <v>168.47</v>
      </c>
      <c r="U13" s="46">
        <v>195</v>
      </c>
      <c r="V13" s="35">
        <f t="shared" si="4"/>
        <v>0</v>
      </c>
    </row>
    <row r="14" spans="1:22" ht="15.75" x14ac:dyDescent="0.25">
      <c r="A14" s="64">
        <v>42125</v>
      </c>
      <c r="B14" s="68">
        <v>64.349999999999994</v>
      </c>
      <c r="C14" s="62">
        <v>60.49</v>
      </c>
      <c r="D14" s="62">
        <f t="shared" si="0"/>
        <v>3.8925314999999996</v>
      </c>
      <c r="E14" s="62"/>
      <c r="F14" s="62">
        <v>104</v>
      </c>
      <c r="G14" s="67">
        <v>123</v>
      </c>
      <c r="H14" s="67" t="s">
        <v>74</v>
      </c>
      <c r="I14" s="67">
        <v>67.22</v>
      </c>
      <c r="J14" s="67">
        <v>98.38</v>
      </c>
      <c r="K14" s="67">
        <v>155.85</v>
      </c>
      <c r="L14" s="67">
        <v>154.94999999999999</v>
      </c>
      <c r="M14" s="77"/>
      <c r="N14" s="39">
        <f t="shared" si="1"/>
        <v>2.3781387818138842E-2</v>
      </c>
      <c r="O14" s="37"/>
      <c r="P14" s="35">
        <f t="shared" si="2"/>
        <v>-2.9702970297029702E-2</v>
      </c>
      <c r="Q14" s="35">
        <f t="shared" si="3"/>
        <v>0</v>
      </c>
      <c r="T14" s="45">
        <v>175.57</v>
      </c>
      <c r="U14" s="46">
        <v>205</v>
      </c>
      <c r="V14" s="35">
        <f t="shared" si="4"/>
        <v>4.214400189944794E-2</v>
      </c>
    </row>
    <row r="15" spans="1:22" ht="15.75" x14ac:dyDescent="0.25">
      <c r="A15" s="64">
        <v>42156</v>
      </c>
      <c r="B15" s="68">
        <v>64.55</v>
      </c>
      <c r="C15" s="62">
        <v>59.48</v>
      </c>
      <c r="D15" s="62">
        <f t="shared" si="0"/>
        <v>3.8394339999999998</v>
      </c>
      <c r="E15" s="62"/>
      <c r="F15" s="62">
        <v>78</v>
      </c>
      <c r="G15" s="67">
        <v>129</v>
      </c>
      <c r="H15" s="67"/>
      <c r="I15" s="67">
        <v>68.2</v>
      </c>
      <c r="J15" s="67">
        <v>98.38</v>
      </c>
      <c r="K15" s="67">
        <v>158.6</v>
      </c>
      <c r="L15" s="67">
        <v>154.94999999999999</v>
      </c>
      <c r="M15" s="77"/>
      <c r="N15" s="39">
        <f t="shared" si="1"/>
        <v>-1.3640865847842172E-2</v>
      </c>
      <c r="O15" s="37"/>
      <c r="P15" s="35">
        <f t="shared" si="2"/>
        <v>0.25</v>
      </c>
      <c r="Q15" s="35">
        <f t="shared" si="3"/>
        <v>-4.878048780487805E-2</v>
      </c>
      <c r="T15" s="45">
        <v>175.57</v>
      </c>
      <c r="U15" s="46">
        <v>195</v>
      </c>
      <c r="V15" s="35">
        <f t="shared" si="4"/>
        <v>0</v>
      </c>
    </row>
    <row r="16" spans="1:22" ht="15.75" x14ac:dyDescent="0.25">
      <c r="A16" s="64">
        <v>42186</v>
      </c>
      <c r="B16" s="68">
        <v>64.099999999999994</v>
      </c>
      <c r="C16" s="62">
        <v>47.11</v>
      </c>
      <c r="D16" s="62">
        <f t="shared" si="0"/>
        <v>3.0197509999999999</v>
      </c>
      <c r="E16" s="62"/>
      <c r="F16" s="62">
        <v>72</v>
      </c>
      <c r="G16" s="67">
        <v>129</v>
      </c>
      <c r="H16" s="67"/>
      <c r="I16" s="67">
        <v>68.2</v>
      </c>
      <c r="J16" s="67">
        <v>98.38</v>
      </c>
      <c r="K16" s="67">
        <v>158.6</v>
      </c>
      <c r="L16" s="67">
        <v>156.85</v>
      </c>
      <c r="M16" s="77"/>
      <c r="N16" s="39">
        <f t="shared" si="1"/>
        <v>-0.21349058220560635</v>
      </c>
      <c r="O16" s="37"/>
      <c r="P16" s="35">
        <f t="shared" si="2"/>
        <v>7.6923076923076927E-2</v>
      </c>
      <c r="Q16" s="35">
        <f t="shared" si="3"/>
        <v>0</v>
      </c>
      <c r="T16" s="45">
        <v>167.54</v>
      </c>
      <c r="U16" s="46">
        <v>195</v>
      </c>
      <c r="V16" s="35">
        <f>(T16-T15)/T15</f>
        <v>-4.573674317935867E-2</v>
      </c>
    </row>
    <row r="17" spans="1:22" ht="15.75" x14ac:dyDescent="0.25">
      <c r="A17" s="64">
        <v>42217</v>
      </c>
      <c r="B17" s="68">
        <v>65.75</v>
      </c>
      <c r="C17" s="62">
        <v>45.63</v>
      </c>
      <c r="D17" s="62">
        <f t="shared" si="0"/>
        <v>3.0001725000000001</v>
      </c>
      <c r="E17" s="62"/>
      <c r="F17" s="62">
        <v>68.8</v>
      </c>
      <c r="G17" s="67">
        <v>129</v>
      </c>
      <c r="H17" s="67"/>
      <c r="I17" s="67">
        <v>68.2</v>
      </c>
      <c r="J17" s="67">
        <v>98.38</v>
      </c>
      <c r="K17" s="67">
        <v>158.6</v>
      </c>
      <c r="L17" s="67">
        <v>156.85</v>
      </c>
      <c r="M17" s="77"/>
      <c r="N17" s="39">
        <f t="shared" si="1"/>
        <v>-6.4834815850709623E-3</v>
      </c>
      <c r="O17" s="37"/>
      <c r="P17" s="35">
        <f t="shared" si="2"/>
        <v>4.4444444444444481E-2</v>
      </c>
      <c r="Q17" s="35">
        <f t="shared" si="3"/>
        <v>0</v>
      </c>
      <c r="T17" s="45">
        <v>167.57</v>
      </c>
      <c r="U17" s="46">
        <v>203</v>
      </c>
      <c r="V17" s="35">
        <f t="shared" si="4"/>
        <v>1.7906171660499664E-4</v>
      </c>
    </row>
    <row r="18" spans="1:22" ht="15.75" x14ac:dyDescent="0.25">
      <c r="A18" s="64">
        <v>42248</v>
      </c>
      <c r="B18" s="68">
        <v>67.05</v>
      </c>
      <c r="C18" s="69">
        <v>45.05</v>
      </c>
      <c r="D18" s="62">
        <f t="shared" si="0"/>
        <v>3.0206024999999994</v>
      </c>
      <c r="E18" s="62"/>
      <c r="F18" s="62">
        <v>68.8</v>
      </c>
      <c r="G18" s="67">
        <v>114</v>
      </c>
      <c r="H18" s="67"/>
      <c r="I18" s="67">
        <v>68.2</v>
      </c>
      <c r="J18" s="67">
        <v>87.4</v>
      </c>
      <c r="K18" s="67"/>
      <c r="L18" s="67">
        <v>153.30000000000001</v>
      </c>
      <c r="M18" s="77"/>
      <c r="N18" s="39">
        <f t="shared" si="1"/>
        <v>6.8096084475140614E-3</v>
      </c>
      <c r="O18" s="37"/>
      <c r="P18" s="35">
        <f t="shared" si="2"/>
        <v>0</v>
      </c>
      <c r="Q18" s="35">
        <f t="shared" si="3"/>
        <v>0.11627906976744186</v>
      </c>
      <c r="T18" s="45">
        <v>159.54</v>
      </c>
      <c r="U18" s="46">
        <v>203</v>
      </c>
      <c r="V18" s="35">
        <f t="shared" si="4"/>
        <v>-4.7920272125082063E-2</v>
      </c>
    </row>
    <row r="19" spans="1:22" ht="15.75" x14ac:dyDescent="0.25">
      <c r="A19" s="64">
        <v>42278</v>
      </c>
      <c r="B19" s="68">
        <v>65.349999999999994</v>
      </c>
      <c r="C19" s="66">
        <v>46.3</v>
      </c>
      <c r="D19" s="62">
        <f t="shared" si="0"/>
        <v>3.0257049999999994</v>
      </c>
      <c r="E19" s="62"/>
      <c r="F19" s="62">
        <v>68.8</v>
      </c>
      <c r="G19" s="67">
        <v>114</v>
      </c>
      <c r="H19" s="67" t="s">
        <v>75</v>
      </c>
      <c r="I19" s="67">
        <v>68.2</v>
      </c>
      <c r="J19" s="67">
        <v>87.4</v>
      </c>
      <c r="K19" s="67"/>
      <c r="L19" s="67">
        <v>153.30000000000001</v>
      </c>
      <c r="M19" s="77"/>
      <c r="N19" s="39">
        <f t="shared" si="1"/>
        <v>1.6892325289408203E-3</v>
      </c>
      <c r="O19" s="37"/>
      <c r="P19" s="35">
        <f t="shared" si="2"/>
        <v>0</v>
      </c>
      <c r="Q19" s="35">
        <f t="shared" si="3"/>
        <v>0</v>
      </c>
      <c r="T19" s="45">
        <v>158.36000000000001</v>
      </c>
      <c r="U19" s="46">
        <v>203</v>
      </c>
      <c r="V19" s="35">
        <f t="shared" si="4"/>
        <v>-7.396264259746637E-3</v>
      </c>
    </row>
    <row r="20" spans="1:22" ht="15.75" x14ac:dyDescent="0.25">
      <c r="A20" s="64">
        <v>42309</v>
      </c>
      <c r="B20" s="68">
        <v>66.7</v>
      </c>
      <c r="C20" s="70">
        <v>41.65</v>
      </c>
      <c r="D20" s="62">
        <f t="shared" si="0"/>
        <v>2.7780549999999997</v>
      </c>
      <c r="E20" s="62"/>
      <c r="F20" s="67">
        <v>68.8</v>
      </c>
      <c r="G20" s="67">
        <v>112</v>
      </c>
      <c r="H20" s="67" t="s">
        <v>76</v>
      </c>
      <c r="I20" s="67">
        <v>68.2</v>
      </c>
      <c r="J20" s="67">
        <v>87.4</v>
      </c>
      <c r="K20" s="67"/>
      <c r="L20" s="67">
        <v>153</v>
      </c>
      <c r="M20" s="77"/>
      <c r="N20" s="39">
        <f t="shared" si="1"/>
        <v>-8.1848693114497176E-2</v>
      </c>
      <c r="O20" s="37"/>
      <c r="P20" s="35">
        <f t="shared" si="2"/>
        <v>0</v>
      </c>
      <c r="Q20" s="35">
        <f t="shared" si="3"/>
        <v>1.7543859649122806E-2</v>
      </c>
      <c r="T20" s="45">
        <v>153.77000000000001</v>
      </c>
      <c r="U20" s="46">
        <v>177</v>
      </c>
      <c r="V20" s="35">
        <f>(T20-T19)/T19</f>
        <v>-2.8984592068704237E-2</v>
      </c>
    </row>
    <row r="21" spans="1:22" ht="15.75" x14ac:dyDescent="0.25">
      <c r="A21" s="64">
        <v>42339</v>
      </c>
      <c r="B21" s="68">
        <v>67.2</v>
      </c>
      <c r="C21" s="66">
        <v>37.04</v>
      </c>
      <c r="D21" s="62">
        <f t="shared" si="0"/>
        <v>2.4890880000000002</v>
      </c>
      <c r="E21" s="62"/>
      <c r="F21" s="67">
        <v>67.25</v>
      </c>
      <c r="G21" s="71">
        <v>101</v>
      </c>
      <c r="H21" s="71" t="s">
        <v>77</v>
      </c>
      <c r="I21" s="67">
        <v>68.2</v>
      </c>
      <c r="J21" s="67">
        <v>87.4</v>
      </c>
      <c r="K21" s="72"/>
      <c r="L21" s="71">
        <v>151</v>
      </c>
      <c r="M21" s="79"/>
      <c r="N21" s="39">
        <f t="shared" si="1"/>
        <v>-0.10401773902964472</v>
      </c>
      <c r="O21" s="38"/>
      <c r="P21" s="35">
        <f t="shared" si="2"/>
        <v>2.2529069767441821E-2</v>
      </c>
      <c r="Q21" s="35">
        <f t="shared" si="3"/>
        <v>9.8214285714285712E-2</v>
      </c>
      <c r="T21" s="47">
        <v>136</v>
      </c>
      <c r="V21" s="35">
        <f>(T21-T20)/T20</f>
        <v>-0.11556220329062893</v>
      </c>
    </row>
    <row r="22" spans="1:22" ht="15.75" x14ac:dyDescent="0.25">
      <c r="A22" s="64">
        <v>42370</v>
      </c>
      <c r="B22" s="68">
        <v>67.349999999999994</v>
      </c>
      <c r="C22" s="66">
        <v>33.619999999999997</v>
      </c>
      <c r="D22" s="62">
        <f t="shared" si="0"/>
        <v>2.2643069999999996</v>
      </c>
      <c r="E22" s="62"/>
      <c r="F22" s="67">
        <v>66.25</v>
      </c>
      <c r="G22" s="71">
        <v>98</v>
      </c>
      <c r="H22" s="71" t="s">
        <v>78</v>
      </c>
      <c r="I22" s="67">
        <v>68.2</v>
      </c>
      <c r="J22" s="67">
        <v>87.4</v>
      </c>
      <c r="K22" s="72"/>
      <c r="L22" s="71">
        <v>150.5</v>
      </c>
      <c r="M22" s="79"/>
      <c r="N22" s="39"/>
      <c r="O22" s="38"/>
      <c r="P22" s="35"/>
      <c r="Q22" s="35"/>
      <c r="T22" s="47"/>
      <c r="V22" s="35"/>
    </row>
    <row r="23" spans="1:22" ht="15.75" x14ac:dyDescent="0.25">
      <c r="A23" s="64">
        <v>42401</v>
      </c>
      <c r="B23" s="65">
        <v>68.95</v>
      </c>
      <c r="C23" s="66">
        <v>33.75</v>
      </c>
      <c r="D23" s="62">
        <f t="shared" si="0"/>
        <v>2.3270624999999998</v>
      </c>
      <c r="E23" s="62"/>
      <c r="F23" s="67">
        <v>66.25</v>
      </c>
      <c r="G23" s="71">
        <v>96</v>
      </c>
      <c r="H23" s="71">
        <v>101</v>
      </c>
      <c r="I23" s="67">
        <v>68.2</v>
      </c>
      <c r="J23" s="67">
        <v>87.4</v>
      </c>
      <c r="K23" s="72"/>
      <c r="L23" s="71">
        <v>150.1</v>
      </c>
      <c r="M23" s="79"/>
      <c r="N23" s="39" t="s">
        <v>72</v>
      </c>
      <c r="O23" s="38"/>
      <c r="P23" s="35"/>
      <c r="Q23" s="35"/>
      <c r="T23" s="47"/>
      <c r="V23" s="35"/>
    </row>
    <row r="24" spans="1:22" ht="15.75" x14ac:dyDescent="0.25">
      <c r="A24" s="64">
        <v>42430</v>
      </c>
      <c r="B24" s="65">
        <v>67.45</v>
      </c>
      <c r="C24" s="66">
        <v>38.340000000000003</v>
      </c>
      <c r="D24" s="62">
        <f t="shared" si="0"/>
        <v>2.5860330000000005</v>
      </c>
      <c r="E24" s="62"/>
      <c r="F24" s="67">
        <v>69.25</v>
      </c>
      <c r="G24" s="71">
        <v>112</v>
      </c>
      <c r="H24" s="71">
        <v>109</v>
      </c>
      <c r="I24" s="67">
        <v>68.2</v>
      </c>
      <c r="J24" s="67">
        <v>87.4</v>
      </c>
      <c r="K24" s="72"/>
      <c r="L24" s="71">
        <v>150.1</v>
      </c>
      <c r="M24" s="79"/>
      <c r="N24" s="39" t="s">
        <v>72</v>
      </c>
      <c r="O24" s="38"/>
      <c r="P24" s="35"/>
      <c r="Q24" s="35"/>
      <c r="T24" s="47"/>
      <c r="V24" s="35"/>
    </row>
    <row r="25" spans="1:22" ht="15.75" x14ac:dyDescent="0.25">
      <c r="A25" s="64">
        <v>42461</v>
      </c>
      <c r="B25" s="68">
        <v>66.900000000000006</v>
      </c>
      <c r="C25" s="66">
        <v>45.92</v>
      </c>
      <c r="D25" s="62">
        <f t="shared" si="0"/>
        <v>3.0720480000000001</v>
      </c>
      <c r="E25" s="62"/>
      <c r="F25" s="67">
        <v>74.5</v>
      </c>
      <c r="G25" s="71">
        <v>110</v>
      </c>
      <c r="H25" s="71">
        <v>109</v>
      </c>
      <c r="I25" s="67">
        <v>68.2</v>
      </c>
      <c r="J25" s="67">
        <v>87.4</v>
      </c>
      <c r="K25" s="72"/>
      <c r="L25" s="71">
        <v>152.6</v>
      </c>
      <c r="M25" s="79"/>
      <c r="N25" s="39"/>
      <c r="O25" s="38"/>
      <c r="P25" s="35"/>
      <c r="Q25" s="35"/>
      <c r="T25" s="47"/>
      <c r="V25" s="35"/>
    </row>
    <row r="26" spans="1:22" ht="15.75" x14ac:dyDescent="0.25">
      <c r="A26" s="64">
        <v>42491</v>
      </c>
      <c r="B26" s="68">
        <v>68.05</v>
      </c>
      <c r="C26" s="66">
        <v>47.07</v>
      </c>
      <c r="D26" s="62">
        <f t="shared" si="0"/>
        <v>3.2031134999999997</v>
      </c>
      <c r="E26" s="62"/>
      <c r="F26" s="67">
        <v>77.25</v>
      </c>
      <c r="G26" s="71">
        <v>110</v>
      </c>
      <c r="I26" s="67">
        <v>68.2</v>
      </c>
      <c r="J26" s="67">
        <v>87.4</v>
      </c>
      <c r="K26" s="72"/>
      <c r="L26" s="71">
        <v>152.6</v>
      </c>
      <c r="M26" s="79"/>
      <c r="N26" s="39"/>
      <c r="O26" s="38"/>
      <c r="P26" s="35"/>
      <c r="Q26" s="35"/>
      <c r="T26" s="47"/>
      <c r="V26" s="35"/>
    </row>
    <row r="27" spans="1:22" ht="15.75" x14ac:dyDescent="0.25">
      <c r="A27" s="61">
        <v>42537</v>
      </c>
      <c r="B27" s="67">
        <v>68.2</v>
      </c>
      <c r="C27" s="66">
        <v>48</v>
      </c>
      <c r="D27" s="66">
        <f t="shared" si="0"/>
        <v>3.2736000000000005</v>
      </c>
      <c r="E27" s="66"/>
      <c r="F27" s="67">
        <v>75.25</v>
      </c>
      <c r="G27" s="71">
        <v>101</v>
      </c>
      <c r="H27" s="71" t="s">
        <v>79</v>
      </c>
      <c r="I27" s="67">
        <v>68.2</v>
      </c>
      <c r="J27" s="67">
        <v>87.4</v>
      </c>
      <c r="K27" s="72"/>
      <c r="L27" s="71">
        <v>152.6</v>
      </c>
      <c r="M27" s="79"/>
      <c r="N27" s="39"/>
      <c r="O27" s="38"/>
      <c r="P27" s="35"/>
      <c r="Q27" s="35"/>
      <c r="T27" s="47"/>
      <c r="V27" s="35"/>
    </row>
    <row r="28" spans="1:22" ht="15.75" x14ac:dyDescent="0.25">
      <c r="A28" s="61">
        <v>42567</v>
      </c>
      <c r="B28" s="67">
        <v>67.75</v>
      </c>
      <c r="C28" s="66">
        <v>47</v>
      </c>
      <c r="D28" s="66">
        <f t="shared" si="0"/>
        <v>3.18425</v>
      </c>
      <c r="E28" s="66"/>
      <c r="F28" s="67">
        <v>76</v>
      </c>
      <c r="G28" s="71">
        <v>102</v>
      </c>
      <c r="H28" s="71" t="s">
        <v>79</v>
      </c>
      <c r="I28" s="67"/>
      <c r="J28" s="67"/>
      <c r="K28" s="72"/>
      <c r="L28" s="71">
        <v>151</v>
      </c>
      <c r="M28" s="79"/>
      <c r="N28" s="39"/>
      <c r="O28" s="38"/>
      <c r="P28" s="35"/>
      <c r="Q28" s="35"/>
      <c r="T28" s="47"/>
      <c r="V28" s="35"/>
    </row>
    <row r="29" spans="1:22" ht="15.75" x14ac:dyDescent="0.25">
      <c r="A29" s="61">
        <v>42583</v>
      </c>
      <c r="B29" s="67">
        <v>67.180000000000007</v>
      </c>
      <c r="C29" s="67">
        <v>47</v>
      </c>
      <c r="D29" s="66">
        <f t="shared" si="0"/>
        <v>3.1574600000000004</v>
      </c>
      <c r="E29" s="72"/>
      <c r="F29" s="67">
        <v>76</v>
      </c>
      <c r="G29" s="67">
        <v>101</v>
      </c>
      <c r="H29" s="71" t="s">
        <v>79</v>
      </c>
      <c r="I29" s="72"/>
      <c r="J29" s="72"/>
      <c r="K29" s="72"/>
      <c r="L29" s="67">
        <v>151</v>
      </c>
      <c r="M29" s="80"/>
      <c r="T29" s="47">
        <v>126</v>
      </c>
      <c r="V29" s="35">
        <f>(T29-T21)/T21</f>
        <v>-7.3529411764705885E-2</v>
      </c>
    </row>
    <row r="30" spans="1:22" ht="15.75" x14ac:dyDescent="0.25">
      <c r="A30" s="61">
        <v>42629</v>
      </c>
      <c r="B30" s="67">
        <v>67.75</v>
      </c>
      <c r="C30" s="67">
        <v>46</v>
      </c>
      <c r="D30" s="67">
        <f t="shared" si="0"/>
        <v>3.1164999999999998</v>
      </c>
      <c r="E30" s="72"/>
      <c r="F30" s="67">
        <v>75.75</v>
      </c>
      <c r="G30" s="67">
        <v>103</v>
      </c>
      <c r="H30" s="72"/>
      <c r="I30" s="72"/>
      <c r="J30" s="72"/>
      <c r="K30" s="72"/>
      <c r="L30" s="72">
        <v>151.35</v>
      </c>
      <c r="M30" s="80"/>
    </row>
    <row r="31" spans="1:22" ht="15.75" x14ac:dyDescent="0.25">
      <c r="A31" s="73">
        <v>42644</v>
      </c>
      <c r="B31" s="70">
        <v>67.900000000000006</v>
      </c>
      <c r="C31" s="70">
        <v>48</v>
      </c>
      <c r="D31" s="67">
        <f t="shared" si="0"/>
        <v>3.2592000000000003</v>
      </c>
      <c r="E31" s="72">
        <v>76.75</v>
      </c>
      <c r="F31" s="67">
        <v>86.75</v>
      </c>
      <c r="G31" s="67">
        <v>103</v>
      </c>
      <c r="H31" s="72"/>
      <c r="I31" s="72"/>
      <c r="J31" s="72"/>
      <c r="K31" s="72"/>
      <c r="L31" s="72">
        <v>151.35</v>
      </c>
      <c r="M31" s="80"/>
    </row>
    <row r="32" spans="1:22" ht="15.75" x14ac:dyDescent="0.25">
      <c r="A32" s="61">
        <v>42675</v>
      </c>
      <c r="B32" s="67">
        <v>68.88</v>
      </c>
      <c r="C32" s="67">
        <v>46.82</v>
      </c>
      <c r="D32" s="67">
        <f t="shared" si="0"/>
        <v>3.2249615999999994</v>
      </c>
      <c r="E32" s="72">
        <f>F31+15</f>
        <v>101.75</v>
      </c>
      <c r="F32" s="69">
        <v>101.75</v>
      </c>
      <c r="G32" s="69">
        <v>116</v>
      </c>
      <c r="H32" s="72"/>
      <c r="I32" s="72"/>
      <c r="J32" s="72"/>
      <c r="K32" s="72"/>
      <c r="L32" s="72">
        <v>151.35</v>
      </c>
      <c r="M32" s="80"/>
    </row>
    <row r="33" spans="1:13" ht="15.75" x14ac:dyDescent="0.25">
      <c r="A33" s="61">
        <v>42721</v>
      </c>
      <c r="B33" s="67">
        <v>68.650000000000006</v>
      </c>
      <c r="C33" s="67">
        <v>53.6</v>
      </c>
      <c r="D33" s="67">
        <f t="shared" si="0"/>
        <v>3.6796400000000005</v>
      </c>
      <c r="E33" s="72"/>
      <c r="F33" s="67">
        <v>104</v>
      </c>
      <c r="G33" s="69">
        <v>118</v>
      </c>
      <c r="H33" s="72"/>
      <c r="I33" s="72"/>
      <c r="J33" s="72"/>
      <c r="K33" s="72"/>
      <c r="L33" s="72"/>
      <c r="M33" s="80"/>
    </row>
    <row r="34" spans="1:13" ht="15.75" x14ac:dyDescent="0.25">
      <c r="A34" s="61">
        <v>42736</v>
      </c>
      <c r="B34" s="67">
        <v>69.099999999999994</v>
      </c>
      <c r="C34" s="67">
        <v>52.9</v>
      </c>
      <c r="D34" s="67">
        <f t="shared" si="0"/>
        <v>3.6553899999999993</v>
      </c>
      <c r="E34" s="72">
        <f>D35/D34</f>
        <v>1.1489882064567669</v>
      </c>
      <c r="F34" s="67"/>
      <c r="G34" s="67">
        <v>118</v>
      </c>
      <c r="H34" s="72"/>
      <c r="I34" s="72"/>
      <c r="J34" s="72"/>
      <c r="K34" s="72"/>
      <c r="L34" s="72"/>
      <c r="M34" s="80"/>
    </row>
    <row r="35" spans="1:13" ht="15.75" x14ac:dyDescent="0.25">
      <c r="A35" s="73" t="s">
        <v>120</v>
      </c>
      <c r="B35" s="70">
        <v>70</v>
      </c>
      <c r="C35" s="70">
        <v>60</v>
      </c>
      <c r="D35" s="70">
        <f t="shared" si="0"/>
        <v>4.2</v>
      </c>
      <c r="E35" s="72"/>
      <c r="F35" s="67">
        <v>106</v>
      </c>
      <c r="G35" s="67">
        <v>129.85</v>
      </c>
      <c r="H35" s="72"/>
      <c r="I35" s="72"/>
      <c r="J35" s="72"/>
      <c r="K35" s="72"/>
      <c r="L35" s="72"/>
      <c r="M35" s="80"/>
    </row>
    <row r="36" spans="1:13" ht="15.75" x14ac:dyDescent="0.25">
      <c r="A36" s="61">
        <v>42767</v>
      </c>
      <c r="B36" s="67">
        <v>67</v>
      </c>
      <c r="C36" s="67">
        <v>53.47</v>
      </c>
      <c r="D36" s="67">
        <f t="shared" si="0"/>
        <v>3.58249</v>
      </c>
      <c r="E36" s="72"/>
      <c r="F36" s="67">
        <v>106</v>
      </c>
      <c r="G36" s="67">
        <v>118</v>
      </c>
      <c r="H36" s="72"/>
      <c r="I36" s="72"/>
      <c r="J36" s="72"/>
      <c r="K36" s="72"/>
      <c r="L36" s="72"/>
      <c r="M36" s="80"/>
    </row>
    <row r="37" spans="1:13" ht="15.75" x14ac:dyDescent="0.25">
      <c r="A37" s="61">
        <v>42795</v>
      </c>
      <c r="B37" s="99">
        <v>65.5</v>
      </c>
      <c r="C37" s="67">
        <v>49.72</v>
      </c>
      <c r="D37" s="67">
        <f t="shared" si="0"/>
        <v>3.2566599999999997</v>
      </c>
      <c r="E37" s="4"/>
      <c r="F37" s="120">
        <v>106</v>
      </c>
      <c r="G37" s="67"/>
      <c r="H37" s="4"/>
      <c r="I37" s="4"/>
      <c r="J37" s="4"/>
      <c r="K37" s="4"/>
      <c r="L37" s="4"/>
    </row>
    <row r="38" spans="1:13" ht="15.75" x14ac:dyDescent="0.25">
      <c r="A38" s="61">
        <v>42826</v>
      </c>
      <c r="B38" s="99">
        <v>64.5</v>
      </c>
      <c r="C38" s="120">
        <v>51.47</v>
      </c>
      <c r="D38" s="67">
        <f t="shared" si="0"/>
        <v>3.3198150000000002</v>
      </c>
      <c r="E38" s="4"/>
      <c r="F38" s="4"/>
      <c r="G38" s="67"/>
      <c r="H38" s="4"/>
      <c r="I38" s="4"/>
      <c r="J38" s="4"/>
      <c r="K38" s="4"/>
      <c r="L38" s="4"/>
    </row>
    <row r="39" spans="1:13" ht="15.75" x14ac:dyDescent="0.25">
      <c r="A39" s="61">
        <v>42856</v>
      </c>
      <c r="B39" s="99"/>
      <c r="C39" s="4"/>
      <c r="D39" s="4"/>
      <c r="E39" s="4"/>
      <c r="F39" s="4"/>
      <c r="G39" s="67"/>
      <c r="H39" s="4"/>
      <c r="I39" s="4"/>
      <c r="J39" s="4"/>
      <c r="K39" s="4"/>
      <c r="L39" s="4"/>
    </row>
    <row r="40" spans="1:13" ht="15.75" x14ac:dyDescent="0.25">
      <c r="A40" s="61">
        <v>42887</v>
      </c>
      <c r="B40" s="99"/>
      <c r="C40" s="4"/>
      <c r="D40" s="4"/>
      <c r="E40" s="4"/>
      <c r="F40" s="4"/>
      <c r="G40" s="67"/>
      <c r="H40" s="4"/>
      <c r="I40" s="4"/>
      <c r="J40" s="4"/>
      <c r="K40" s="4"/>
      <c r="L40" s="4"/>
    </row>
    <row r="41" spans="1:13" ht="15.75" x14ac:dyDescent="0.25">
      <c r="A41" s="61">
        <v>42917</v>
      </c>
      <c r="B41" s="99"/>
      <c r="C41" s="4"/>
      <c r="D41" s="4"/>
      <c r="E41" s="4"/>
      <c r="F41" s="4"/>
      <c r="G41" s="67"/>
      <c r="H41" s="4"/>
      <c r="I41" s="4"/>
      <c r="J41" s="4"/>
      <c r="K41" s="4"/>
      <c r="L41" s="4"/>
    </row>
    <row r="42" spans="1:13" ht="15.75" x14ac:dyDescent="0.25">
      <c r="A42" s="61">
        <v>42948</v>
      </c>
      <c r="B42" s="99"/>
      <c r="C42" s="4"/>
      <c r="D42" s="4"/>
      <c r="E42" s="4"/>
      <c r="F42" s="4"/>
      <c r="G42" s="67"/>
      <c r="H42" s="4"/>
      <c r="I42" s="4"/>
      <c r="J42" s="4"/>
      <c r="K42" s="4"/>
      <c r="L42" s="4"/>
    </row>
    <row r="43" spans="1:13" ht="15.75" x14ac:dyDescent="0.25">
      <c r="A43" s="61">
        <v>42979</v>
      </c>
      <c r="B43" s="99"/>
      <c r="C43" s="4"/>
      <c r="D43" s="4"/>
      <c r="E43" s="4"/>
      <c r="F43" s="4"/>
      <c r="G43" s="67"/>
      <c r="H43" s="4"/>
      <c r="I43" s="4"/>
      <c r="J43" s="4"/>
      <c r="K43" s="4"/>
      <c r="L43" s="4"/>
    </row>
    <row r="44" spans="1:13" ht="15.75" x14ac:dyDescent="0.25">
      <c r="A44" s="61">
        <v>43009</v>
      </c>
      <c r="B44" s="99"/>
      <c r="C44" s="4"/>
      <c r="D44" s="4"/>
      <c r="E44" s="4"/>
      <c r="F44" s="4"/>
      <c r="G44" s="67"/>
      <c r="H44" s="4"/>
      <c r="I44" s="4"/>
      <c r="J44" s="4"/>
      <c r="K44" s="4"/>
      <c r="L44" s="4"/>
    </row>
    <row r="45" spans="1:13" ht="15.75" x14ac:dyDescent="0.25">
      <c r="A45" s="61">
        <v>43040</v>
      </c>
      <c r="G45" s="67"/>
    </row>
    <row r="46" spans="1:13" ht="15.75" x14ac:dyDescent="0.25">
      <c r="A46" s="61">
        <v>43070</v>
      </c>
      <c r="G46" s="67"/>
    </row>
    <row r="47" spans="1:13" ht="15.75" x14ac:dyDescent="0.25">
      <c r="A47" s="61">
        <v>43101</v>
      </c>
    </row>
    <row r="48" spans="1:13" ht="15.75" x14ac:dyDescent="0.25">
      <c r="A48" s="61">
        <v>43132</v>
      </c>
    </row>
    <row r="49" spans="1:14" ht="15.75" x14ac:dyDescent="0.25">
      <c r="A49" s="61">
        <v>43160</v>
      </c>
    </row>
    <row r="50" spans="1:14" x14ac:dyDescent="0.25">
      <c r="A50" s="52"/>
    </row>
    <row r="51" spans="1:14" x14ac:dyDescent="0.25">
      <c r="A51" s="52"/>
    </row>
    <row r="53" spans="1:14" x14ac:dyDescent="0.25">
      <c r="A53" t="s">
        <v>53</v>
      </c>
      <c r="L53" t="s">
        <v>50</v>
      </c>
      <c r="N53" s="41">
        <f>14/75*300</f>
        <v>56</v>
      </c>
    </row>
    <row r="54" spans="1:14" x14ac:dyDescent="0.25">
      <c r="L54" t="s">
        <v>52</v>
      </c>
      <c r="N54">
        <f>8%*98</f>
        <v>7.84</v>
      </c>
    </row>
    <row r="55" spans="1:14" x14ac:dyDescent="0.25">
      <c r="A55" s="4" t="s">
        <v>58</v>
      </c>
      <c r="B55" s="99"/>
      <c r="C55" s="4"/>
      <c r="D55" s="4"/>
      <c r="E55" s="4"/>
      <c r="F55" s="4"/>
      <c r="G55" s="4"/>
      <c r="H55" s="4"/>
      <c r="I55" s="4"/>
      <c r="J55" s="4"/>
      <c r="N55" s="42">
        <f>N53*N54*1000</f>
        <v>439039.99999999994</v>
      </c>
    </row>
    <row r="56" spans="1:14" x14ac:dyDescent="0.25">
      <c r="A56" s="4"/>
      <c r="B56" s="99"/>
      <c r="C56" s="4"/>
      <c r="D56" s="4"/>
      <c r="E56" s="4"/>
      <c r="F56" s="4"/>
      <c r="G56" s="4"/>
      <c r="H56" s="4"/>
      <c r="I56" s="4" t="s">
        <v>70</v>
      </c>
      <c r="J56" s="4"/>
    </row>
    <row r="57" spans="1:14" x14ac:dyDescent="0.25">
      <c r="A57" s="4" t="s">
        <v>59</v>
      </c>
      <c r="B57" s="99" t="s">
        <v>60</v>
      </c>
      <c r="C57" s="4" t="s">
        <v>71</v>
      </c>
      <c r="D57" s="4"/>
      <c r="E57" s="4"/>
      <c r="F57" s="4"/>
      <c r="G57" s="4"/>
      <c r="H57" s="4"/>
      <c r="I57" s="4" t="s">
        <v>62</v>
      </c>
      <c r="J57" s="4" t="s">
        <v>63</v>
      </c>
      <c r="K57" t="s">
        <v>64</v>
      </c>
    </row>
    <row r="58" spans="1:14" x14ac:dyDescent="0.25">
      <c r="A58" s="4">
        <v>53</v>
      </c>
      <c r="B58" s="99">
        <v>69.099999999999994</v>
      </c>
      <c r="C58" s="4">
        <f>A58*B58</f>
        <v>3662.2999999999997</v>
      </c>
      <c r="D58" s="4"/>
      <c r="E58" s="4"/>
      <c r="F58" s="4"/>
      <c r="G58" s="4"/>
      <c r="H58" s="4"/>
      <c r="I58" s="4"/>
      <c r="J58" s="4"/>
    </row>
    <row r="59" spans="1:14" x14ac:dyDescent="0.25">
      <c r="A59" s="4"/>
      <c r="B59" s="99"/>
      <c r="C59" s="4"/>
      <c r="D59" s="4"/>
      <c r="E59" s="4"/>
      <c r="F59" s="4"/>
      <c r="G59" s="4"/>
      <c r="H59" s="4"/>
      <c r="I59" s="4"/>
      <c r="J59" s="4"/>
    </row>
    <row r="60" spans="1:14" x14ac:dyDescent="0.25">
      <c r="A60" s="4">
        <v>60</v>
      </c>
      <c r="B60" s="99">
        <v>70</v>
      </c>
      <c r="C60" s="4">
        <f>A60*B60</f>
        <v>4200</v>
      </c>
      <c r="D60" s="4"/>
      <c r="E60" s="4"/>
      <c r="F60" s="4"/>
      <c r="G60" s="4"/>
      <c r="H60" s="4"/>
      <c r="I60" s="4"/>
      <c r="J60" s="4"/>
    </row>
    <row r="61" spans="1:14" x14ac:dyDescent="0.25">
      <c r="A61" s="4"/>
      <c r="B61" s="99"/>
      <c r="C61" s="4"/>
      <c r="D61" s="4"/>
      <c r="E61" s="4"/>
      <c r="F61" s="4"/>
      <c r="G61" s="4"/>
      <c r="H61" s="4"/>
      <c r="I61" s="4"/>
      <c r="J61" s="4"/>
    </row>
    <row r="62" spans="1:14" x14ac:dyDescent="0.25">
      <c r="A62" s="4">
        <v>65</v>
      </c>
      <c r="B62" s="99">
        <v>72</v>
      </c>
      <c r="C62" s="4">
        <f>A62*B62</f>
        <v>4680</v>
      </c>
      <c r="D62" s="4"/>
      <c r="E62" s="4"/>
      <c r="F62" s="49">
        <f>(C62-C58)/C62</f>
        <v>0.21745726495726503</v>
      </c>
      <c r="G62" s="4"/>
      <c r="H62" s="4"/>
      <c r="I62" s="50">
        <v>0.35</v>
      </c>
      <c r="J62" s="50">
        <v>0.35</v>
      </c>
    </row>
    <row r="63" spans="1:14" x14ac:dyDescent="0.25">
      <c r="A63" s="4"/>
      <c r="B63" s="99"/>
      <c r="C63" s="4"/>
      <c r="D63" s="4"/>
      <c r="E63" s="4"/>
      <c r="F63" s="49"/>
      <c r="G63" s="4"/>
      <c r="H63" s="4"/>
      <c r="I63" s="4"/>
      <c r="J63" s="4"/>
    </row>
    <row r="64" spans="1:14" x14ac:dyDescent="0.25">
      <c r="A64" s="4">
        <v>64</v>
      </c>
      <c r="B64" s="99">
        <v>78</v>
      </c>
      <c r="C64" s="4">
        <f>A64*B64</f>
        <v>4992</v>
      </c>
      <c r="D64" s="4"/>
      <c r="E64" s="4"/>
      <c r="F64" s="49">
        <f>(C64-C58)/C58</f>
        <v>0.36307784725445769</v>
      </c>
      <c r="G64" s="4"/>
      <c r="H64" s="4"/>
      <c r="I64" s="50">
        <v>0.35</v>
      </c>
      <c r="J64" s="50">
        <v>0.35</v>
      </c>
    </row>
    <row r="65" spans="1:11" x14ac:dyDescent="0.25">
      <c r="A65" s="4"/>
      <c r="B65" s="99"/>
      <c r="C65" s="4"/>
      <c r="D65" s="4"/>
      <c r="E65" s="4"/>
      <c r="F65" s="4"/>
      <c r="G65" s="4"/>
      <c r="H65" s="4"/>
      <c r="I65" s="4"/>
      <c r="J65" s="4"/>
    </row>
    <row r="66" spans="1:11" x14ac:dyDescent="0.25">
      <c r="A66" s="4"/>
      <c r="B66" s="99"/>
      <c r="C66" s="4"/>
      <c r="D66" s="4"/>
      <c r="E66" s="4"/>
      <c r="F66" s="4" t="s">
        <v>65</v>
      </c>
      <c r="G66" s="4"/>
      <c r="H66" s="4"/>
      <c r="I66" s="51">
        <f>I62*F62</f>
        <v>7.6110042735042752E-2</v>
      </c>
      <c r="J66" s="51">
        <f>J62*F62</f>
        <v>7.6110042735042752E-2</v>
      </c>
    </row>
    <row r="67" spans="1:11" x14ac:dyDescent="0.25">
      <c r="A67" s="4"/>
      <c r="B67" s="99"/>
      <c r="C67" s="4"/>
      <c r="D67" s="4"/>
      <c r="E67" s="4"/>
      <c r="F67" s="4"/>
      <c r="G67" s="4"/>
      <c r="H67" s="4"/>
      <c r="I67" s="4"/>
      <c r="J67" s="4"/>
    </row>
    <row r="68" spans="1:11" x14ac:dyDescent="0.25">
      <c r="A68" s="4">
        <f>AVERAGE(A58:A64)</f>
        <v>60.5</v>
      </c>
      <c r="B68" s="4">
        <f>AVERAGE(B58:B64)</f>
        <v>72.275000000000006</v>
      </c>
      <c r="C68" s="4">
        <f>AVERAGE(C58:C64)</f>
        <v>4383.5749999999998</v>
      </c>
      <c r="D68" s="4"/>
      <c r="E68" s="4"/>
      <c r="F68" s="4" t="s">
        <v>66</v>
      </c>
      <c r="G68" s="4"/>
      <c r="H68" s="4"/>
      <c r="I68" s="51">
        <f>I64*F64</f>
        <v>0.12707724653906019</v>
      </c>
      <c r="J68" s="51">
        <f>J64*F64</f>
        <v>0.12707724653906019</v>
      </c>
    </row>
    <row r="69" spans="1:11" x14ac:dyDescent="0.25">
      <c r="A69" s="4"/>
      <c r="B69" s="99"/>
      <c r="C69" s="4"/>
      <c r="D69" s="4"/>
      <c r="E69" s="4"/>
      <c r="F69" s="4"/>
      <c r="G69" s="4"/>
      <c r="H69" s="4"/>
      <c r="I69" s="4"/>
      <c r="J69" s="4"/>
    </row>
    <row r="70" spans="1:11" x14ac:dyDescent="0.25">
      <c r="A70" s="4"/>
      <c r="B70" s="99"/>
      <c r="C70" s="4"/>
      <c r="D70" s="4"/>
      <c r="E70" s="4"/>
      <c r="F70" s="4" t="s">
        <v>67</v>
      </c>
      <c r="G70" s="4"/>
      <c r="H70" s="4"/>
      <c r="I70" s="51">
        <f>AVERAGE(I66:I68)</f>
        <v>0.10159364463705148</v>
      </c>
      <c r="J70" s="51">
        <f>AVERAGE(J66:J68)</f>
        <v>0.10159364463705148</v>
      </c>
    </row>
    <row r="71" spans="1:11" x14ac:dyDescent="0.25">
      <c r="A71" s="4"/>
      <c r="B71" s="99"/>
      <c r="C71" s="4"/>
      <c r="D71" s="4"/>
      <c r="E71" s="4"/>
      <c r="F71" s="4"/>
      <c r="G71" s="4"/>
      <c r="H71" s="4"/>
      <c r="I71" s="4"/>
      <c r="J71" s="4"/>
    </row>
    <row r="72" spans="1:11" x14ac:dyDescent="0.25">
      <c r="A72" s="4"/>
      <c r="B72" s="99"/>
      <c r="C72" s="4"/>
      <c r="D72" s="4"/>
      <c r="E72" s="4"/>
      <c r="F72" s="4" t="s">
        <v>68</v>
      </c>
      <c r="G72" s="4"/>
      <c r="H72" s="4"/>
      <c r="I72" s="51">
        <v>0.1</v>
      </c>
      <c r="J72" s="50">
        <v>0.114</v>
      </c>
    </row>
    <row r="73" spans="1:11" x14ac:dyDescent="0.25">
      <c r="G73" t="s">
        <v>119</v>
      </c>
    </row>
    <row r="77" spans="1:11" x14ac:dyDescent="0.25">
      <c r="A77" s="4" t="s">
        <v>58</v>
      </c>
      <c r="B77" s="7"/>
      <c r="C77" s="4"/>
      <c r="D77" s="4"/>
      <c r="E77" s="4"/>
      <c r="F77" s="4"/>
      <c r="G77" s="4"/>
      <c r="H77" s="4"/>
      <c r="I77" s="4"/>
      <c r="J77" s="4"/>
    </row>
    <row r="78" spans="1:11" x14ac:dyDescent="0.25">
      <c r="A78" s="4"/>
      <c r="B78" s="7"/>
      <c r="C78" s="4"/>
      <c r="D78" s="4"/>
      <c r="E78" s="4"/>
      <c r="F78" s="4"/>
      <c r="G78" s="4"/>
      <c r="H78" s="4"/>
      <c r="I78" s="4" t="s">
        <v>70</v>
      </c>
      <c r="J78" s="4"/>
    </row>
    <row r="79" spans="1:11" x14ac:dyDescent="0.25">
      <c r="A79" s="4" t="s">
        <v>59</v>
      </c>
      <c r="B79" s="7" t="s">
        <v>60</v>
      </c>
      <c r="C79" s="4" t="s">
        <v>71</v>
      </c>
      <c r="D79" s="4"/>
      <c r="E79" s="4"/>
      <c r="F79" s="4"/>
      <c r="G79" s="4"/>
      <c r="H79" s="4"/>
      <c r="I79" s="4" t="s">
        <v>62</v>
      </c>
      <c r="J79" s="4" t="s">
        <v>63</v>
      </c>
      <c r="K79" t="s">
        <v>64</v>
      </c>
    </row>
    <row r="80" spans="1:11" x14ac:dyDescent="0.25">
      <c r="A80" s="4">
        <v>30</v>
      </c>
      <c r="B80" s="7">
        <v>67</v>
      </c>
      <c r="C80" s="4">
        <f>A80*B80</f>
        <v>2010</v>
      </c>
      <c r="D80" s="4"/>
      <c r="E80" s="4"/>
      <c r="F80" s="4"/>
      <c r="G80" s="4"/>
      <c r="H80" s="4"/>
      <c r="I80" s="4"/>
      <c r="J80" s="4"/>
    </row>
    <row r="81" spans="1:16" x14ac:dyDescent="0.25">
      <c r="A81" s="4"/>
      <c r="B81" s="7"/>
      <c r="C81" s="4"/>
      <c r="D81" s="4"/>
      <c r="E81" s="4"/>
      <c r="F81" s="4"/>
      <c r="G81" s="4"/>
      <c r="H81" s="4"/>
      <c r="I81" s="4"/>
      <c r="J81" s="4"/>
    </row>
    <row r="82" spans="1:16" x14ac:dyDescent="0.25">
      <c r="A82" s="4">
        <v>30</v>
      </c>
      <c r="B82" s="7">
        <v>66</v>
      </c>
      <c r="C82" s="4">
        <f>A82*B82</f>
        <v>1980</v>
      </c>
      <c r="D82" s="4"/>
      <c r="E82" s="4"/>
      <c r="F82" s="4"/>
      <c r="G82" s="4"/>
      <c r="H82" s="4"/>
      <c r="I82" s="4"/>
      <c r="J82" s="4"/>
      <c r="P82" s="34"/>
    </row>
    <row r="83" spans="1:16" x14ac:dyDescent="0.25">
      <c r="A83" s="4"/>
      <c r="B83" s="7"/>
      <c r="C83" s="4"/>
      <c r="D83" s="4"/>
      <c r="E83" s="4"/>
      <c r="F83" s="4"/>
      <c r="G83" s="4"/>
      <c r="H83" s="4"/>
      <c r="I83" s="4"/>
      <c r="J83" s="4"/>
    </row>
    <row r="84" spans="1:16" x14ac:dyDescent="0.25">
      <c r="A84" s="4">
        <v>35</v>
      </c>
      <c r="B84" s="7">
        <v>68</v>
      </c>
      <c r="C84" s="4">
        <f>A84*B84</f>
        <v>2380</v>
      </c>
      <c r="D84" s="4"/>
      <c r="E84" s="4"/>
      <c r="F84" s="49">
        <f>(C84-C80)/C84</f>
        <v>0.15546218487394958</v>
      </c>
      <c r="G84" s="4"/>
      <c r="H84" s="4"/>
      <c r="I84" s="50">
        <v>0.35</v>
      </c>
      <c r="J84" s="50">
        <v>0.35</v>
      </c>
    </row>
    <row r="85" spans="1:16" x14ac:dyDescent="0.25">
      <c r="A85" s="4"/>
      <c r="B85" s="7"/>
      <c r="C85" s="4"/>
      <c r="D85" s="4"/>
      <c r="E85" s="4"/>
      <c r="F85" s="49"/>
      <c r="G85" s="4"/>
      <c r="H85" s="4"/>
      <c r="I85" s="4"/>
      <c r="J85" s="4"/>
    </row>
    <row r="86" spans="1:16" x14ac:dyDescent="0.25">
      <c r="A86" s="4">
        <v>40</v>
      </c>
      <c r="B86" s="7">
        <v>70</v>
      </c>
      <c r="C86" s="4">
        <f>A86*B86</f>
        <v>2800</v>
      </c>
      <c r="D86" s="4"/>
      <c r="E86" s="4"/>
      <c r="F86" s="49">
        <f>(C86-C80)/C80</f>
        <v>0.39303482587064675</v>
      </c>
      <c r="G86" s="4"/>
      <c r="H86" s="4"/>
      <c r="I86" s="50">
        <v>0.35</v>
      </c>
      <c r="J86" s="50">
        <v>0.35</v>
      </c>
    </row>
    <row r="87" spans="1:16" x14ac:dyDescent="0.25">
      <c r="A87" s="4"/>
      <c r="B87" s="7"/>
      <c r="C87" s="4"/>
      <c r="D87" s="4"/>
      <c r="E87" s="4"/>
      <c r="F87" s="4"/>
      <c r="G87" s="4"/>
      <c r="H87" s="4"/>
      <c r="I87" s="4"/>
      <c r="J87" s="4"/>
    </row>
    <row r="88" spans="1:16" x14ac:dyDescent="0.25">
      <c r="A88" s="4"/>
      <c r="B88" s="7"/>
      <c r="C88" s="4"/>
      <c r="D88" s="4"/>
      <c r="E88" s="4"/>
      <c r="F88" s="4" t="s">
        <v>65</v>
      </c>
      <c r="G88" s="4"/>
      <c r="H88" s="4"/>
      <c r="I88" s="51">
        <f>I84*F84</f>
        <v>5.4411764705882354E-2</v>
      </c>
      <c r="J88" s="51">
        <f>J84*F84</f>
        <v>5.4411764705882354E-2</v>
      </c>
    </row>
    <row r="89" spans="1:16" x14ac:dyDescent="0.25">
      <c r="A89" s="4"/>
      <c r="B89" s="7"/>
      <c r="C89" s="4"/>
      <c r="D89" s="4"/>
      <c r="E89" s="4"/>
      <c r="F89" s="4"/>
      <c r="G89" s="4"/>
      <c r="H89" s="4"/>
      <c r="I89" s="4"/>
      <c r="J89" s="4"/>
    </row>
    <row r="90" spans="1:16" x14ac:dyDescent="0.25">
      <c r="A90" s="4"/>
      <c r="B90" s="7"/>
      <c r="C90" s="4"/>
      <c r="D90" s="4"/>
      <c r="E90" s="4"/>
      <c r="F90" s="4" t="s">
        <v>66</v>
      </c>
      <c r="G90" s="4"/>
      <c r="H90" s="4"/>
      <c r="I90" s="51">
        <f>I86*F86</f>
        <v>0.13756218905472636</v>
      </c>
      <c r="J90" s="51">
        <f>J86*F86</f>
        <v>0.13756218905472636</v>
      </c>
    </row>
    <row r="91" spans="1:16" x14ac:dyDescent="0.25">
      <c r="A91" s="4"/>
      <c r="B91" s="7"/>
      <c r="C91" s="4"/>
      <c r="D91" s="4"/>
      <c r="E91" s="4"/>
      <c r="F91" s="4"/>
      <c r="G91" s="4"/>
      <c r="H91" s="4"/>
      <c r="I91" s="4"/>
      <c r="J91" s="4"/>
    </row>
    <row r="92" spans="1:16" x14ac:dyDescent="0.25">
      <c r="A92" s="4"/>
      <c r="B92" s="7"/>
      <c r="C92" s="4"/>
      <c r="D92" s="4"/>
      <c r="E92" s="4"/>
      <c r="F92" s="4" t="s">
        <v>67</v>
      </c>
      <c r="G92" s="4"/>
      <c r="H92" s="4"/>
      <c r="I92" s="51">
        <f>AVERAGE(I88:I90)</f>
        <v>9.5986976880304359E-2</v>
      </c>
      <c r="J92" s="51">
        <f>AVERAGE(J88:J90)</f>
        <v>9.5986976880304359E-2</v>
      </c>
    </row>
    <row r="93" spans="1:16" x14ac:dyDescent="0.25">
      <c r="A93" s="4"/>
      <c r="B93" s="7"/>
      <c r="C93" s="4"/>
      <c r="D93" s="4"/>
      <c r="E93" s="4"/>
      <c r="F93" s="4"/>
      <c r="G93" s="4"/>
      <c r="H93" s="4"/>
      <c r="I93" s="4"/>
      <c r="J93" s="4"/>
    </row>
    <row r="94" spans="1:16" x14ac:dyDescent="0.25">
      <c r="A94" s="4"/>
      <c r="B94" s="7"/>
      <c r="C94" s="4"/>
      <c r="D94" s="4"/>
      <c r="E94" s="4"/>
      <c r="F94" s="4" t="s">
        <v>68</v>
      </c>
      <c r="G94" s="4"/>
      <c r="H94" s="4"/>
      <c r="I94" s="50">
        <v>0.08</v>
      </c>
      <c r="J94" s="50">
        <v>0.08</v>
      </c>
    </row>
    <row r="95" spans="1:16" x14ac:dyDescent="0.25">
      <c r="G95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MIS BOPP</vt:lpstr>
      <vt:lpstr>BOPP DATA</vt:lpstr>
      <vt:lpstr>paper cost</vt:lpstr>
      <vt:lpstr>historical data with wrapper pr</vt:lpstr>
      <vt:lpstr>crude-resin-poly-paper-PEG comp</vt:lpstr>
      <vt:lpstr>Sheet1</vt:lpstr>
      <vt:lpstr>Sheet2</vt:lpstr>
      <vt:lpstr>Sheet3</vt:lpstr>
      <vt:lpstr>MIS PET</vt:lpstr>
      <vt:lpstr>MIS PE</vt:lpstr>
      <vt:lpstr>Crude</vt:lpstr>
      <vt:lpstr>PE Price</vt:lpstr>
      <vt:lpstr>important 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riju.mukherjee</dc:creator>
  <cp:lastModifiedBy>Ranajeet  Desai</cp:lastModifiedBy>
  <dcterms:created xsi:type="dcterms:W3CDTF">2013-02-01T04:24:03Z</dcterms:created>
  <dcterms:modified xsi:type="dcterms:W3CDTF">2017-04-11T14:27:26Z</dcterms:modified>
</cp:coreProperties>
</file>