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NG Consumption" sheetId="2" r:id="rId1"/>
    <sheet name="Sensitivity" sheetId="1" r:id="rId2"/>
    <sheet name="MeOH" sheetId="3" r:id="rId3"/>
    <sheet name="CS2" sheetId="4" r:id="rId4"/>
    <sheet name="H2O2" sheetId="5" r:id="rId5"/>
  </sheets>
  <calcPr calcId="145621"/>
</workbook>
</file>

<file path=xl/calcChain.xml><?xml version="1.0" encoding="utf-8"?>
<calcChain xmlns="http://schemas.openxmlformats.org/spreadsheetml/2006/main">
  <c r="F23" i="3" l="1"/>
  <c r="E23" i="3"/>
  <c r="D23" i="3"/>
  <c r="L23" i="3" s="1"/>
  <c r="L24" i="3"/>
  <c r="L25" i="3"/>
  <c r="L26" i="3"/>
  <c r="L27" i="3"/>
  <c r="L28" i="3"/>
  <c r="L29" i="3"/>
  <c r="L30" i="3"/>
  <c r="L31" i="3"/>
  <c r="L32" i="3"/>
  <c r="L3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K23" i="3"/>
  <c r="J23" i="3"/>
  <c r="G26" i="4" l="1"/>
  <c r="G25" i="4"/>
  <c r="G24" i="4"/>
  <c r="F43" i="5"/>
  <c r="F42" i="5"/>
  <c r="F41" i="5"/>
  <c r="C33" i="3"/>
  <c r="F33" i="3" s="1"/>
  <c r="C32" i="3"/>
  <c r="F32" i="3" s="1"/>
  <c r="C31" i="3"/>
  <c r="F31" i="3" s="1"/>
  <c r="C30" i="3"/>
  <c r="F30" i="3" s="1"/>
  <c r="C29" i="3"/>
  <c r="F29" i="3" s="1"/>
  <c r="C28" i="3"/>
  <c r="F28" i="3" s="1"/>
  <c r="C27" i="3"/>
  <c r="F27" i="3" s="1"/>
  <c r="C26" i="3"/>
  <c r="F26" i="3" s="1"/>
  <c r="C25" i="3"/>
  <c r="F25" i="3" s="1"/>
  <c r="C24" i="3"/>
  <c r="F24" i="3" s="1"/>
  <c r="C23" i="3"/>
  <c r="C40" i="3"/>
  <c r="U37" i="5"/>
  <c r="U36" i="5"/>
  <c r="U35" i="5"/>
  <c r="U34" i="5"/>
  <c r="U33" i="5"/>
  <c r="U32" i="5"/>
  <c r="U31" i="5"/>
  <c r="U30" i="5"/>
  <c r="U29" i="5"/>
  <c r="U28" i="5"/>
  <c r="U27" i="5"/>
  <c r="T28" i="5"/>
  <c r="T29" i="5"/>
  <c r="T30" i="5"/>
  <c r="T31" i="5"/>
  <c r="T32" i="5"/>
  <c r="T33" i="5"/>
  <c r="T34" i="5"/>
  <c r="T35" i="5"/>
  <c r="T36" i="5"/>
  <c r="T37" i="5"/>
  <c r="T27" i="5"/>
  <c r="O9" i="5"/>
  <c r="D24" i="3" l="1"/>
  <c r="D25" i="3"/>
  <c r="D26" i="3"/>
  <c r="D27" i="3"/>
  <c r="D28" i="3"/>
  <c r="D29" i="3"/>
  <c r="D30" i="3"/>
  <c r="D31" i="3"/>
  <c r="D32" i="3"/>
  <c r="D33" i="3"/>
  <c r="E24" i="3"/>
  <c r="E25" i="3"/>
  <c r="E26" i="3"/>
  <c r="E27" i="3"/>
  <c r="E28" i="3"/>
  <c r="E29" i="3"/>
  <c r="E30" i="3"/>
  <c r="E31" i="3"/>
  <c r="E32" i="3"/>
  <c r="E33" i="3"/>
  <c r="C28" i="5" l="1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Q33" i="5" s="1"/>
  <c r="R33" i="5" s="1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36" i="5" l="1"/>
  <c r="R36" i="5" s="1"/>
  <c r="Q34" i="5"/>
  <c r="R34" i="5" s="1"/>
  <c r="Q32" i="5"/>
  <c r="R32" i="5" s="1"/>
  <c r="Q30" i="5"/>
  <c r="R30" i="5" s="1"/>
  <c r="Q28" i="5"/>
  <c r="R28" i="5" s="1"/>
  <c r="Q27" i="5"/>
  <c r="R27" i="5" s="1"/>
  <c r="Q37" i="5"/>
  <c r="R37" i="5" s="1"/>
  <c r="Q35" i="5"/>
  <c r="R35" i="5" s="1"/>
  <c r="Q31" i="5"/>
  <c r="R31" i="5" s="1"/>
  <c r="Q29" i="5"/>
  <c r="R29" i="5" s="1"/>
  <c r="F14" i="5" l="1"/>
  <c r="G14" i="5"/>
  <c r="H14" i="5"/>
  <c r="I14" i="5"/>
  <c r="J14" i="5"/>
  <c r="K14" i="5"/>
  <c r="L14" i="5"/>
  <c r="M14" i="5"/>
  <c r="N14" i="5"/>
  <c r="O14" i="5"/>
  <c r="P14" i="5"/>
  <c r="F15" i="5"/>
  <c r="G15" i="5"/>
  <c r="H15" i="5"/>
  <c r="I15" i="5"/>
  <c r="J15" i="5"/>
  <c r="K15" i="5"/>
  <c r="L15" i="5"/>
  <c r="M15" i="5"/>
  <c r="N15" i="5"/>
  <c r="O15" i="5"/>
  <c r="P15" i="5"/>
  <c r="F16" i="5"/>
  <c r="G16" i="5"/>
  <c r="H16" i="5"/>
  <c r="I16" i="5"/>
  <c r="J16" i="5"/>
  <c r="K16" i="5"/>
  <c r="L16" i="5"/>
  <c r="M16" i="5"/>
  <c r="N16" i="5"/>
  <c r="O16" i="5"/>
  <c r="P16" i="5"/>
  <c r="F17" i="5"/>
  <c r="G17" i="5"/>
  <c r="H17" i="5"/>
  <c r="I17" i="5"/>
  <c r="J17" i="5"/>
  <c r="K17" i="5"/>
  <c r="L17" i="5"/>
  <c r="M17" i="5"/>
  <c r="N17" i="5"/>
  <c r="O17" i="5"/>
  <c r="P17" i="5"/>
  <c r="F18" i="5"/>
  <c r="G18" i="5"/>
  <c r="H18" i="5"/>
  <c r="I18" i="5"/>
  <c r="J18" i="5"/>
  <c r="K18" i="5"/>
  <c r="L18" i="5"/>
  <c r="M18" i="5"/>
  <c r="N18" i="5"/>
  <c r="O18" i="5"/>
  <c r="P18" i="5"/>
  <c r="F19" i="5"/>
  <c r="G19" i="5"/>
  <c r="H19" i="5"/>
  <c r="I19" i="5"/>
  <c r="J19" i="5"/>
  <c r="K19" i="5"/>
  <c r="L19" i="5"/>
  <c r="M19" i="5"/>
  <c r="N19" i="5"/>
  <c r="O19" i="5"/>
  <c r="P19" i="5"/>
  <c r="F20" i="5"/>
  <c r="G20" i="5"/>
  <c r="H20" i="5"/>
  <c r="I20" i="5"/>
  <c r="J20" i="5"/>
  <c r="K20" i="5"/>
  <c r="L20" i="5"/>
  <c r="M20" i="5"/>
  <c r="N20" i="5"/>
  <c r="O20" i="5"/>
  <c r="P20" i="5"/>
  <c r="F21" i="5"/>
  <c r="G21" i="5"/>
  <c r="H21" i="5"/>
  <c r="I21" i="5"/>
  <c r="J21" i="5"/>
  <c r="K21" i="5"/>
  <c r="L21" i="5"/>
  <c r="M21" i="5"/>
  <c r="N21" i="5"/>
  <c r="O21" i="5"/>
  <c r="P21" i="5"/>
  <c r="F22" i="5"/>
  <c r="G22" i="5"/>
  <c r="H22" i="5"/>
  <c r="I22" i="5"/>
  <c r="J22" i="5"/>
  <c r="K22" i="5"/>
  <c r="L22" i="5"/>
  <c r="M22" i="5"/>
  <c r="N22" i="5"/>
  <c r="O22" i="5"/>
  <c r="P22" i="5"/>
  <c r="F23" i="5"/>
  <c r="G23" i="5"/>
  <c r="H23" i="5"/>
  <c r="I23" i="5"/>
  <c r="J23" i="5"/>
  <c r="K23" i="5"/>
  <c r="L23" i="5"/>
  <c r="M23" i="5"/>
  <c r="N23" i="5"/>
  <c r="O23" i="5"/>
  <c r="P23" i="5"/>
  <c r="P13" i="5"/>
  <c r="O13" i="5"/>
  <c r="N13" i="5"/>
  <c r="M13" i="5"/>
  <c r="L13" i="5"/>
  <c r="K13" i="5"/>
  <c r="J13" i="5"/>
  <c r="I13" i="5"/>
  <c r="H13" i="5"/>
  <c r="G13" i="5"/>
  <c r="F13" i="5"/>
  <c r="B6" i="5"/>
  <c r="A21" i="5" s="1"/>
  <c r="E21" i="5" s="1"/>
  <c r="A15" i="5" l="1"/>
  <c r="A16" i="5"/>
  <c r="A19" i="5"/>
  <c r="C19" i="5" s="1"/>
  <c r="A14" i="5"/>
  <c r="D14" i="5" s="1"/>
  <c r="A18" i="5"/>
  <c r="D18" i="5" s="1"/>
  <c r="A23" i="5"/>
  <c r="A13" i="5"/>
  <c r="D13" i="5" s="1"/>
  <c r="A17" i="5"/>
  <c r="C17" i="5" s="1"/>
  <c r="A22" i="5"/>
  <c r="D22" i="5" s="1"/>
  <c r="A20" i="5"/>
  <c r="C20" i="5" s="1"/>
  <c r="E18" i="5"/>
  <c r="D19" i="5"/>
  <c r="D15" i="5"/>
  <c r="E22" i="5"/>
  <c r="D23" i="5"/>
  <c r="C21" i="5"/>
  <c r="C18" i="5"/>
  <c r="D21" i="5"/>
  <c r="C22" i="5"/>
  <c r="D17" i="5" l="1"/>
  <c r="C13" i="5"/>
  <c r="C14" i="5"/>
  <c r="E13" i="5"/>
  <c r="E17" i="5"/>
  <c r="E14" i="5"/>
  <c r="D20" i="5"/>
  <c r="E20" i="5"/>
  <c r="C23" i="5"/>
  <c r="E23" i="5"/>
  <c r="E16" i="5"/>
  <c r="D16" i="5"/>
  <c r="C16" i="5"/>
  <c r="E19" i="5"/>
  <c r="C15" i="5"/>
  <c r="E15" i="5"/>
  <c r="J12" i="4"/>
  <c r="J13" i="4"/>
  <c r="J14" i="4"/>
  <c r="J15" i="4"/>
  <c r="J16" i="4"/>
  <c r="J17" i="4"/>
  <c r="J18" i="4"/>
  <c r="J19" i="4"/>
  <c r="J20" i="4"/>
  <c r="J21" i="4"/>
  <c r="J11" i="4"/>
  <c r="K13" i="4"/>
  <c r="N13" i="4" s="1"/>
  <c r="O13" i="4" s="1"/>
  <c r="Q13" i="4" s="1"/>
  <c r="R13" i="4" s="1"/>
  <c r="K17" i="4"/>
  <c r="K21" i="4"/>
  <c r="E12" i="4"/>
  <c r="M12" i="4" s="1"/>
  <c r="E16" i="4"/>
  <c r="M16" i="4" s="1"/>
  <c r="E20" i="4"/>
  <c r="M20" i="4" s="1"/>
  <c r="D12" i="4"/>
  <c r="L12" i="4" s="1"/>
  <c r="D13" i="4"/>
  <c r="L13" i="4" s="1"/>
  <c r="D16" i="4"/>
  <c r="L16" i="4" s="1"/>
  <c r="D17" i="4"/>
  <c r="L17" i="4" s="1"/>
  <c r="D20" i="4"/>
  <c r="L20" i="4" s="1"/>
  <c r="D21" i="4"/>
  <c r="L21" i="4" s="1"/>
  <c r="C12" i="4"/>
  <c r="K12" i="4" s="1"/>
  <c r="C13" i="4"/>
  <c r="C14" i="4"/>
  <c r="C16" i="4"/>
  <c r="K16" i="4" s="1"/>
  <c r="N16" i="4" s="1"/>
  <c r="O16" i="4" s="1"/>
  <c r="Q16" i="4" s="1"/>
  <c r="R16" i="4" s="1"/>
  <c r="C17" i="4"/>
  <c r="C18" i="4"/>
  <c r="C20" i="4"/>
  <c r="K20" i="4" s="1"/>
  <c r="C21" i="4"/>
  <c r="C11" i="4"/>
  <c r="A12" i="4"/>
  <c r="A13" i="4"/>
  <c r="E13" i="4" s="1"/>
  <c r="M13" i="4" s="1"/>
  <c r="A14" i="4"/>
  <c r="D14" i="4" s="1"/>
  <c r="L14" i="4" s="1"/>
  <c r="A15" i="4"/>
  <c r="A16" i="4"/>
  <c r="A17" i="4"/>
  <c r="E17" i="4" s="1"/>
  <c r="M17" i="4" s="1"/>
  <c r="A18" i="4"/>
  <c r="D18" i="4" s="1"/>
  <c r="L18" i="4" s="1"/>
  <c r="A19" i="4"/>
  <c r="A20" i="4"/>
  <c r="A21" i="4"/>
  <c r="E21" i="4" s="1"/>
  <c r="M21" i="4" s="1"/>
  <c r="A11" i="4"/>
  <c r="D11" i="4" s="1"/>
  <c r="L11" i="4" s="1"/>
  <c r="C47" i="3"/>
  <c r="C46" i="3"/>
  <c r="C45" i="3"/>
  <c r="C44" i="3"/>
  <c r="C43" i="3"/>
  <c r="C42" i="3"/>
  <c r="C41" i="3"/>
  <c r="G39" i="3"/>
  <c r="C17" i="3"/>
  <c r="F17" i="3" s="1"/>
  <c r="C16" i="3"/>
  <c r="E16" i="3" s="1"/>
  <c r="C15" i="3"/>
  <c r="D15" i="3" s="1"/>
  <c r="C14" i="3"/>
  <c r="F14" i="3" s="1"/>
  <c r="C13" i="3"/>
  <c r="F13" i="3" s="1"/>
  <c r="C12" i="3"/>
  <c r="E12" i="3" s="1"/>
  <c r="C11" i="3"/>
  <c r="D11" i="3" s="1"/>
  <c r="C10" i="3"/>
  <c r="D10" i="3" s="1"/>
  <c r="C9" i="3"/>
  <c r="F9" i="3" s="1"/>
  <c r="C8" i="3"/>
  <c r="E8" i="3" s="1"/>
  <c r="C7" i="3"/>
  <c r="D7" i="3" s="1"/>
  <c r="F16" i="3" l="1"/>
  <c r="F8" i="3"/>
  <c r="E10" i="3"/>
  <c r="E7" i="3"/>
  <c r="F10" i="3"/>
  <c r="D12" i="3"/>
  <c r="D14" i="3"/>
  <c r="E15" i="3"/>
  <c r="F12" i="3"/>
  <c r="E14" i="3"/>
  <c r="D8" i="3"/>
  <c r="E11" i="3"/>
  <c r="D16" i="3"/>
  <c r="K15" i="4"/>
  <c r="N15" i="4" s="1"/>
  <c r="O15" i="4" s="1"/>
  <c r="Q15" i="4" s="1"/>
  <c r="R15" i="4" s="1"/>
  <c r="N20" i="4"/>
  <c r="O20" i="4" s="1"/>
  <c r="Q20" i="4" s="1"/>
  <c r="R20" i="4" s="1"/>
  <c r="K11" i="4"/>
  <c r="K18" i="4"/>
  <c r="K14" i="4"/>
  <c r="N21" i="4"/>
  <c r="O21" i="4" s="1"/>
  <c r="Q21" i="4" s="1"/>
  <c r="R21" i="4" s="1"/>
  <c r="N17" i="4"/>
  <c r="O17" i="4" s="1"/>
  <c r="Q17" i="4" s="1"/>
  <c r="R17" i="4" s="1"/>
  <c r="C19" i="4"/>
  <c r="K19" i="4" s="1"/>
  <c r="N19" i="4" s="1"/>
  <c r="O19" i="4" s="1"/>
  <c r="Q19" i="4" s="1"/>
  <c r="R19" i="4" s="1"/>
  <c r="D19" i="4"/>
  <c r="L19" i="4" s="1"/>
  <c r="E19" i="4"/>
  <c r="M19" i="4" s="1"/>
  <c r="C15" i="4"/>
  <c r="D15" i="4"/>
  <c r="L15" i="4" s="1"/>
  <c r="E15" i="4"/>
  <c r="M15" i="4" s="1"/>
  <c r="N12" i="4"/>
  <c r="O12" i="4" s="1"/>
  <c r="Q12" i="4" s="1"/>
  <c r="R12" i="4" s="1"/>
  <c r="E11" i="4"/>
  <c r="M11" i="4" s="1"/>
  <c r="N11" i="4" s="1"/>
  <c r="O11" i="4" s="1"/>
  <c r="Q11" i="4" s="1"/>
  <c r="R11" i="4" s="1"/>
  <c r="E18" i="4"/>
  <c r="M18" i="4" s="1"/>
  <c r="E14" i="4"/>
  <c r="M14" i="4" s="1"/>
  <c r="H10" i="3"/>
  <c r="K10" i="3" s="1"/>
  <c r="F7" i="3"/>
  <c r="D9" i="3"/>
  <c r="F11" i="3"/>
  <c r="D13" i="3"/>
  <c r="F15" i="3"/>
  <c r="G16" i="3"/>
  <c r="J16" i="3" s="1"/>
  <c r="D17" i="3"/>
  <c r="E9" i="3"/>
  <c r="E13" i="3"/>
  <c r="E17" i="3"/>
  <c r="M16" i="3" l="1"/>
  <c r="O16" i="3" s="1"/>
  <c r="G32" i="3" s="1"/>
  <c r="H32" i="3" s="1"/>
  <c r="M32" i="3" s="1"/>
  <c r="G10" i="3"/>
  <c r="J10" i="3" s="1"/>
  <c r="M8" i="3"/>
  <c r="O8" i="3" s="1"/>
  <c r="I15" i="3"/>
  <c r="L15" i="3" s="1"/>
  <c r="H16" i="3"/>
  <c r="K16" i="3" s="1"/>
  <c r="I16" i="3"/>
  <c r="L16" i="3" s="1"/>
  <c r="G8" i="3"/>
  <c r="J8" i="3" s="1"/>
  <c r="G24" i="3" s="1"/>
  <c r="H24" i="3" s="1"/>
  <c r="M24" i="3" s="1"/>
  <c r="I7" i="3"/>
  <c r="L7" i="3" s="1"/>
  <c r="G11" i="3"/>
  <c r="J11" i="3" s="1"/>
  <c r="G27" i="3" s="1"/>
  <c r="H27" i="3" s="1"/>
  <c r="M27" i="3" s="1"/>
  <c r="M12" i="3"/>
  <c r="O12" i="3" s="1"/>
  <c r="I10" i="3"/>
  <c r="L10" i="3" s="1"/>
  <c r="G12" i="3"/>
  <c r="J12" i="3" s="1"/>
  <c r="G14" i="3"/>
  <c r="J14" i="3" s="1"/>
  <c r="G30" i="3" s="1"/>
  <c r="H30" i="3" s="1"/>
  <c r="M30" i="3" s="1"/>
  <c r="H9" i="3"/>
  <c r="K9" i="3" s="1"/>
  <c r="M10" i="3"/>
  <c r="O10" i="3" s="1"/>
  <c r="I11" i="3"/>
  <c r="L11" i="3" s="1"/>
  <c r="I12" i="3"/>
  <c r="L12" i="3" s="1"/>
  <c r="H8" i="3"/>
  <c r="K8" i="3" s="1"/>
  <c r="I8" i="3"/>
  <c r="L8" i="3" s="1"/>
  <c r="M14" i="3"/>
  <c r="O14" i="3" s="1"/>
  <c r="H17" i="3"/>
  <c r="K17" i="3" s="1"/>
  <c r="M11" i="3"/>
  <c r="O11" i="3" s="1"/>
  <c r="H12" i="3"/>
  <c r="K12" i="3" s="1"/>
  <c r="I14" i="3"/>
  <c r="L14" i="3" s="1"/>
  <c r="H14" i="3"/>
  <c r="K14" i="3" s="1"/>
  <c r="N14" i="4"/>
  <c r="O14" i="4" s="1"/>
  <c r="Q14" i="4" s="1"/>
  <c r="R14" i="4" s="1"/>
  <c r="N18" i="4"/>
  <c r="O18" i="4" s="1"/>
  <c r="Q18" i="4" s="1"/>
  <c r="R18" i="4" s="1"/>
  <c r="M13" i="3"/>
  <c r="O13" i="3" s="1"/>
  <c r="G13" i="3"/>
  <c r="J13" i="3" s="1"/>
  <c r="G29" i="3" s="1"/>
  <c r="H29" i="3" s="1"/>
  <c r="M29" i="3" s="1"/>
  <c r="H15" i="3"/>
  <c r="K15" i="3" s="1"/>
  <c r="M15" i="3"/>
  <c r="O15" i="3" s="1"/>
  <c r="G7" i="3"/>
  <c r="J7" i="3" s="1"/>
  <c r="H13" i="3"/>
  <c r="K13" i="3" s="1"/>
  <c r="M9" i="3"/>
  <c r="O9" i="3" s="1"/>
  <c r="G9" i="3"/>
  <c r="J9" i="3" s="1"/>
  <c r="G25" i="3" s="1"/>
  <c r="H25" i="3" s="1"/>
  <c r="M25" i="3" s="1"/>
  <c r="G15" i="3"/>
  <c r="J15" i="3" s="1"/>
  <c r="I9" i="3"/>
  <c r="L9" i="3" s="1"/>
  <c r="I13" i="3"/>
  <c r="L13" i="3" s="1"/>
  <c r="M17" i="3"/>
  <c r="O17" i="3" s="1"/>
  <c r="G17" i="3"/>
  <c r="J17" i="3" s="1"/>
  <c r="I17" i="3"/>
  <c r="L17" i="3" s="1"/>
  <c r="H7" i="3"/>
  <c r="K7" i="3" s="1"/>
  <c r="M7" i="3"/>
  <c r="O7" i="3" s="1"/>
  <c r="H11" i="3"/>
  <c r="K11" i="3" s="1"/>
  <c r="G26" i="3" l="1"/>
  <c r="H26" i="3" s="1"/>
  <c r="M26" i="3" s="1"/>
  <c r="G33" i="3"/>
  <c r="H33" i="3" s="1"/>
  <c r="M33" i="3" s="1"/>
  <c r="G31" i="3"/>
  <c r="H31" i="3" s="1"/>
  <c r="M31" i="3" s="1"/>
  <c r="G23" i="3"/>
  <c r="H23" i="3" s="1"/>
  <c r="M23" i="3" s="1"/>
  <c r="S36" i="3" s="1"/>
  <c r="S37" i="3" s="1"/>
  <c r="S38" i="3" s="1"/>
  <c r="G28" i="3"/>
  <c r="H28" i="3" s="1"/>
  <c r="M28" i="3" s="1"/>
  <c r="E10" i="2"/>
  <c r="E11" i="2"/>
  <c r="E12" i="2"/>
  <c r="E13" i="2"/>
  <c r="E14" i="2"/>
  <c r="E15" i="2"/>
  <c r="E16" i="2"/>
  <c r="E17" i="2"/>
  <c r="E18" i="2"/>
  <c r="E9" i="2"/>
  <c r="D10" i="2"/>
  <c r="D11" i="2"/>
  <c r="D12" i="2"/>
  <c r="D13" i="2"/>
  <c r="D14" i="2"/>
  <c r="D15" i="2"/>
  <c r="D16" i="2"/>
  <c r="D17" i="2"/>
  <c r="D18" i="2"/>
  <c r="D9" i="2"/>
  <c r="K10" i="2" l="1"/>
  <c r="K11" i="2"/>
  <c r="K12" i="2"/>
  <c r="K13" i="2"/>
  <c r="K14" i="2"/>
  <c r="K15" i="2"/>
  <c r="K16" i="2"/>
  <c r="K17" i="2"/>
  <c r="K18" i="2"/>
  <c r="K9" i="2"/>
  <c r="G17" i="2" l="1"/>
  <c r="L17" i="2" s="1"/>
  <c r="O17" i="2" s="1"/>
  <c r="F17" i="2"/>
  <c r="G16" i="2"/>
  <c r="L16" i="2" s="1"/>
  <c r="O16" i="2" s="1"/>
  <c r="F16" i="2"/>
  <c r="G15" i="2"/>
  <c r="L15" i="2" s="1"/>
  <c r="O15" i="2" s="1"/>
  <c r="F15" i="2"/>
  <c r="G14" i="2"/>
  <c r="L14" i="2" s="1"/>
  <c r="O14" i="2" s="1"/>
  <c r="F14" i="2"/>
  <c r="G13" i="2"/>
  <c r="L13" i="2" s="1"/>
  <c r="O13" i="2" s="1"/>
  <c r="F13" i="2"/>
  <c r="G12" i="2"/>
  <c r="L12" i="2" s="1"/>
  <c r="O12" i="2" s="1"/>
  <c r="F12" i="2"/>
  <c r="G11" i="2"/>
  <c r="L11" i="2" s="1"/>
  <c r="O11" i="2" s="1"/>
  <c r="F11" i="2"/>
  <c r="G10" i="2"/>
  <c r="L10" i="2" s="1"/>
  <c r="O10" i="2" s="1"/>
  <c r="F10" i="2"/>
  <c r="G9" i="2"/>
  <c r="L9" i="2" s="1"/>
  <c r="F9" i="2"/>
  <c r="G18" i="2"/>
  <c r="L18" i="2" s="1"/>
  <c r="O18" i="2" s="1"/>
  <c r="F18" i="2"/>
  <c r="L20" i="2" l="1"/>
  <c r="O9" i="2"/>
  <c r="L19" i="2"/>
  <c r="M10" i="2"/>
  <c r="M11" i="2"/>
  <c r="M12" i="2"/>
  <c r="M13" i="2"/>
  <c r="M14" i="2"/>
  <c r="M15" i="2"/>
  <c r="M16" i="2"/>
  <c r="M17" i="2"/>
  <c r="M18" i="2"/>
  <c r="M9" i="2"/>
  <c r="M20" i="2" l="1"/>
  <c r="M19" i="2"/>
  <c r="O20" i="2"/>
  <c r="O19" i="2"/>
  <c r="L17" i="1"/>
  <c r="L18" i="1" s="1"/>
  <c r="K17" i="1"/>
  <c r="K18" i="1" s="1"/>
  <c r="J17" i="1"/>
  <c r="J18" i="1" s="1"/>
  <c r="I17" i="1"/>
  <c r="I18" i="1" s="1"/>
  <c r="H17" i="1"/>
  <c r="H18" i="1" s="1"/>
  <c r="G17" i="1"/>
  <c r="G18" i="1" s="1"/>
  <c r="F17" i="1"/>
  <c r="F18" i="1" s="1"/>
  <c r="E17" i="1"/>
  <c r="E18" i="1" s="1"/>
  <c r="L6" i="1"/>
  <c r="L7" i="1" s="1"/>
  <c r="K6" i="1"/>
  <c r="K7" i="1" s="1"/>
  <c r="J6" i="1"/>
  <c r="J7" i="1" s="1"/>
  <c r="I6" i="1"/>
  <c r="I7" i="1" s="1"/>
  <c r="H6" i="1"/>
  <c r="H7" i="1" s="1"/>
  <c r="G6" i="1"/>
  <c r="G7" i="1" s="1"/>
  <c r="F6" i="1"/>
  <c r="F7" i="1" s="1"/>
  <c r="E6" i="1"/>
  <c r="E7" i="1" s="1"/>
</calcChain>
</file>

<file path=xl/sharedStrings.xml><?xml version="1.0" encoding="utf-8"?>
<sst xmlns="http://schemas.openxmlformats.org/spreadsheetml/2006/main" count="272" uniqueCount="107">
  <si>
    <t>NG Price</t>
  </si>
  <si>
    <t>Rs/SCM</t>
  </si>
  <si>
    <t>Benefits on usage of NG</t>
  </si>
  <si>
    <t>NG spare Quantity available</t>
  </si>
  <si>
    <t>Rs Lakh</t>
  </si>
  <si>
    <t>Annual benefits</t>
  </si>
  <si>
    <t>SCM/day</t>
  </si>
  <si>
    <t>Rs/day</t>
  </si>
  <si>
    <t>Parameter</t>
  </si>
  <si>
    <t>Unit</t>
  </si>
  <si>
    <t>Value</t>
  </si>
  <si>
    <t>Assumptions:</t>
  </si>
  <si>
    <t>1. NG available is fixed as 10000SCM/day
2. NG price is changed from 15 Rs/SCM to 35 Rs/SCM
3. 360 days considered for annual NG availability for consumption</t>
  </si>
  <si>
    <t>Month</t>
  </si>
  <si>
    <t>MMBTU</t>
  </si>
  <si>
    <t>SCM</t>
  </si>
  <si>
    <t>95% of Contract</t>
  </si>
  <si>
    <t>Hydrogen</t>
  </si>
  <si>
    <t>CPP</t>
  </si>
  <si>
    <t>Others</t>
  </si>
  <si>
    <t>Spare NG Available to meet out 95% of contract</t>
  </si>
  <si>
    <t>Natural Gas Consumption during Year 2016</t>
  </si>
  <si>
    <t>Contract Monthly NG Consumption</t>
  </si>
  <si>
    <t>SCM/Month</t>
  </si>
  <si>
    <t>Actual Monthly NG consumption</t>
  </si>
  <si>
    <t>Total</t>
  </si>
  <si>
    <t>Cost of NG</t>
  </si>
  <si>
    <t>Potential of savings on utilization of NG as per contract, Rs Lakh/Month</t>
  </si>
  <si>
    <t>Total Spare NG available to meet out the contractual obligation</t>
  </si>
  <si>
    <t>Average Spare NG available to meet out the contractual obligation</t>
  </si>
  <si>
    <t>TPD</t>
  </si>
  <si>
    <t>Power</t>
  </si>
  <si>
    <t>1. NG available is in the range of 10000 SCM/day to 20000 SCM/Day
2. NG price is Fixed at Rs. 22 Rs/SCM
3. 360 days considered for annual NG availability for consumption</t>
  </si>
  <si>
    <t>Natural Gas</t>
  </si>
  <si>
    <t>MSCFD</t>
  </si>
  <si>
    <t>$/MSCF</t>
  </si>
  <si>
    <t>Formaldehyde</t>
  </si>
  <si>
    <t>Production in Kg/day</t>
  </si>
  <si>
    <t>NG Share Fraction for Product</t>
  </si>
  <si>
    <t>Methanol</t>
  </si>
  <si>
    <t>Ethanol</t>
  </si>
  <si>
    <t>NG Cost Shared @ Rs. 22/SCM, Rs/kg</t>
  </si>
  <si>
    <t>Oxygen cons and cost</t>
  </si>
  <si>
    <t>Cons kg/day</t>
  </si>
  <si>
    <t>Rate Rs/kg</t>
  </si>
  <si>
    <t>Cost Rs/kg of product</t>
  </si>
  <si>
    <t>Specific Consumption per MT of CS2</t>
  </si>
  <si>
    <t>Sulpher</t>
  </si>
  <si>
    <t>Water</t>
  </si>
  <si>
    <t>MT</t>
  </si>
  <si>
    <t>kWh</t>
  </si>
  <si>
    <t>m3</t>
  </si>
  <si>
    <t>CS2 Production</t>
  </si>
  <si>
    <t>MT/day</t>
  </si>
  <si>
    <t>kWh/day</t>
  </si>
  <si>
    <t>m3/day</t>
  </si>
  <si>
    <t>Rs/MT</t>
  </si>
  <si>
    <t>Rs/kWh</t>
  </si>
  <si>
    <t>Rs/m3</t>
  </si>
  <si>
    <t>CS2 Selling Price</t>
  </si>
  <si>
    <t>Rs/ MT</t>
  </si>
  <si>
    <t>Earnings</t>
  </si>
  <si>
    <t>Rs Lakh/ annum</t>
  </si>
  <si>
    <t>CS2 Prod cost</t>
  </si>
  <si>
    <t>SCM/ day</t>
  </si>
  <si>
    <t>Rs/ SCM</t>
  </si>
  <si>
    <t>Rs/ kWh</t>
  </si>
  <si>
    <t>Rs/ m3</t>
  </si>
  <si>
    <t>Rs/ day</t>
  </si>
  <si>
    <t>Specific Consumption per MT of H2O2</t>
  </si>
  <si>
    <t>Ethy Anthra Quinone</t>
  </si>
  <si>
    <t>Shellsol</t>
  </si>
  <si>
    <t>Tetra Butyle Urea</t>
  </si>
  <si>
    <t>Tetra Octyle Phosphate</t>
  </si>
  <si>
    <t>Palladium Catalyst</t>
  </si>
  <si>
    <t>Stabilizer</t>
  </si>
  <si>
    <t>Nitric Acid</t>
  </si>
  <si>
    <t>Phosphoric Acid</t>
  </si>
  <si>
    <t>Treated Alumina</t>
  </si>
  <si>
    <t>Raw water</t>
  </si>
  <si>
    <t>Steam</t>
  </si>
  <si>
    <t>Compressed air</t>
  </si>
  <si>
    <t>nm3</t>
  </si>
  <si>
    <t>kg</t>
  </si>
  <si>
    <t>nm3/day</t>
  </si>
  <si>
    <t>kg/day</t>
  </si>
  <si>
    <t>H2O2 Production</t>
  </si>
  <si>
    <t>Rates</t>
  </si>
  <si>
    <t>Rs/nm3</t>
  </si>
  <si>
    <t>Rs/kg</t>
  </si>
  <si>
    <t>H2O2 Production Cost</t>
  </si>
  <si>
    <t>H2O2 Selling Price</t>
  </si>
  <si>
    <t>Rs/ Lakh Annum</t>
  </si>
  <si>
    <t>Sp. Gr</t>
  </si>
  <si>
    <t>Production Cost</t>
  </si>
  <si>
    <t>Selling Cost, Rs/MT</t>
  </si>
  <si>
    <t>Rs Lakh / Annum</t>
  </si>
  <si>
    <t>Investment for H2O2 Plant</t>
  </si>
  <si>
    <t>Rs Cr</t>
  </si>
  <si>
    <t>Annual Earnings</t>
  </si>
  <si>
    <t>Simple payback period</t>
  </si>
  <si>
    <t>Yrs</t>
  </si>
  <si>
    <t>Months</t>
  </si>
  <si>
    <t>Annual earnings</t>
  </si>
  <si>
    <t>Simple Payback Period</t>
  </si>
  <si>
    <t xml:space="preserve">Investment on Mini MeOH Plant </t>
  </si>
  <si>
    <t xml:space="preserve">Investment on CS2 Plant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</si>
</sst>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7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1" fontId="0" fillId="0" borderId="1" xfId="0" applyNumberFormat="1" applyBorder="1"/>
    <xf numFmtId="1" fontId="1" fillId="0" borderId="1" xfId="0" applyNumberFormat="1" applyFon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5" fontId="0" fillId="0" borderId="1" xfId="0" applyNumberFormat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20"/>
  <sheetViews>
    <sheetView workbookViewId="0">
      <selection activeCell="L23" sqref="L23"/>
    </sheetView>
  </sheetViews>
  <sheetFormatPr defaultRowHeight="15" x14ac:dyDescent="0.25"/>
  <cols>
    <col min="4" max="4" width="8.28515625" bestFit="1" customWidth="1"/>
    <col min="5" max="5" width="8" bestFit="1" customWidth="1"/>
    <col min="6" max="6" width="8.28515625" bestFit="1" customWidth="1"/>
    <col min="7" max="7" width="8" bestFit="1" customWidth="1"/>
    <col min="8" max="8" width="9.5703125" bestFit="1" customWidth="1"/>
    <col min="9" max="9" width="8" bestFit="1" customWidth="1"/>
    <col min="10" max="10" width="7.7109375" bestFit="1" customWidth="1"/>
    <col min="11" max="11" width="8" bestFit="1" customWidth="1"/>
    <col min="12" max="12" width="11.85546875" bestFit="1" customWidth="1"/>
    <col min="13" max="13" width="12.42578125" customWidth="1"/>
    <col min="15" max="15" width="24.42578125" customWidth="1"/>
  </cols>
  <sheetData>
    <row r="5" spans="3:15" ht="18.75" x14ac:dyDescent="0.25">
      <c r="C5" s="30" t="s">
        <v>21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3:15" ht="15" customHeight="1" x14ac:dyDescent="0.25">
      <c r="C6" s="31" t="s">
        <v>13</v>
      </c>
      <c r="D6" s="31" t="s">
        <v>22</v>
      </c>
      <c r="E6" s="31"/>
      <c r="F6" s="31"/>
      <c r="G6" s="31"/>
      <c r="H6" s="33" t="s">
        <v>24</v>
      </c>
      <c r="I6" s="34"/>
      <c r="J6" s="34"/>
      <c r="K6" s="35"/>
      <c r="L6" s="32" t="s">
        <v>20</v>
      </c>
      <c r="M6" s="32"/>
      <c r="N6" s="32" t="s">
        <v>26</v>
      </c>
      <c r="O6" s="32" t="s">
        <v>27</v>
      </c>
    </row>
    <row r="7" spans="3:15" x14ac:dyDescent="0.25">
      <c r="C7" s="31"/>
      <c r="D7" s="31" t="s">
        <v>14</v>
      </c>
      <c r="E7" s="31" t="s">
        <v>15</v>
      </c>
      <c r="F7" s="31" t="s">
        <v>16</v>
      </c>
      <c r="G7" s="31"/>
      <c r="H7" s="3" t="s">
        <v>17</v>
      </c>
      <c r="I7" s="3" t="s">
        <v>18</v>
      </c>
      <c r="J7" s="3" t="s">
        <v>19</v>
      </c>
      <c r="K7" s="3" t="s">
        <v>25</v>
      </c>
      <c r="L7" s="32"/>
      <c r="M7" s="32"/>
      <c r="N7" s="32"/>
      <c r="O7" s="32"/>
    </row>
    <row r="8" spans="3:15" x14ac:dyDescent="0.25">
      <c r="C8" s="31"/>
      <c r="D8" s="31"/>
      <c r="E8" s="31"/>
      <c r="F8" s="3" t="s">
        <v>14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23</v>
      </c>
      <c r="M8" s="6" t="s">
        <v>6</v>
      </c>
      <c r="N8" s="6" t="s">
        <v>1</v>
      </c>
      <c r="O8" s="32"/>
    </row>
    <row r="9" spans="3:15" x14ac:dyDescent="0.25">
      <c r="C9" s="5">
        <v>42370</v>
      </c>
      <c r="D9" s="1">
        <f>100000</f>
        <v>100000</v>
      </c>
      <c r="E9" s="1">
        <f>D9*27</f>
        <v>2700000</v>
      </c>
      <c r="F9" s="1">
        <f t="shared" ref="F9:F17" si="0">0.95*D9</f>
        <v>95000</v>
      </c>
      <c r="G9" s="1">
        <f t="shared" ref="G9:G17" si="1">0.95*E9</f>
        <v>2565000</v>
      </c>
      <c r="H9" s="1">
        <v>1049121</v>
      </c>
      <c r="I9" s="7">
        <v>1316174.83</v>
      </c>
      <c r="J9" s="7">
        <v>133378.08999999985</v>
      </c>
      <c r="K9" s="7">
        <f>SUM(H9:J9)</f>
        <v>2498673.92</v>
      </c>
      <c r="L9" s="7">
        <f>G9-K9</f>
        <v>66326.080000000075</v>
      </c>
      <c r="M9" s="7">
        <f>L9/31</f>
        <v>2139.5509677419377</v>
      </c>
      <c r="N9" s="1">
        <v>24.34</v>
      </c>
      <c r="O9" s="7">
        <f>N9*L9/100000</f>
        <v>16.143767872000019</v>
      </c>
    </row>
    <row r="10" spans="3:15" x14ac:dyDescent="0.25">
      <c r="C10" s="5">
        <v>42401</v>
      </c>
      <c r="D10" s="1">
        <f t="shared" ref="D10:D18" si="2">100000</f>
        <v>100000</v>
      </c>
      <c r="E10" s="1">
        <f t="shared" ref="E10:E18" si="3">D10*27</f>
        <v>2700000</v>
      </c>
      <c r="F10" s="1">
        <f t="shared" si="0"/>
        <v>95000</v>
      </c>
      <c r="G10" s="1">
        <f t="shared" si="1"/>
        <v>2565000</v>
      </c>
      <c r="H10" s="7">
        <v>845552.24</v>
      </c>
      <c r="I10" s="7">
        <v>1023909.73</v>
      </c>
      <c r="J10" s="7">
        <v>92006.989999999991</v>
      </c>
      <c r="K10" s="7">
        <f t="shared" ref="K10:K18" si="4">SUM(H10:J10)</f>
        <v>1961468.96</v>
      </c>
      <c r="L10" s="7">
        <f t="shared" ref="L10:L18" si="5">G10-K10</f>
        <v>603531.04</v>
      </c>
      <c r="M10" s="7">
        <f>L10/29</f>
        <v>20811.415172413796</v>
      </c>
      <c r="N10" s="1">
        <v>22.44</v>
      </c>
      <c r="O10" s="7">
        <f t="shared" ref="O10:O18" si="6">N10*L10/100000</f>
        <v>135.43236537600001</v>
      </c>
    </row>
    <row r="11" spans="3:15" x14ac:dyDescent="0.25">
      <c r="C11" s="5">
        <v>42430</v>
      </c>
      <c r="D11" s="1">
        <f t="shared" si="2"/>
        <v>100000</v>
      </c>
      <c r="E11" s="1">
        <f t="shared" si="3"/>
        <v>2700000</v>
      </c>
      <c r="F11" s="1">
        <f t="shared" si="0"/>
        <v>95000</v>
      </c>
      <c r="G11" s="1">
        <f t="shared" si="1"/>
        <v>2565000</v>
      </c>
      <c r="H11" s="7">
        <v>977345.33</v>
      </c>
      <c r="I11" s="7">
        <v>1260834.3999999999</v>
      </c>
      <c r="J11" s="7">
        <v>40950.240000000224</v>
      </c>
      <c r="K11" s="7">
        <f t="shared" si="4"/>
        <v>2279129.9700000002</v>
      </c>
      <c r="L11" s="7">
        <f t="shared" si="5"/>
        <v>285870.0299999998</v>
      </c>
      <c r="M11" s="7">
        <f>L11/31</f>
        <v>9221.6138709677361</v>
      </c>
      <c r="N11" s="1">
        <v>20.149999999999999</v>
      </c>
      <c r="O11" s="7">
        <f t="shared" si="6"/>
        <v>57.60281104499996</v>
      </c>
    </row>
    <row r="12" spans="3:15" x14ac:dyDescent="0.25">
      <c r="C12" s="5">
        <v>42461</v>
      </c>
      <c r="D12" s="1">
        <f t="shared" si="2"/>
        <v>100000</v>
      </c>
      <c r="E12" s="1">
        <f t="shared" si="3"/>
        <v>2700000</v>
      </c>
      <c r="F12" s="1">
        <f t="shared" si="0"/>
        <v>95000</v>
      </c>
      <c r="G12" s="1">
        <f t="shared" si="1"/>
        <v>2565000</v>
      </c>
      <c r="H12" s="7">
        <v>463913.19</v>
      </c>
      <c r="I12" s="7">
        <v>1108487.5900000001</v>
      </c>
      <c r="J12" s="7">
        <v>108261.18999999994</v>
      </c>
      <c r="K12" s="7">
        <f t="shared" si="4"/>
        <v>1680661.97</v>
      </c>
      <c r="L12" s="7">
        <f t="shared" si="5"/>
        <v>884338.03</v>
      </c>
      <c r="M12" s="7">
        <f>L12/30</f>
        <v>29477.934333333335</v>
      </c>
      <c r="N12" s="1">
        <v>20.14</v>
      </c>
      <c r="O12" s="7">
        <f t="shared" si="6"/>
        <v>178.10567924200001</v>
      </c>
    </row>
    <row r="13" spans="3:15" x14ac:dyDescent="0.25">
      <c r="C13" s="5">
        <v>42491</v>
      </c>
      <c r="D13" s="1">
        <f t="shared" si="2"/>
        <v>100000</v>
      </c>
      <c r="E13" s="1">
        <f t="shared" si="3"/>
        <v>2700000</v>
      </c>
      <c r="F13" s="1">
        <f t="shared" si="0"/>
        <v>95000</v>
      </c>
      <c r="G13" s="1">
        <f t="shared" si="1"/>
        <v>2565000</v>
      </c>
      <c r="H13" s="7">
        <v>738348.8</v>
      </c>
      <c r="I13" s="7">
        <v>1251791.8</v>
      </c>
      <c r="J13" s="7">
        <v>79393.719999999972</v>
      </c>
      <c r="K13" s="7">
        <f t="shared" si="4"/>
        <v>2069534.32</v>
      </c>
      <c r="L13" s="7">
        <f t="shared" si="5"/>
        <v>495465.67999999993</v>
      </c>
      <c r="M13" s="7">
        <f>L13/31</f>
        <v>15982.763870967739</v>
      </c>
      <c r="N13" s="1">
        <v>19.190000000000001</v>
      </c>
      <c r="O13" s="7">
        <f t="shared" si="6"/>
        <v>95.079863992</v>
      </c>
    </row>
    <row r="14" spans="3:15" x14ac:dyDescent="0.25">
      <c r="C14" s="5">
        <v>42522</v>
      </c>
      <c r="D14" s="1">
        <f t="shared" si="2"/>
        <v>100000</v>
      </c>
      <c r="E14" s="1">
        <f t="shared" si="3"/>
        <v>2700000</v>
      </c>
      <c r="F14" s="1">
        <f t="shared" si="0"/>
        <v>95000</v>
      </c>
      <c r="G14" s="1">
        <f t="shared" si="1"/>
        <v>2565000</v>
      </c>
      <c r="H14" s="7">
        <v>955579.25</v>
      </c>
      <c r="I14" s="7">
        <v>1353048.09</v>
      </c>
      <c r="J14" s="7">
        <v>-218623.08000000007</v>
      </c>
      <c r="K14" s="7">
        <f t="shared" si="4"/>
        <v>2090004.2599999998</v>
      </c>
      <c r="L14" s="7">
        <f t="shared" si="5"/>
        <v>474995.74000000022</v>
      </c>
      <c r="M14" s="7">
        <f>L14/30</f>
        <v>15833.191333333341</v>
      </c>
      <c r="N14" s="1">
        <v>20.89</v>
      </c>
      <c r="O14" s="7">
        <f t="shared" si="6"/>
        <v>99.226610086000036</v>
      </c>
    </row>
    <row r="15" spans="3:15" x14ac:dyDescent="0.25">
      <c r="C15" s="5">
        <v>42552</v>
      </c>
      <c r="D15" s="1">
        <f t="shared" si="2"/>
        <v>100000</v>
      </c>
      <c r="E15" s="1">
        <f t="shared" si="3"/>
        <v>2700000</v>
      </c>
      <c r="F15" s="1">
        <f t="shared" si="0"/>
        <v>95000</v>
      </c>
      <c r="G15" s="1">
        <f t="shared" si="1"/>
        <v>2565000</v>
      </c>
      <c r="H15" s="7">
        <v>1055787.3999999999</v>
      </c>
      <c r="I15" s="7">
        <v>1379861.34</v>
      </c>
      <c r="J15" s="7">
        <v>171232.30999999982</v>
      </c>
      <c r="K15" s="7">
        <f t="shared" si="4"/>
        <v>2606881.0499999998</v>
      </c>
      <c r="L15" s="7">
        <f t="shared" si="5"/>
        <v>-41881.049999999814</v>
      </c>
      <c r="M15" s="7">
        <f>L15/31</f>
        <v>-1351.0016129032199</v>
      </c>
      <c r="N15" s="1">
        <v>22.23</v>
      </c>
      <c r="O15" s="7">
        <f t="shared" si="6"/>
        <v>-9.31015741499996</v>
      </c>
    </row>
    <row r="16" spans="3:15" x14ac:dyDescent="0.25">
      <c r="C16" s="5">
        <v>42583</v>
      </c>
      <c r="D16" s="1">
        <f t="shared" si="2"/>
        <v>100000</v>
      </c>
      <c r="E16" s="1">
        <f t="shared" si="3"/>
        <v>2700000</v>
      </c>
      <c r="F16" s="1">
        <f t="shared" si="0"/>
        <v>95000</v>
      </c>
      <c r="G16" s="1">
        <f t="shared" si="1"/>
        <v>2565000</v>
      </c>
      <c r="H16" s="7">
        <v>752159.84</v>
      </c>
      <c r="I16" s="7">
        <v>1347057.68</v>
      </c>
      <c r="J16" s="7">
        <v>152017.65000000014</v>
      </c>
      <c r="K16" s="7">
        <f t="shared" si="4"/>
        <v>2251235.17</v>
      </c>
      <c r="L16" s="7">
        <f t="shared" si="5"/>
        <v>313764.83000000007</v>
      </c>
      <c r="M16" s="7">
        <f>L16/31</f>
        <v>10121.44612903226</v>
      </c>
      <c r="N16" s="1">
        <v>22.75</v>
      </c>
      <c r="O16" s="7">
        <f t="shared" si="6"/>
        <v>71.381498825000023</v>
      </c>
    </row>
    <row r="17" spans="3:15" x14ac:dyDescent="0.25">
      <c r="C17" s="5">
        <v>42614</v>
      </c>
      <c r="D17" s="1">
        <f t="shared" si="2"/>
        <v>100000</v>
      </c>
      <c r="E17" s="1">
        <f t="shared" si="3"/>
        <v>2700000</v>
      </c>
      <c r="F17" s="1">
        <f t="shared" si="0"/>
        <v>95000</v>
      </c>
      <c r="G17" s="1">
        <f t="shared" si="1"/>
        <v>2565000</v>
      </c>
      <c r="H17" s="7">
        <v>859619.63</v>
      </c>
      <c r="I17" s="7">
        <v>1282926.0800000001</v>
      </c>
      <c r="J17" s="7">
        <v>-211160.76000000024</v>
      </c>
      <c r="K17" s="7">
        <f t="shared" si="4"/>
        <v>1931384.9499999997</v>
      </c>
      <c r="L17" s="7">
        <f t="shared" si="5"/>
        <v>633615.05000000028</v>
      </c>
      <c r="M17" s="7">
        <f>L17/30</f>
        <v>21120.501666666674</v>
      </c>
      <c r="N17" s="1">
        <v>22.74</v>
      </c>
      <c r="O17" s="7">
        <f t="shared" si="6"/>
        <v>144.08406237000005</v>
      </c>
    </row>
    <row r="18" spans="3:15" x14ac:dyDescent="0.25">
      <c r="C18" s="5">
        <v>42644</v>
      </c>
      <c r="D18" s="1">
        <f t="shared" si="2"/>
        <v>100000</v>
      </c>
      <c r="E18" s="1">
        <f t="shared" si="3"/>
        <v>2700000</v>
      </c>
      <c r="F18" s="1">
        <f>0.95*D18</f>
        <v>95000</v>
      </c>
      <c r="G18" s="1">
        <f>0.95*E18</f>
        <v>2565000</v>
      </c>
      <c r="H18" s="7">
        <v>781742.65</v>
      </c>
      <c r="I18" s="7">
        <v>1284827.3999999999</v>
      </c>
      <c r="J18" s="7">
        <v>516048.49000000022</v>
      </c>
      <c r="K18" s="7">
        <f t="shared" si="4"/>
        <v>2582618.54</v>
      </c>
      <c r="L18" s="7">
        <f t="shared" si="5"/>
        <v>-17618.540000000037</v>
      </c>
      <c r="M18" s="7">
        <f>L18/31</f>
        <v>-568.34000000000117</v>
      </c>
      <c r="N18" s="1">
        <v>22.45</v>
      </c>
      <c r="O18" s="7">
        <f t="shared" si="6"/>
        <v>-3.955362230000008</v>
      </c>
    </row>
    <row r="19" spans="3:15" x14ac:dyDescent="0.25">
      <c r="C19" s="29" t="s">
        <v>28</v>
      </c>
      <c r="D19" s="29"/>
      <c r="E19" s="29"/>
      <c r="F19" s="29"/>
      <c r="G19" s="29"/>
      <c r="H19" s="29"/>
      <c r="I19" s="29"/>
      <c r="J19" s="29"/>
      <c r="K19" s="29"/>
      <c r="L19" s="8">
        <f>SUM(L9:L18)</f>
        <v>3698406.8900000006</v>
      </c>
      <c r="M19" s="8">
        <f>SUM(M9:M18)</f>
        <v>122789.0757315536</v>
      </c>
      <c r="N19" s="4"/>
      <c r="O19" s="8">
        <f>SUM(O9:O18)</f>
        <v>783.79113916300014</v>
      </c>
    </row>
    <row r="20" spans="3:15" x14ac:dyDescent="0.25">
      <c r="C20" s="29" t="s">
        <v>29</v>
      </c>
      <c r="D20" s="29"/>
      <c r="E20" s="29"/>
      <c r="F20" s="29"/>
      <c r="G20" s="29"/>
      <c r="H20" s="29"/>
      <c r="I20" s="29"/>
      <c r="J20" s="29"/>
      <c r="K20" s="29"/>
      <c r="L20" s="8">
        <f>AVERAGE(L9:L18)</f>
        <v>369840.68900000007</v>
      </c>
      <c r="M20" s="8">
        <f>AVERAGE(M9:M18)</f>
        <v>12278.90757315536</v>
      </c>
      <c r="N20" s="4"/>
      <c r="O20" s="8">
        <f>AVERAGE(O9:O18)</f>
        <v>78.379113916300014</v>
      </c>
    </row>
  </sheetData>
  <mergeCells count="12">
    <mergeCell ref="C19:K19"/>
    <mergeCell ref="C20:K20"/>
    <mergeCell ref="C5:O5"/>
    <mergeCell ref="C6:C8"/>
    <mergeCell ref="L6:M7"/>
    <mergeCell ref="H6:K6"/>
    <mergeCell ref="N6:N7"/>
    <mergeCell ref="O6:O8"/>
    <mergeCell ref="D6:G6"/>
    <mergeCell ref="D7:D8"/>
    <mergeCell ref="E7:E8"/>
    <mergeCell ref="F7:G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2"/>
  <sheetViews>
    <sheetView workbookViewId="0">
      <selection activeCell="C14" sqref="C14:L22"/>
    </sheetView>
  </sheetViews>
  <sheetFormatPr defaultRowHeight="15" x14ac:dyDescent="0.25"/>
  <cols>
    <col min="3" max="3" width="26.140625" bestFit="1" customWidth="1"/>
    <col min="5" max="12" width="7" bestFit="1" customWidth="1"/>
  </cols>
  <sheetData>
    <row r="3" spans="3:12" x14ac:dyDescent="0.25">
      <c r="C3" s="2" t="s">
        <v>8</v>
      </c>
      <c r="D3" s="2" t="s">
        <v>9</v>
      </c>
      <c r="E3" s="31" t="s">
        <v>10</v>
      </c>
      <c r="F3" s="31"/>
      <c r="G3" s="31"/>
      <c r="H3" s="31"/>
      <c r="I3" s="31"/>
      <c r="J3" s="31"/>
      <c r="K3" s="31"/>
      <c r="L3" s="31"/>
    </row>
    <row r="4" spans="3:12" x14ac:dyDescent="0.25">
      <c r="C4" s="1" t="s">
        <v>3</v>
      </c>
      <c r="D4" s="1" t="s">
        <v>6</v>
      </c>
      <c r="E4" s="1">
        <v>10000</v>
      </c>
      <c r="F4" s="1">
        <v>10000</v>
      </c>
      <c r="G4" s="1">
        <v>10000</v>
      </c>
      <c r="H4" s="1">
        <v>10000</v>
      </c>
      <c r="I4" s="1">
        <v>10000</v>
      </c>
      <c r="J4" s="1">
        <v>10000</v>
      </c>
      <c r="K4" s="1">
        <v>10000</v>
      </c>
      <c r="L4" s="1">
        <v>10000</v>
      </c>
    </row>
    <row r="5" spans="3:12" x14ac:dyDescent="0.25">
      <c r="C5" s="1" t="s">
        <v>0</v>
      </c>
      <c r="D5" s="1" t="s">
        <v>1</v>
      </c>
      <c r="E5" s="1">
        <v>15</v>
      </c>
      <c r="F5" s="1">
        <v>20</v>
      </c>
      <c r="G5" s="1">
        <v>22</v>
      </c>
      <c r="H5" s="1">
        <v>24</v>
      </c>
      <c r="I5" s="1">
        <v>26</v>
      </c>
      <c r="J5" s="1">
        <v>28</v>
      </c>
      <c r="K5" s="1">
        <v>30</v>
      </c>
      <c r="L5" s="1">
        <v>35</v>
      </c>
    </row>
    <row r="6" spans="3:12" x14ac:dyDescent="0.25">
      <c r="C6" s="1" t="s">
        <v>2</v>
      </c>
      <c r="D6" s="1" t="s">
        <v>7</v>
      </c>
      <c r="E6" s="1">
        <f>E5*E4</f>
        <v>150000</v>
      </c>
      <c r="F6" s="1">
        <f t="shared" ref="F6:L6" si="0">F5*F4</f>
        <v>200000</v>
      </c>
      <c r="G6" s="1">
        <f t="shared" si="0"/>
        <v>220000</v>
      </c>
      <c r="H6" s="1">
        <f t="shared" si="0"/>
        <v>240000</v>
      </c>
      <c r="I6" s="1">
        <f t="shared" si="0"/>
        <v>260000</v>
      </c>
      <c r="J6" s="1">
        <f t="shared" si="0"/>
        <v>280000</v>
      </c>
      <c r="K6" s="1">
        <f t="shared" si="0"/>
        <v>300000</v>
      </c>
      <c r="L6" s="1">
        <f t="shared" si="0"/>
        <v>350000</v>
      </c>
    </row>
    <row r="7" spans="3:12" x14ac:dyDescent="0.25">
      <c r="C7" s="4" t="s">
        <v>5</v>
      </c>
      <c r="D7" s="4" t="s">
        <v>4</v>
      </c>
      <c r="E7" s="4">
        <f>E6*360/100000</f>
        <v>540</v>
      </c>
      <c r="F7" s="4">
        <f t="shared" ref="F7:L7" si="1">F6*360/100000</f>
        <v>720</v>
      </c>
      <c r="G7" s="4">
        <f t="shared" si="1"/>
        <v>792</v>
      </c>
      <c r="H7" s="4">
        <f t="shared" si="1"/>
        <v>864</v>
      </c>
      <c r="I7" s="4">
        <f t="shared" si="1"/>
        <v>936</v>
      </c>
      <c r="J7" s="4">
        <f t="shared" si="1"/>
        <v>1008</v>
      </c>
      <c r="K7" s="4">
        <f t="shared" si="1"/>
        <v>1080</v>
      </c>
      <c r="L7" s="4">
        <f t="shared" si="1"/>
        <v>1260</v>
      </c>
    </row>
    <row r="8" spans="3:12" x14ac:dyDescent="0.25">
      <c r="C8" s="38" t="s">
        <v>11</v>
      </c>
      <c r="D8" s="38"/>
      <c r="E8" s="38"/>
      <c r="F8" s="38"/>
      <c r="G8" s="38"/>
      <c r="H8" s="38"/>
      <c r="I8" s="38"/>
      <c r="J8" s="38"/>
      <c r="K8" s="38"/>
      <c r="L8" s="38"/>
    </row>
    <row r="9" spans="3:12" x14ac:dyDescent="0.25">
      <c r="C9" s="36" t="s">
        <v>12</v>
      </c>
      <c r="D9" s="37"/>
      <c r="E9" s="37"/>
      <c r="F9" s="37"/>
      <c r="G9" s="37"/>
      <c r="H9" s="37"/>
      <c r="I9" s="37"/>
      <c r="J9" s="37"/>
      <c r="K9" s="37"/>
      <c r="L9" s="37"/>
    </row>
    <row r="10" spans="3:12" x14ac:dyDescent="0.25"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3:12" x14ac:dyDescent="0.25"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4" spans="3:12" x14ac:dyDescent="0.25">
      <c r="C14" s="2" t="s">
        <v>8</v>
      </c>
      <c r="D14" s="2" t="s">
        <v>9</v>
      </c>
      <c r="E14" s="31" t="s">
        <v>10</v>
      </c>
      <c r="F14" s="31"/>
      <c r="G14" s="31"/>
      <c r="H14" s="31"/>
      <c r="I14" s="31"/>
      <c r="J14" s="31"/>
      <c r="K14" s="31"/>
      <c r="L14" s="31"/>
    </row>
    <row r="15" spans="3:12" x14ac:dyDescent="0.25">
      <c r="C15" s="1" t="s">
        <v>3</v>
      </c>
      <c r="D15" s="1" t="s">
        <v>6</v>
      </c>
      <c r="E15" s="1">
        <v>10000</v>
      </c>
      <c r="F15" s="1">
        <v>11000</v>
      </c>
      <c r="G15" s="1">
        <v>12000</v>
      </c>
      <c r="H15" s="1">
        <v>13000</v>
      </c>
      <c r="I15" s="1">
        <v>14000</v>
      </c>
      <c r="J15" s="1">
        <v>15000</v>
      </c>
      <c r="K15" s="1">
        <v>16000</v>
      </c>
      <c r="L15" s="1">
        <v>20000</v>
      </c>
    </row>
    <row r="16" spans="3:12" x14ac:dyDescent="0.25">
      <c r="C16" s="1" t="s">
        <v>0</v>
      </c>
      <c r="D16" s="1" t="s">
        <v>1</v>
      </c>
      <c r="E16" s="1">
        <v>22</v>
      </c>
      <c r="F16" s="1">
        <v>22</v>
      </c>
      <c r="G16" s="1">
        <v>22</v>
      </c>
      <c r="H16" s="1">
        <v>22</v>
      </c>
      <c r="I16" s="1">
        <v>22</v>
      </c>
      <c r="J16" s="1">
        <v>22</v>
      </c>
      <c r="K16" s="1">
        <v>22</v>
      </c>
      <c r="L16" s="1">
        <v>22</v>
      </c>
    </row>
    <row r="17" spans="3:12" x14ac:dyDescent="0.25">
      <c r="C17" s="1" t="s">
        <v>2</v>
      </c>
      <c r="D17" s="1" t="s">
        <v>7</v>
      </c>
      <c r="E17" s="1">
        <f>E16*E15</f>
        <v>220000</v>
      </c>
      <c r="F17" s="1">
        <f t="shared" ref="F17" si="2">F16*F15</f>
        <v>242000</v>
      </c>
      <c r="G17" s="1">
        <f t="shared" ref="G17" si="3">G16*G15</f>
        <v>264000</v>
      </c>
      <c r="H17" s="1">
        <f t="shared" ref="H17" si="4">H16*H15</f>
        <v>286000</v>
      </c>
      <c r="I17" s="1">
        <f t="shared" ref="I17" si="5">I16*I15</f>
        <v>308000</v>
      </c>
      <c r="J17" s="1">
        <f t="shared" ref="J17" si="6">J16*J15</f>
        <v>330000</v>
      </c>
      <c r="K17" s="1">
        <f t="shared" ref="K17" si="7">K16*K15</f>
        <v>352000</v>
      </c>
      <c r="L17" s="1">
        <f t="shared" ref="L17" si="8">L16*L15</f>
        <v>440000</v>
      </c>
    </row>
    <row r="18" spans="3:12" x14ac:dyDescent="0.25">
      <c r="C18" s="4" t="s">
        <v>5</v>
      </c>
      <c r="D18" s="4" t="s">
        <v>4</v>
      </c>
      <c r="E18" s="4">
        <f>E17*360/100000</f>
        <v>792</v>
      </c>
      <c r="F18" s="4">
        <f t="shared" ref="F18" si="9">F17*360/100000</f>
        <v>871.2</v>
      </c>
      <c r="G18" s="4">
        <f t="shared" ref="G18" si="10">G17*360/100000</f>
        <v>950.4</v>
      </c>
      <c r="H18" s="4">
        <f t="shared" ref="H18" si="11">H17*360/100000</f>
        <v>1029.5999999999999</v>
      </c>
      <c r="I18" s="4">
        <f t="shared" ref="I18" si="12">I17*360/100000</f>
        <v>1108.8</v>
      </c>
      <c r="J18" s="4">
        <f t="shared" ref="J18" si="13">J17*360/100000</f>
        <v>1188</v>
      </c>
      <c r="K18" s="4">
        <f t="shared" ref="K18" si="14">K17*360/100000</f>
        <v>1267.2</v>
      </c>
      <c r="L18" s="4">
        <f t="shared" ref="L18" si="15">L17*360/100000</f>
        <v>1584</v>
      </c>
    </row>
    <row r="19" spans="3:12" x14ac:dyDescent="0.25">
      <c r="C19" s="38" t="s">
        <v>11</v>
      </c>
      <c r="D19" s="38"/>
      <c r="E19" s="38"/>
      <c r="F19" s="38"/>
      <c r="G19" s="38"/>
      <c r="H19" s="38"/>
      <c r="I19" s="38"/>
      <c r="J19" s="38"/>
      <c r="K19" s="38"/>
      <c r="L19" s="38"/>
    </row>
    <row r="20" spans="3:12" x14ac:dyDescent="0.25">
      <c r="C20" s="36" t="s">
        <v>32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3:12" x14ac:dyDescent="0.25"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3:12" x14ac:dyDescent="0.25">
      <c r="C22" s="37"/>
      <c r="D22" s="37"/>
      <c r="E22" s="37"/>
      <c r="F22" s="37"/>
      <c r="G22" s="37"/>
      <c r="H22" s="37"/>
      <c r="I22" s="37"/>
      <c r="J22" s="37"/>
      <c r="K22" s="37"/>
      <c r="L22" s="37"/>
    </row>
  </sheetData>
  <mergeCells count="6">
    <mergeCell ref="C20:L22"/>
    <mergeCell ref="E3:L3"/>
    <mergeCell ref="C9:L11"/>
    <mergeCell ref="C8:L8"/>
    <mergeCell ref="E14:L14"/>
    <mergeCell ref="C19:L1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7"/>
  <sheetViews>
    <sheetView tabSelected="1" workbookViewId="0">
      <selection sqref="A1:XFD1048576"/>
    </sheetView>
  </sheetViews>
  <sheetFormatPr defaultRowHeight="15" x14ac:dyDescent="0.25"/>
  <cols>
    <col min="2" max="2" width="8.85546875" bestFit="1" customWidth="1"/>
    <col min="3" max="3" width="7.7109375" bestFit="1" customWidth="1"/>
    <col min="5" max="5" width="7.7109375" bestFit="1" customWidth="1"/>
    <col min="6" max="6" width="8.85546875" style="12" customWidth="1"/>
    <col min="8" max="8" width="7.7109375" bestFit="1" customWidth="1"/>
    <col min="9" max="9" width="10.140625" style="12" customWidth="1"/>
    <col min="10" max="10" width="10" bestFit="1" customWidth="1"/>
    <col min="11" max="11" width="9" bestFit="1" customWidth="1"/>
    <col min="12" max="12" width="8.5703125" style="12" customWidth="1"/>
    <col min="13" max="13" width="8.7109375" bestFit="1" customWidth="1"/>
    <col min="14" max="14" width="6.7109375" customWidth="1"/>
    <col min="15" max="15" width="11.5703125" customWidth="1"/>
  </cols>
  <sheetData>
    <row r="3" spans="2:15" x14ac:dyDescent="0.25">
      <c r="D3">
        <v>0.75</v>
      </c>
      <c r="E3">
        <v>0.76</v>
      </c>
      <c r="F3" s="12">
        <v>0.81</v>
      </c>
      <c r="G3" t="s">
        <v>93</v>
      </c>
    </row>
    <row r="4" spans="2:15" x14ac:dyDescent="0.25">
      <c r="D4">
        <v>6.2</v>
      </c>
      <c r="E4">
        <v>0.4</v>
      </c>
      <c r="F4" s="12">
        <v>5.0999999999999996</v>
      </c>
    </row>
    <row r="5" spans="2:15" ht="26.25" customHeight="1" x14ac:dyDescent="0.25">
      <c r="B5" s="41" t="s">
        <v>33</v>
      </c>
      <c r="C5" s="41"/>
      <c r="D5" s="41" t="s">
        <v>37</v>
      </c>
      <c r="E5" s="41"/>
      <c r="F5" s="41"/>
      <c r="G5" s="41" t="s">
        <v>38</v>
      </c>
      <c r="H5" s="41"/>
      <c r="I5" s="41"/>
      <c r="J5" s="43" t="s">
        <v>41</v>
      </c>
      <c r="K5" s="44"/>
      <c r="L5" s="45"/>
      <c r="M5" s="41" t="s">
        <v>42</v>
      </c>
      <c r="N5" s="41"/>
      <c r="O5" s="41"/>
    </row>
    <row r="6" spans="2:15" ht="30" x14ac:dyDescent="0.25">
      <c r="B6" s="18" t="s">
        <v>6</v>
      </c>
      <c r="C6" s="18" t="s">
        <v>34</v>
      </c>
      <c r="D6" s="1" t="s">
        <v>39</v>
      </c>
      <c r="E6" s="1" t="s">
        <v>40</v>
      </c>
      <c r="F6" s="13" t="s">
        <v>36</v>
      </c>
      <c r="G6" s="1" t="s">
        <v>39</v>
      </c>
      <c r="H6" s="1" t="s">
        <v>40</v>
      </c>
      <c r="I6" s="13" t="s">
        <v>36</v>
      </c>
      <c r="J6" s="1" t="s">
        <v>39</v>
      </c>
      <c r="K6" s="1" t="s">
        <v>40</v>
      </c>
      <c r="L6" s="13" t="s">
        <v>36</v>
      </c>
      <c r="M6" s="11" t="s">
        <v>43</v>
      </c>
      <c r="N6" s="11" t="s">
        <v>44</v>
      </c>
      <c r="O6" s="11" t="s">
        <v>45</v>
      </c>
    </row>
    <row r="7" spans="2:15" x14ac:dyDescent="0.25">
      <c r="B7" s="1">
        <v>10000</v>
      </c>
      <c r="C7" s="7">
        <f>B7*3.28*3.28*3.28/1000</f>
        <v>352.87551999999994</v>
      </c>
      <c r="D7" s="7">
        <f>C7*$D$4*4.5*$D$3</f>
        <v>7383.9202559999994</v>
      </c>
      <c r="E7" s="7">
        <f>C7*$E$4*4.5*$E$3</f>
        <v>482.73371135999997</v>
      </c>
      <c r="F7" s="14">
        <f>C7*$F$4*4.5*$F$3</f>
        <v>6559.7794790399985</v>
      </c>
      <c r="G7" s="10">
        <f>D7/SUM(D7:F7)</f>
        <v>0.51183269124931208</v>
      </c>
      <c r="H7" s="10">
        <f>E7/SUM(D7:F7)</f>
        <v>3.3461750137589431E-2</v>
      </c>
      <c r="I7" s="15">
        <f>F7/SUM(D7:F7)</f>
        <v>0.45470555861309847</v>
      </c>
      <c r="J7" s="9">
        <f>G7*B7*22/D7</f>
        <v>15.249784419509401</v>
      </c>
      <c r="K7" s="9">
        <f>H7*B7*22/E7</f>
        <v>15.2497844195094</v>
      </c>
      <c r="L7" s="16">
        <f>I7*B7*22/F7</f>
        <v>15.249784419509401</v>
      </c>
      <c r="M7" s="7">
        <f>D7+E7+F7-(B7*0.7)</f>
        <v>7426.4334463999985</v>
      </c>
      <c r="N7" s="1">
        <v>3.6</v>
      </c>
      <c r="O7" s="9">
        <f>N7*M7/SUM(D7:F7)</f>
        <v>1.8532065119471051</v>
      </c>
    </row>
    <row r="8" spans="2:15" x14ac:dyDescent="0.25">
      <c r="B8" s="1">
        <v>11000</v>
      </c>
      <c r="C8" s="7">
        <f t="shared" ref="C8:C17" si="0">B8*3.28*3.28*3.28/1000</f>
        <v>388.163072</v>
      </c>
      <c r="D8" s="7">
        <f t="shared" ref="D8:D17" si="1">C8*$D$4*4.5*$D$3</f>
        <v>8122.3122815999996</v>
      </c>
      <c r="E8" s="7">
        <f t="shared" ref="E8:E17" si="2">C8*$E$4*4.5*$E$3</f>
        <v>531.00708249600007</v>
      </c>
      <c r="F8" s="14">
        <f t="shared" ref="F8:F17" si="3">C8*$F$4*4.5*$F$3</f>
        <v>7215.7574269439992</v>
      </c>
      <c r="G8" s="10">
        <f t="shared" ref="G8:G17" si="4">D8/SUM(D8:F8)</f>
        <v>0.51183269124931208</v>
      </c>
      <c r="H8" s="10">
        <f t="shared" ref="H8:H17" si="5">E8/SUM(D8:F8)</f>
        <v>3.3461750137589438E-2</v>
      </c>
      <c r="I8" s="15">
        <f t="shared" ref="I8:I17" si="6">F8/SUM(D8:F8)</f>
        <v>0.45470555861309847</v>
      </c>
      <c r="J8" s="9">
        <f t="shared" ref="J8:J17" si="7">G8*B8*22/D8</f>
        <v>15.249784419509398</v>
      </c>
      <c r="K8" s="9">
        <f t="shared" ref="K8:K17" si="8">H8*B8*22/E8</f>
        <v>15.2497844195094</v>
      </c>
      <c r="L8" s="16">
        <f t="shared" ref="L8:L17" si="9">I8*B8*22/F8</f>
        <v>15.249784419509398</v>
      </c>
      <c r="M8" s="7">
        <f t="shared" ref="M8:M17" si="10">D8+E8+F8-(B8*0.7)</f>
        <v>8169.07679104</v>
      </c>
      <c r="N8" s="1">
        <v>3.6</v>
      </c>
      <c r="O8" s="9">
        <f t="shared" ref="O8:O17" si="11">N8*M8/SUM(D8:F8)</f>
        <v>1.8532065119471055</v>
      </c>
    </row>
    <row r="9" spans="2:15" x14ac:dyDescent="0.25">
      <c r="B9" s="1">
        <v>12000</v>
      </c>
      <c r="C9" s="7">
        <f t="shared" si="0"/>
        <v>423.45062399999995</v>
      </c>
      <c r="D9" s="7">
        <f t="shared" si="1"/>
        <v>8860.7043071999979</v>
      </c>
      <c r="E9" s="7">
        <f t="shared" si="2"/>
        <v>579.28045363199999</v>
      </c>
      <c r="F9" s="14">
        <f t="shared" si="3"/>
        <v>7871.735374848</v>
      </c>
      <c r="G9" s="10">
        <f t="shared" si="4"/>
        <v>0.51183269124931197</v>
      </c>
      <c r="H9" s="10">
        <f t="shared" si="5"/>
        <v>3.3461750137589431E-2</v>
      </c>
      <c r="I9" s="15">
        <f t="shared" si="6"/>
        <v>0.45470555861309853</v>
      </c>
      <c r="J9" s="9">
        <f t="shared" si="7"/>
        <v>15.2497844195094</v>
      </c>
      <c r="K9" s="9">
        <f t="shared" si="8"/>
        <v>15.2497844195094</v>
      </c>
      <c r="L9" s="16">
        <f t="shared" si="9"/>
        <v>15.2497844195094</v>
      </c>
      <c r="M9" s="7">
        <f t="shared" si="10"/>
        <v>8911.7201356799997</v>
      </c>
      <c r="N9" s="1">
        <v>3.6</v>
      </c>
      <c r="O9" s="9">
        <f t="shared" si="11"/>
        <v>1.8532065119471053</v>
      </c>
    </row>
    <row r="10" spans="2:15" x14ac:dyDescent="0.25">
      <c r="B10" s="1">
        <v>13000</v>
      </c>
      <c r="C10" s="7">
        <f t="shared" si="0"/>
        <v>458.7381759999999</v>
      </c>
      <c r="D10" s="7">
        <f t="shared" si="1"/>
        <v>9599.096332799998</v>
      </c>
      <c r="E10" s="7">
        <f t="shared" si="2"/>
        <v>627.55382476799991</v>
      </c>
      <c r="F10" s="14">
        <f t="shared" si="3"/>
        <v>8527.7133227519989</v>
      </c>
      <c r="G10" s="10">
        <f t="shared" si="4"/>
        <v>0.51183269124931208</v>
      </c>
      <c r="H10" s="10">
        <f t="shared" si="5"/>
        <v>3.3461750137589431E-2</v>
      </c>
      <c r="I10" s="15">
        <f t="shared" si="6"/>
        <v>0.45470555861309853</v>
      </c>
      <c r="J10" s="9">
        <f t="shared" si="7"/>
        <v>15.249784419509401</v>
      </c>
      <c r="K10" s="9">
        <f t="shared" si="8"/>
        <v>15.2497844195094</v>
      </c>
      <c r="L10" s="16">
        <f t="shared" si="9"/>
        <v>15.2497844195094</v>
      </c>
      <c r="M10" s="7">
        <f t="shared" si="10"/>
        <v>9654.3634803199966</v>
      </c>
      <c r="N10" s="1">
        <v>3.6</v>
      </c>
      <c r="O10" s="9">
        <f t="shared" si="11"/>
        <v>1.8532065119471051</v>
      </c>
    </row>
    <row r="11" spans="2:15" x14ac:dyDescent="0.25">
      <c r="B11" s="1">
        <v>14000</v>
      </c>
      <c r="C11" s="7">
        <f t="shared" si="0"/>
        <v>494.0257279999999</v>
      </c>
      <c r="D11" s="7">
        <f t="shared" si="1"/>
        <v>10337.488358399998</v>
      </c>
      <c r="E11" s="7">
        <f t="shared" si="2"/>
        <v>675.82719590399995</v>
      </c>
      <c r="F11" s="14">
        <f t="shared" si="3"/>
        <v>9183.6912706559979</v>
      </c>
      <c r="G11" s="10">
        <f t="shared" si="4"/>
        <v>0.51183269124931208</v>
      </c>
      <c r="H11" s="10">
        <f t="shared" si="5"/>
        <v>3.3461750137589438E-2</v>
      </c>
      <c r="I11" s="15">
        <f t="shared" si="6"/>
        <v>0.45470555861309858</v>
      </c>
      <c r="J11" s="9">
        <f t="shared" si="7"/>
        <v>15.249784419509401</v>
      </c>
      <c r="K11" s="9">
        <f t="shared" si="8"/>
        <v>15.249784419509401</v>
      </c>
      <c r="L11" s="16">
        <f t="shared" si="9"/>
        <v>15.249784419509405</v>
      </c>
      <c r="M11" s="7">
        <f t="shared" si="10"/>
        <v>10397.006824959994</v>
      </c>
      <c r="N11" s="1">
        <v>3.6</v>
      </c>
      <c r="O11" s="9">
        <f t="shared" si="11"/>
        <v>1.8532065119471048</v>
      </c>
    </row>
    <row r="12" spans="2:15" x14ac:dyDescent="0.25">
      <c r="B12" s="1">
        <v>15000</v>
      </c>
      <c r="C12" s="7">
        <f t="shared" si="0"/>
        <v>529.31327999999996</v>
      </c>
      <c r="D12" s="7">
        <f t="shared" si="1"/>
        <v>11075.880384</v>
      </c>
      <c r="E12" s="7">
        <f t="shared" si="2"/>
        <v>724.10056703999999</v>
      </c>
      <c r="F12" s="14">
        <f t="shared" si="3"/>
        <v>9839.6692185599986</v>
      </c>
      <c r="G12" s="10">
        <f t="shared" si="4"/>
        <v>0.51183269124931208</v>
      </c>
      <c r="H12" s="10">
        <f t="shared" si="5"/>
        <v>3.3461750137589438E-2</v>
      </c>
      <c r="I12" s="15">
        <f t="shared" si="6"/>
        <v>0.45470555861309847</v>
      </c>
      <c r="J12" s="9">
        <f t="shared" si="7"/>
        <v>15.249784419509398</v>
      </c>
      <c r="K12" s="9">
        <f t="shared" si="8"/>
        <v>15.2497844195094</v>
      </c>
      <c r="L12" s="16">
        <f t="shared" si="9"/>
        <v>15.249784419509398</v>
      </c>
      <c r="M12" s="7">
        <f t="shared" si="10"/>
        <v>11139.650169599998</v>
      </c>
      <c r="N12" s="1">
        <v>3.6</v>
      </c>
      <c r="O12" s="9">
        <f t="shared" si="11"/>
        <v>1.8532065119471053</v>
      </c>
    </row>
    <row r="13" spans="2:15" x14ac:dyDescent="0.25">
      <c r="B13" s="1">
        <v>16000</v>
      </c>
      <c r="C13" s="7">
        <f t="shared" si="0"/>
        <v>564.60083199999997</v>
      </c>
      <c r="D13" s="7">
        <f t="shared" si="1"/>
        <v>11814.272409599998</v>
      </c>
      <c r="E13" s="7">
        <f t="shared" si="2"/>
        <v>772.37393817600002</v>
      </c>
      <c r="F13" s="14">
        <f t="shared" si="3"/>
        <v>10495.647166463999</v>
      </c>
      <c r="G13" s="10">
        <f t="shared" si="4"/>
        <v>0.51183269124931197</v>
      </c>
      <c r="H13" s="10">
        <f t="shared" si="5"/>
        <v>3.3461750137589438E-2</v>
      </c>
      <c r="I13" s="15">
        <f t="shared" si="6"/>
        <v>0.45470555861309853</v>
      </c>
      <c r="J13" s="9">
        <f t="shared" si="7"/>
        <v>15.249784419509398</v>
      </c>
      <c r="K13" s="9">
        <f t="shared" si="8"/>
        <v>15.249784419509401</v>
      </c>
      <c r="L13" s="16">
        <f t="shared" si="9"/>
        <v>15.249784419509398</v>
      </c>
      <c r="M13" s="7">
        <f t="shared" si="10"/>
        <v>11882.293514239998</v>
      </c>
      <c r="N13" s="1">
        <v>3.6</v>
      </c>
      <c r="O13" s="9">
        <f t="shared" si="11"/>
        <v>1.8532065119471053</v>
      </c>
    </row>
    <row r="14" spans="2:15" x14ac:dyDescent="0.25">
      <c r="B14" s="1">
        <v>17000</v>
      </c>
      <c r="C14" s="7">
        <f t="shared" si="0"/>
        <v>599.88838399999997</v>
      </c>
      <c r="D14" s="7">
        <f t="shared" si="1"/>
        <v>12552.6644352</v>
      </c>
      <c r="E14" s="7">
        <f t="shared" si="2"/>
        <v>820.64730931200006</v>
      </c>
      <c r="F14" s="14">
        <f t="shared" si="3"/>
        <v>11151.625114368</v>
      </c>
      <c r="G14" s="10">
        <f t="shared" si="4"/>
        <v>0.51183269124931208</v>
      </c>
      <c r="H14" s="10">
        <f t="shared" si="5"/>
        <v>3.3461750137589438E-2</v>
      </c>
      <c r="I14" s="15">
        <f t="shared" si="6"/>
        <v>0.45470555861309853</v>
      </c>
      <c r="J14" s="9">
        <f t="shared" si="7"/>
        <v>15.2497844195094</v>
      </c>
      <c r="K14" s="9">
        <f t="shared" si="8"/>
        <v>15.249784419509401</v>
      </c>
      <c r="L14" s="16">
        <f t="shared" si="9"/>
        <v>15.2497844195094</v>
      </c>
      <c r="M14" s="7">
        <f t="shared" si="10"/>
        <v>12624.936858879999</v>
      </c>
      <c r="N14" s="1">
        <v>3.6</v>
      </c>
      <c r="O14" s="9">
        <f t="shared" si="11"/>
        <v>1.8532065119471053</v>
      </c>
    </row>
    <row r="15" spans="2:15" x14ac:dyDescent="0.25">
      <c r="B15" s="1">
        <v>18000</v>
      </c>
      <c r="C15" s="7">
        <f t="shared" si="0"/>
        <v>635.17593599999987</v>
      </c>
      <c r="D15" s="7">
        <f t="shared" si="1"/>
        <v>13291.056460799997</v>
      </c>
      <c r="E15" s="7">
        <f t="shared" si="2"/>
        <v>868.92068044799987</v>
      </c>
      <c r="F15" s="14">
        <f t="shared" si="3"/>
        <v>11807.603062271997</v>
      </c>
      <c r="G15" s="10">
        <f t="shared" si="4"/>
        <v>0.51183269124931197</v>
      </c>
      <c r="H15" s="10">
        <f t="shared" si="5"/>
        <v>3.3461750137589431E-2</v>
      </c>
      <c r="I15" s="15">
        <f t="shared" si="6"/>
        <v>0.45470555861309847</v>
      </c>
      <c r="J15" s="9">
        <f t="shared" si="7"/>
        <v>15.2497844195094</v>
      </c>
      <c r="K15" s="9">
        <f t="shared" si="8"/>
        <v>15.2497844195094</v>
      </c>
      <c r="L15" s="16">
        <f t="shared" si="9"/>
        <v>15.249784419509401</v>
      </c>
      <c r="M15" s="7">
        <f t="shared" si="10"/>
        <v>13367.580203519996</v>
      </c>
      <c r="N15" s="1">
        <v>3.6</v>
      </c>
      <c r="O15" s="9">
        <f t="shared" si="11"/>
        <v>1.8532065119471051</v>
      </c>
    </row>
    <row r="16" spans="2:15" x14ac:dyDescent="0.25">
      <c r="B16" s="1">
        <v>19000</v>
      </c>
      <c r="C16" s="7">
        <f t="shared" si="0"/>
        <v>670.46348799999987</v>
      </c>
      <c r="D16" s="7">
        <f t="shared" si="1"/>
        <v>14029.448486399997</v>
      </c>
      <c r="E16" s="7">
        <f t="shared" si="2"/>
        <v>917.19405158399991</v>
      </c>
      <c r="F16" s="14">
        <f t="shared" si="3"/>
        <v>12463.581010175996</v>
      </c>
      <c r="G16" s="10">
        <f t="shared" si="4"/>
        <v>0.51183269124931208</v>
      </c>
      <c r="H16" s="10">
        <f t="shared" si="5"/>
        <v>3.3461750137589438E-2</v>
      </c>
      <c r="I16" s="15">
        <f t="shared" si="6"/>
        <v>0.45470555861309847</v>
      </c>
      <c r="J16" s="9">
        <f t="shared" si="7"/>
        <v>15.249784419509403</v>
      </c>
      <c r="K16" s="9">
        <f t="shared" si="8"/>
        <v>15.249784419509403</v>
      </c>
      <c r="L16" s="16">
        <f t="shared" si="9"/>
        <v>15.249784419509401</v>
      </c>
      <c r="M16" s="7">
        <f t="shared" si="10"/>
        <v>14110.223548159993</v>
      </c>
      <c r="N16" s="1">
        <v>3.6</v>
      </c>
      <c r="O16" s="9">
        <f t="shared" si="11"/>
        <v>1.8532065119471048</v>
      </c>
    </row>
    <row r="17" spans="2:15" x14ac:dyDescent="0.25">
      <c r="B17" s="1">
        <v>20000</v>
      </c>
      <c r="C17" s="7">
        <f t="shared" si="0"/>
        <v>705.75103999999988</v>
      </c>
      <c r="D17" s="7">
        <f t="shared" si="1"/>
        <v>14767.840511999999</v>
      </c>
      <c r="E17" s="7">
        <f t="shared" si="2"/>
        <v>965.46742271999995</v>
      </c>
      <c r="F17" s="14">
        <f t="shared" si="3"/>
        <v>13119.558958079997</v>
      </c>
      <c r="G17" s="10">
        <f t="shared" si="4"/>
        <v>0.51183269124931208</v>
      </c>
      <c r="H17" s="10">
        <f t="shared" si="5"/>
        <v>3.3461750137589431E-2</v>
      </c>
      <c r="I17" s="15">
        <f t="shared" si="6"/>
        <v>0.45470555861309847</v>
      </c>
      <c r="J17" s="9">
        <f t="shared" si="7"/>
        <v>15.249784419509401</v>
      </c>
      <c r="K17" s="9">
        <f t="shared" si="8"/>
        <v>15.2497844195094</v>
      </c>
      <c r="L17" s="16">
        <f t="shared" si="9"/>
        <v>15.249784419509401</v>
      </c>
      <c r="M17" s="7">
        <f t="shared" si="10"/>
        <v>14852.866892799997</v>
      </c>
      <c r="N17" s="1">
        <v>3.6</v>
      </c>
      <c r="O17" s="9">
        <f t="shared" si="11"/>
        <v>1.8532065119471051</v>
      </c>
    </row>
    <row r="19" spans="2:15" x14ac:dyDescent="0.25">
      <c r="D19">
        <v>0.75</v>
      </c>
      <c r="E19">
        <v>0.76</v>
      </c>
      <c r="F19" s="12">
        <v>0.81</v>
      </c>
    </row>
    <row r="20" spans="2:15" x14ac:dyDescent="0.25">
      <c r="D20">
        <v>6.2</v>
      </c>
      <c r="E20">
        <v>0.4</v>
      </c>
      <c r="F20" s="12">
        <v>5.0999999999999996</v>
      </c>
    </row>
    <row r="21" spans="2:15" ht="15" customHeight="1" x14ac:dyDescent="0.25">
      <c r="B21" s="41" t="s">
        <v>33</v>
      </c>
      <c r="C21" s="41"/>
      <c r="D21" s="41" t="s">
        <v>37</v>
      </c>
      <c r="E21" s="41"/>
      <c r="F21" s="41"/>
      <c r="G21" s="1" t="s">
        <v>94</v>
      </c>
      <c r="H21" s="1"/>
      <c r="I21" s="46" t="s">
        <v>95</v>
      </c>
      <c r="J21" s="46"/>
      <c r="K21" s="46"/>
      <c r="L21" s="41" t="s">
        <v>61</v>
      </c>
      <c r="M21" s="41"/>
    </row>
    <row r="22" spans="2:15" ht="30" x14ac:dyDescent="0.25">
      <c r="B22" s="18" t="s">
        <v>6</v>
      </c>
      <c r="C22" s="18" t="s">
        <v>34</v>
      </c>
      <c r="D22" s="1" t="s">
        <v>39</v>
      </c>
      <c r="E22" s="1" t="s">
        <v>40</v>
      </c>
      <c r="F22" s="13" t="s">
        <v>36</v>
      </c>
      <c r="G22" s="13" t="s">
        <v>89</v>
      </c>
      <c r="H22" s="1" t="s">
        <v>7</v>
      </c>
      <c r="I22" s="1" t="s">
        <v>39</v>
      </c>
      <c r="J22" s="1" t="s">
        <v>40</v>
      </c>
      <c r="K22" s="13" t="s">
        <v>36</v>
      </c>
      <c r="L22" s="1" t="s">
        <v>7</v>
      </c>
      <c r="M22" s="13" t="s">
        <v>96</v>
      </c>
    </row>
    <row r="23" spans="2:15" x14ac:dyDescent="0.25">
      <c r="B23" s="1">
        <v>10000</v>
      </c>
      <c r="C23" s="7">
        <f>B23*3.28*3.28*3.28/1000</f>
        <v>352.87551999999994</v>
      </c>
      <c r="D23" s="7">
        <f>C23*$D$20*4.5*$D$19</f>
        <v>7383.9202559999994</v>
      </c>
      <c r="E23" s="7">
        <f>C23*$E$20*4.5*$E$19</f>
        <v>482.73371135999997</v>
      </c>
      <c r="F23" s="14">
        <f>C23*$F$20*4.5*$F$19</f>
        <v>6559.7794790399985</v>
      </c>
      <c r="G23" s="9">
        <f>J7+O7</f>
        <v>17.102990931456507</v>
      </c>
      <c r="H23" s="1">
        <f>G23*(F23+E23+D23)</f>
        <v>246735.16040704001</v>
      </c>
      <c r="I23" s="13">
        <v>30000</v>
      </c>
      <c r="J23" s="1">
        <f>I23*1.25</f>
        <v>37500</v>
      </c>
      <c r="K23" s="1">
        <f>I23*0.75</f>
        <v>22500</v>
      </c>
      <c r="L23" s="7">
        <f>(I23*F23+J23*E23+K23*D23)/1000</f>
        <v>381034.10430719994</v>
      </c>
      <c r="M23" s="7">
        <f>(L23-H23*1.1)*365/100000</f>
        <v>400.13281168701417</v>
      </c>
    </row>
    <row r="24" spans="2:15" x14ac:dyDescent="0.25">
      <c r="B24" s="1">
        <v>11000</v>
      </c>
      <c r="C24" s="7">
        <f t="shared" ref="C24:C33" si="12">B24*3.28*3.28*3.28/1000</f>
        <v>388.163072</v>
      </c>
      <c r="D24" s="7">
        <f t="shared" ref="D24:D33" si="13">C24*$D$4*4.5*$D$3</f>
        <v>8122.3122815999996</v>
      </c>
      <c r="E24" s="7">
        <f t="shared" ref="E24:E33" si="14">C24*$E$4*4.5*$E$3</f>
        <v>531.00708249600007</v>
      </c>
      <c r="F24" s="14">
        <f t="shared" ref="F24:F33" si="15">C24*$F$4*4.5*$F$3</f>
        <v>7215.7574269439992</v>
      </c>
      <c r="G24" s="9">
        <f t="shared" ref="G24:G33" si="16">J8+O8</f>
        <v>17.102990931456503</v>
      </c>
      <c r="H24" s="1">
        <f t="shared" ref="H24:H33" si="17">G24*(F24+E24+D24)</f>
        <v>271408.67644774396</v>
      </c>
      <c r="I24" s="13">
        <v>30000</v>
      </c>
      <c r="J24" s="1">
        <f t="shared" ref="J24:J33" si="18">I24*1.25</f>
        <v>37500</v>
      </c>
      <c r="K24" s="1">
        <f t="shared" ref="K24:K33" si="19">I24*0.75</f>
        <v>22500</v>
      </c>
      <c r="L24" s="7">
        <f t="shared" ref="L24:L33" si="20">(I24*F24+J24*E24+K24*D24)/1000</f>
        <v>419137.51473791996</v>
      </c>
      <c r="M24" s="7">
        <f>(L24-H24*1.1)*365/100000</f>
        <v>440.14609285571578</v>
      </c>
    </row>
    <row r="25" spans="2:15" x14ac:dyDescent="0.25">
      <c r="B25" s="1">
        <v>12000</v>
      </c>
      <c r="C25" s="7">
        <f t="shared" si="12"/>
        <v>423.45062399999995</v>
      </c>
      <c r="D25" s="7">
        <f t="shared" si="13"/>
        <v>8860.7043071999979</v>
      </c>
      <c r="E25" s="7">
        <f t="shared" si="14"/>
        <v>579.28045363199999</v>
      </c>
      <c r="F25" s="14">
        <f t="shared" si="15"/>
        <v>7871.735374848</v>
      </c>
      <c r="G25" s="9">
        <f t="shared" si="16"/>
        <v>17.102990931456503</v>
      </c>
      <c r="H25" s="1">
        <f t="shared" si="17"/>
        <v>296082.192488448</v>
      </c>
      <c r="I25" s="13">
        <v>30000</v>
      </c>
      <c r="J25" s="1">
        <f t="shared" si="18"/>
        <v>37500</v>
      </c>
      <c r="K25" s="1">
        <f t="shared" si="19"/>
        <v>22500</v>
      </c>
      <c r="L25" s="7">
        <f t="shared" si="20"/>
        <v>457240.92516863998</v>
      </c>
      <c r="M25" s="7">
        <f>(L25-H25*1.1)*365/100000</f>
        <v>480.1593740244171</v>
      </c>
    </row>
    <row r="26" spans="2:15" x14ac:dyDescent="0.25">
      <c r="B26" s="1">
        <v>13000</v>
      </c>
      <c r="C26" s="7">
        <f t="shared" si="12"/>
        <v>458.7381759999999</v>
      </c>
      <c r="D26" s="7">
        <f t="shared" si="13"/>
        <v>9599.096332799998</v>
      </c>
      <c r="E26" s="7">
        <f t="shared" si="14"/>
        <v>627.55382476799991</v>
      </c>
      <c r="F26" s="14">
        <f t="shared" si="15"/>
        <v>8527.7133227519989</v>
      </c>
      <c r="G26" s="9">
        <f t="shared" si="16"/>
        <v>17.102990931456507</v>
      </c>
      <c r="H26" s="1">
        <f t="shared" si="17"/>
        <v>320755.70852915198</v>
      </c>
      <c r="I26" s="13">
        <v>30000</v>
      </c>
      <c r="J26" s="1">
        <f t="shared" si="18"/>
        <v>37500</v>
      </c>
      <c r="K26" s="1">
        <f t="shared" si="19"/>
        <v>22500</v>
      </c>
      <c r="L26" s="7">
        <f t="shared" si="20"/>
        <v>495344.33559935988</v>
      </c>
      <c r="M26" s="7">
        <f>(L26-H26*1.1)*365/100000</f>
        <v>520.1726551931182</v>
      </c>
    </row>
    <row r="27" spans="2:15" x14ac:dyDescent="0.25">
      <c r="B27" s="1">
        <v>14000</v>
      </c>
      <c r="C27" s="7">
        <f t="shared" si="12"/>
        <v>494.0257279999999</v>
      </c>
      <c r="D27" s="7">
        <f t="shared" si="13"/>
        <v>10337.488358399998</v>
      </c>
      <c r="E27" s="7">
        <f t="shared" si="14"/>
        <v>675.82719590399995</v>
      </c>
      <c r="F27" s="14">
        <f t="shared" si="15"/>
        <v>9183.6912706559979</v>
      </c>
      <c r="G27" s="9">
        <f t="shared" si="16"/>
        <v>17.102990931456507</v>
      </c>
      <c r="H27" s="1">
        <f t="shared" si="17"/>
        <v>345429.22456985596</v>
      </c>
      <c r="I27" s="13">
        <v>30000</v>
      </c>
      <c r="J27" s="1">
        <f t="shared" si="18"/>
        <v>37500</v>
      </c>
      <c r="K27" s="1">
        <f t="shared" si="19"/>
        <v>22500</v>
      </c>
      <c r="L27" s="7">
        <f t="shared" si="20"/>
        <v>533447.7460300799</v>
      </c>
      <c r="M27" s="7">
        <f>(L27-H27*1.1)*365/100000</f>
        <v>560.18593636181981</v>
      </c>
    </row>
    <row r="28" spans="2:15" x14ac:dyDescent="0.25">
      <c r="B28" s="1">
        <v>15000</v>
      </c>
      <c r="C28" s="7">
        <f t="shared" si="12"/>
        <v>529.31327999999996</v>
      </c>
      <c r="D28" s="7">
        <f t="shared" si="13"/>
        <v>11075.880384</v>
      </c>
      <c r="E28" s="7">
        <f t="shared" si="14"/>
        <v>724.10056703999999</v>
      </c>
      <c r="F28" s="14">
        <f t="shared" si="15"/>
        <v>9839.6692185599986</v>
      </c>
      <c r="G28" s="9">
        <f t="shared" si="16"/>
        <v>17.102990931456503</v>
      </c>
      <c r="H28" s="1">
        <f t="shared" si="17"/>
        <v>370102.74061055994</v>
      </c>
      <c r="I28" s="13">
        <v>30000</v>
      </c>
      <c r="J28" s="1">
        <f t="shared" si="18"/>
        <v>37500</v>
      </c>
      <c r="K28" s="1">
        <f t="shared" si="19"/>
        <v>22500</v>
      </c>
      <c r="L28" s="7">
        <f t="shared" si="20"/>
        <v>571551.15646079998</v>
      </c>
      <c r="M28" s="7">
        <f>(L28-H28*1.1)*365/100000</f>
        <v>600.19921753052165</v>
      </c>
    </row>
    <row r="29" spans="2:15" x14ac:dyDescent="0.25">
      <c r="B29" s="1">
        <v>16000</v>
      </c>
      <c r="C29" s="7">
        <f t="shared" si="12"/>
        <v>564.60083199999997</v>
      </c>
      <c r="D29" s="7">
        <f t="shared" si="13"/>
        <v>11814.272409599998</v>
      </c>
      <c r="E29" s="7">
        <f t="shared" si="14"/>
        <v>772.37393817600002</v>
      </c>
      <c r="F29" s="14">
        <f t="shared" si="15"/>
        <v>10495.647166463999</v>
      </c>
      <c r="G29" s="9">
        <f t="shared" si="16"/>
        <v>17.102990931456503</v>
      </c>
      <c r="H29" s="1">
        <f t="shared" si="17"/>
        <v>394776.25665126398</v>
      </c>
      <c r="I29" s="13">
        <v>30000</v>
      </c>
      <c r="J29" s="1">
        <f t="shared" si="18"/>
        <v>37500</v>
      </c>
      <c r="K29" s="1">
        <f t="shared" si="19"/>
        <v>22500</v>
      </c>
      <c r="L29" s="7">
        <f t="shared" si="20"/>
        <v>609654.56689151993</v>
      </c>
      <c r="M29" s="7">
        <f>(L29-H29*1.1)*365/100000</f>
        <v>640.21249869922281</v>
      </c>
    </row>
    <row r="30" spans="2:15" x14ac:dyDescent="0.25">
      <c r="B30" s="1">
        <v>17000</v>
      </c>
      <c r="C30" s="7">
        <f t="shared" si="12"/>
        <v>599.88838399999997</v>
      </c>
      <c r="D30" s="7">
        <f t="shared" si="13"/>
        <v>12552.6644352</v>
      </c>
      <c r="E30" s="7">
        <f t="shared" si="14"/>
        <v>820.64730931200006</v>
      </c>
      <c r="F30" s="14">
        <f t="shared" si="15"/>
        <v>11151.625114368</v>
      </c>
      <c r="G30" s="9">
        <f t="shared" si="16"/>
        <v>17.102990931456503</v>
      </c>
      <c r="H30" s="1">
        <f t="shared" si="17"/>
        <v>419449.77269196796</v>
      </c>
      <c r="I30" s="13">
        <v>30000</v>
      </c>
      <c r="J30" s="1">
        <f t="shared" si="18"/>
        <v>37500</v>
      </c>
      <c r="K30" s="1">
        <f t="shared" si="19"/>
        <v>22500</v>
      </c>
      <c r="L30" s="7">
        <f t="shared" si="20"/>
        <v>647757.97732224001</v>
      </c>
      <c r="M30" s="7">
        <f>(L30-H30*1.1)*365/100000</f>
        <v>680.22577986792464</v>
      </c>
    </row>
    <row r="31" spans="2:15" x14ac:dyDescent="0.25">
      <c r="B31" s="1">
        <v>18000</v>
      </c>
      <c r="C31" s="7">
        <f t="shared" si="12"/>
        <v>635.17593599999987</v>
      </c>
      <c r="D31" s="7">
        <f t="shared" si="13"/>
        <v>13291.056460799997</v>
      </c>
      <c r="E31" s="7">
        <f t="shared" si="14"/>
        <v>868.92068044799987</v>
      </c>
      <c r="F31" s="14">
        <f t="shared" si="15"/>
        <v>11807.603062271997</v>
      </c>
      <c r="G31" s="9">
        <f t="shared" si="16"/>
        <v>17.102990931456503</v>
      </c>
      <c r="H31" s="1">
        <f t="shared" si="17"/>
        <v>444123.28873267188</v>
      </c>
      <c r="I31" s="13">
        <v>30000</v>
      </c>
      <c r="J31" s="1">
        <f t="shared" si="18"/>
        <v>37500</v>
      </c>
      <c r="K31" s="1">
        <f t="shared" si="19"/>
        <v>22500</v>
      </c>
      <c r="L31" s="7">
        <f t="shared" si="20"/>
        <v>685861.38775295974</v>
      </c>
      <c r="M31" s="7">
        <f>(L31-H31*1.1)*365/100000</f>
        <v>720.23906103662534</v>
      </c>
    </row>
    <row r="32" spans="2:15" x14ac:dyDescent="0.25">
      <c r="B32" s="1">
        <v>19000</v>
      </c>
      <c r="C32" s="7">
        <f t="shared" si="12"/>
        <v>670.46348799999987</v>
      </c>
      <c r="D32" s="7">
        <f t="shared" si="13"/>
        <v>14029.448486399997</v>
      </c>
      <c r="E32" s="7">
        <f t="shared" si="14"/>
        <v>917.19405158399991</v>
      </c>
      <c r="F32" s="14">
        <f t="shared" si="15"/>
        <v>12463.581010175996</v>
      </c>
      <c r="G32" s="9">
        <f t="shared" si="16"/>
        <v>17.102990931456507</v>
      </c>
      <c r="H32" s="1">
        <f t="shared" si="17"/>
        <v>468796.80477337597</v>
      </c>
      <c r="I32" s="13">
        <v>30000</v>
      </c>
      <c r="J32" s="1">
        <f t="shared" si="18"/>
        <v>37500</v>
      </c>
      <c r="K32" s="1">
        <f t="shared" si="19"/>
        <v>22500</v>
      </c>
      <c r="L32" s="7">
        <f t="shared" si="20"/>
        <v>723964.79818367981</v>
      </c>
      <c r="M32" s="7">
        <f>(L32-H32*1.1)*365/100000</f>
        <v>760.25234220532673</v>
      </c>
    </row>
    <row r="33" spans="2:19" x14ac:dyDescent="0.25">
      <c r="B33" s="1">
        <v>20000</v>
      </c>
      <c r="C33" s="7">
        <f t="shared" si="12"/>
        <v>705.75103999999988</v>
      </c>
      <c r="D33" s="7">
        <f t="shared" si="13"/>
        <v>14767.840511999999</v>
      </c>
      <c r="E33" s="7">
        <f t="shared" si="14"/>
        <v>965.46742271999995</v>
      </c>
      <c r="F33" s="14">
        <f t="shared" si="15"/>
        <v>13119.558958079997</v>
      </c>
      <c r="G33" s="9">
        <f t="shared" si="16"/>
        <v>17.102990931456507</v>
      </c>
      <c r="H33" s="1">
        <f t="shared" si="17"/>
        <v>493470.32081408001</v>
      </c>
      <c r="I33" s="13">
        <v>30000</v>
      </c>
      <c r="J33" s="1">
        <f t="shared" si="18"/>
        <v>37500</v>
      </c>
      <c r="K33" s="1">
        <f t="shared" si="19"/>
        <v>22500</v>
      </c>
      <c r="L33" s="7">
        <f t="shared" si="20"/>
        <v>762068.20861439989</v>
      </c>
      <c r="M33" s="7">
        <f>(L33-H33*1.1)*365/100000</f>
        <v>800.26562337402834</v>
      </c>
    </row>
    <row r="35" spans="2:19" x14ac:dyDescent="0.25">
      <c r="N35" s="42" t="s">
        <v>105</v>
      </c>
      <c r="O35" s="42"/>
      <c r="P35" s="42"/>
      <c r="Q35" s="42"/>
      <c r="R35" s="1" t="s">
        <v>98</v>
      </c>
      <c r="S35" s="1">
        <v>16.75</v>
      </c>
    </row>
    <row r="36" spans="2:19" x14ac:dyDescent="0.25">
      <c r="N36" s="42" t="s">
        <v>103</v>
      </c>
      <c r="O36" s="42"/>
      <c r="P36" s="42"/>
      <c r="Q36" s="42"/>
      <c r="R36" s="1" t="s">
        <v>98</v>
      </c>
      <c r="S36" s="9">
        <f>M23/100</f>
        <v>4.001328116870142</v>
      </c>
    </row>
    <row r="37" spans="2:19" x14ac:dyDescent="0.25">
      <c r="N37" s="42" t="s">
        <v>104</v>
      </c>
      <c r="O37" s="42"/>
      <c r="P37" s="42"/>
      <c r="Q37" s="42"/>
      <c r="R37" s="1" t="s">
        <v>101</v>
      </c>
      <c r="S37" s="9">
        <f>S35/S36</f>
        <v>4.1861100891425842</v>
      </c>
    </row>
    <row r="38" spans="2:19" x14ac:dyDescent="0.25">
      <c r="B38" s="39" t="s">
        <v>0</v>
      </c>
      <c r="C38" s="40"/>
      <c r="N38" s="42"/>
      <c r="O38" s="42"/>
      <c r="P38" s="42"/>
      <c r="Q38" s="42"/>
      <c r="R38" s="1" t="s">
        <v>102</v>
      </c>
      <c r="S38" s="7">
        <f>S37*12</f>
        <v>50.23332106971101</v>
      </c>
    </row>
    <row r="39" spans="2:19" x14ac:dyDescent="0.25">
      <c r="B39" s="1" t="s">
        <v>1</v>
      </c>
      <c r="C39" s="1" t="s">
        <v>35</v>
      </c>
      <c r="F39" s="12">
        <v>2500000</v>
      </c>
      <c r="G39">
        <f>F39*67/100000</f>
        <v>1675</v>
      </c>
    </row>
    <row r="40" spans="2:19" x14ac:dyDescent="0.25">
      <c r="B40" s="1">
        <v>15</v>
      </c>
      <c r="C40" s="9">
        <f>B40/(3.28*3.28*3.28)*1000/67</f>
        <v>6.3444638215460634</v>
      </c>
    </row>
    <row r="41" spans="2:19" x14ac:dyDescent="0.25">
      <c r="B41" s="1">
        <v>20</v>
      </c>
      <c r="C41" s="9">
        <f t="shared" ref="C41:C47" si="21">B41/(3.28*3.28*3.28)*1000/67</f>
        <v>8.4592850953947494</v>
      </c>
    </row>
    <row r="42" spans="2:19" x14ac:dyDescent="0.25">
      <c r="B42" s="19">
        <v>22</v>
      </c>
      <c r="C42" s="20">
        <f t="shared" si="21"/>
        <v>9.3052136049342256</v>
      </c>
    </row>
    <row r="43" spans="2:19" x14ac:dyDescent="0.25">
      <c r="B43" s="19">
        <v>24</v>
      </c>
      <c r="C43" s="20">
        <f t="shared" si="21"/>
        <v>10.1511421144737</v>
      </c>
    </row>
    <row r="44" spans="2:19" x14ac:dyDescent="0.25">
      <c r="B44" s="19">
        <v>26</v>
      </c>
      <c r="C44" s="20">
        <f t="shared" si="21"/>
        <v>10.997070624013176</v>
      </c>
    </row>
    <row r="45" spans="2:19" x14ac:dyDescent="0.25">
      <c r="B45" s="1">
        <v>28</v>
      </c>
      <c r="C45" s="9">
        <f t="shared" si="21"/>
        <v>11.842999133552651</v>
      </c>
    </row>
    <row r="46" spans="2:19" x14ac:dyDescent="0.25">
      <c r="B46" s="1">
        <v>30</v>
      </c>
      <c r="C46" s="9">
        <f t="shared" si="21"/>
        <v>12.688927643092127</v>
      </c>
    </row>
    <row r="47" spans="2:19" x14ac:dyDescent="0.25">
      <c r="B47" s="1">
        <v>35</v>
      </c>
      <c r="C47" s="9">
        <f t="shared" si="21"/>
        <v>14.803748916940815</v>
      </c>
    </row>
  </sheetData>
  <mergeCells count="14">
    <mergeCell ref="B38:C38"/>
    <mergeCell ref="B21:C21"/>
    <mergeCell ref="D21:F21"/>
    <mergeCell ref="N38:Q38"/>
    <mergeCell ref="B5:C5"/>
    <mergeCell ref="D5:F5"/>
    <mergeCell ref="G5:I5"/>
    <mergeCell ref="J5:L5"/>
    <mergeCell ref="M5:O5"/>
    <mergeCell ref="L21:M21"/>
    <mergeCell ref="N35:Q35"/>
    <mergeCell ref="N36:Q36"/>
    <mergeCell ref="N37:Q37"/>
    <mergeCell ref="I21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6"/>
  <sheetViews>
    <sheetView topLeftCell="A10" workbookViewId="0">
      <selection activeCell="D30" sqref="D3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7.85546875" bestFit="1" customWidth="1"/>
    <col min="4" max="4" width="9" bestFit="1" customWidth="1"/>
    <col min="5" max="5" width="7.7109375" bestFit="1" customWidth="1"/>
    <col min="6" max="6" width="7.5703125" bestFit="1" customWidth="1"/>
    <col min="7" max="7" width="7.85546875" bestFit="1" customWidth="1"/>
    <col min="8" max="8" width="6.7109375" bestFit="1" customWidth="1"/>
    <col min="9" max="9" width="6.42578125" bestFit="1" customWidth="1"/>
    <col min="10" max="10" width="7.5703125" bestFit="1" customWidth="1"/>
    <col min="11" max="11" width="7.85546875" bestFit="1" customWidth="1"/>
    <col min="12" max="14" width="7" bestFit="1" customWidth="1"/>
    <col min="15" max="15" width="6.5703125" bestFit="1" customWidth="1"/>
    <col min="16" max="16" width="10.5703125" bestFit="1" customWidth="1"/>
    <col min="17" max="17" width="6.5703125" bestFit="1" customWidth="1"/>
    <col min="18" max="18" width="8.28515625" bestFit="1" customWidth="1"/>
  </cols>
  <sheetData>
    <row r="3" spans="1:18" x14ac:dyDescent="0.25">
      <c r="B3" s="47" t="s">
        <v>46</v>
      </c>
      <c r="C3" s="47"/>
      <c r="D3" s="47"/>
      <c r="E3" s="47"/>
    </row>
    <row r="4" spans="1:18" ht="30" x14ac:dyDescent="0.25">
      <c r="B4" s="25" t="s">
        <v>33</v>
      </c>
      <c r="C4" s="18" t="s">
        <v>47</v>
      </c>
      <c r="D4" s="18" t="s">
        <v>31</v>
      </c>
      <c r="E4" s="18" t="s">
        <v>48</v>
      </c>
    </row>
    <row r="5" spans="1:18" x14ac:dyDescent="0.25">
      <c r="B5" s="18" t="s">
        <v>15</v>
      </c>
      <c r="C5" s="18" t="s">
        <v>49</v>
      </c>
      <c r="D5" s="18" t="s">
        <v>50</v>
      </c>
      <c r="E5" s="18" t="s">
        <v>51</v>
      </c>
    </row>
    <row r="6" spans="1:18" x14ac:dyDescent="0.25">
      <c r="B6" s="17">
        <v>470</v>
      </c>
      <c r="C6" s="17">
        <v>0.78</v>
      </c>
      <c r="D6" s="17">
        <v>178</v>
      </c>
      <c r="E6" s="17">
        <v>3.5</v>
      </c>
    </row>
    <row r="9" spans="1:18" ht="30" x14ac:dyDescent="0.25">
      <c r="A9" s="13" t="s">
        <v>52</v>
      </c>
      <c r="B9" s="25" t="s">
        <v>33</v>
      </c>
      <c r="C9" s="18" t="s">
        <v>47</v>
      </c>
      <c r="D9" s="18" t="s">
        <v>31</v>
      </c>
      <c r="E9" s="18" t="s">
        <v>48</v>
      </c>
      <c r="F9" s="25" t="s">
        <v>33</v>
      </c>
      <c r="G9" s="18" t="s">
        <v>47</v>
      </c>
      <c r="H9" s="18" t="s">
        <v>31</v>
      </c>
      <c r="I9" s="18" t="s">
        <v>48</v>
      </c>
      <c r="J9" s="25" t="s">
        <v>33</v>
      </c>
      <c r="K9" s="18" t="s">
        <v>47</v>
      </c>
      <c r="L9" s="18" t="s">
        <v>31</v>
      </c>
      <c r="M9" s="18" t="s">
        <v>48</v>
      </c>
      <c r="N9" s="48" t="s">
        <v>63</v>
      </c>
      <c r="O9" s="49"/>
      <c r="P9" s="24" t="s">
        <v>59</v>
      </c>
      <c r="Q9" s="50" t="s">
        <v>61</v>
      </c>
      <c r="R9" s="50"/>
    </row>
    <row r="10" spans="1:18" ht="30" x14ac:dyDescent="0.25">
      <c r="A10" s="1" t="s">
        <v>30</v>
      </c>
      <c r="B10" s="25" t="s">
        <v>64</v>
      </c>
      <c r="C10" s="25" t="s">
        <v>53</v>
      </c>
      <c r="D10" s="25" t="s">
        <v>54</v>
      </c>
      <c r="E10" s="25" t="s">
        <v>55</v>
      </c>
      <c r="F10" s="25" t="s">
        <v>65</v>
      </c>
      <c r="G10" s="25" t="s">
        <v>56</v>
      </c>
      <c r="H10" s="25" t="s">
        <v>66</v>
      </c>
      <c r="I10" s="25" t="s">
        <v>67</v>
      </c>
      <c r="J10" s="25" t="s">
        <v>68</v>
      </c>
      <c r="K10" s="25" t="s">
        <v>68</v>
      </c>
      <c r="L10" s="25" t="s">
        <v>7</v>
      </c>
      <c r="M10" s="25" t="s">
        <v>7</v>
      </c>
      <c r="N10" s="24" t="s">
        <v>7</v>
      </c>
      <c r="O10" s="24" t="s">
        <v>56</v>
      </c>
      <c r="P10" s="24" t="s">
        <v>60</v>
      </c>
      <c r="Q10" s="22" t="s">
        <v>56</v>
      </c>
      <c r="R10" s="24" t="s">
        <v>62</v>
      </c>
    </row>
    <row r="11" spans="1:18" x14ac:dyDescent="0.25">
      <c r="A11" s="9">
        <f>B11/$B$6</f>
        <v>21.276595744680851</v>
      </c>
      <c r="B11" s="1">
        <v>10000</v>
      </c>
      <c r="C11" s="9">
        <f>$C$6*A11</f>
        <v>16.595744680851062</v>
      </c>
      <c r="D11" s="7">
        <f>$D$6*A11</f>
        <v>3787.2340425531916</v>
      </c>
      <c r="E11" s="21">
        <f>$E$6*A11</f>
        <v>74.468085106382972</v>
      </c>
      <c r="F11" s="1">
        <v>25</v>
      </c>
      <c r="G11" s="1">
        <v>7625</v>
      </c>
      <c r="H11" s="1">
        <v>6</v>
      </c>
      <c r="I11" s="1">
        <v>32</v>
      </c>
      <c r="J11" s="1">
        <f>F11*B11</f>
        <v>250000</v>
      </c>
      <c r="K11" s="7">
        <f t="shared" ref="K11:M11" si="0">G11*C11</f>
        <v>126542.55319148935</v>
      </c>
      <c r="L11" s="7">
        <f t="shared" si="0"/>
        <v>22723.40425531915</v>
      </c>
      <c r="M11" s="7">
        <f t="shared" si="0"/>
        <v>2382.9787234042551</v>
      </c>
      <c r="N11" s="23">
        <f>SUM(J11:M11)</f>
        <v>401648.93617021275</v>
      </c>
      <c r="O11" s="23">
        <f>N11/A11</f>
        <v>18877.5</v>
      </c>
      <c r="P11" s="1">
        <v>32790</v>
      </c>
      <c r="Q11" s="7">
        <f>P11-O11*1.2</f>
        <v>10137</v>
      </c>
      <c r="R11" s="7">
        <f>Q11*365*A11/100000</f>
        <v>787.23510638297876</v>
      </c>
    </row>
    <row r="12" spans="1:18" x14ac:dyDescent="0.25">
      <c r="A12" s="9">
        <f t="shared" ref="A12:A21" si="1">B12/$B$6</f>
        <v>23.404255319148938</v>
      </c>
      <c r="B12" s="1">
        <v>11000</v>
      </c>
      <c r="C12" s="9">
        <f t="shared" ref="C12:C21" si="2">$C$6*A12</f>
        <v>18.25531914893617</v>
      </c>
      <c r="D12" s="7">
        <f t="shared" ref="D12:D21" si="3">$D$6*A12</f>
        <v>4165.9574468085111</v>
      </c>
      <c r="E12" s="21">
        <f t="shared" ref="E12:E21" si="4">$E$6*A12</f>
        <v>81.914893617021278</v>
      </c>
      <c r="F12" s="1">
        <v>25</v>
      </c>
      <c r="G12" s="1">
        <v>7625</v>
      </c>
      <c r="H12" s="1">
        <v>6</v>
      </c>
      <c r="I12" s="1">
        <v>32</v>
      </c>
      <c r="J12" s="1">
        <f t="shared" ref="J12:J21" si="5">F12*B12</f>
        <v>275000</v>
      </c>
      <c r="K12" s="7">
        <f t="shared" ref="K12:K21" si="6">G12*C12</f>
        <v>139196.80851063831</v>
      </c>
      <c r="L12" s="7">
        <f t="shared" ref="L12:L21" si="7">H12*D12</f>
        <v>24995.744680851065</v>
      </c>
      <c r="M12" s="7">
        <f t="shared" ref="M12:M21" si="8">I12*E12</f>
        <v>2621.2765957446809</v>
      </c>
      <c r="N12" s="23">
        <f t="shared" ref="N12:N21" si="9">SUM(J12:M12)</f>
        <v>441813.82978723402</v>
      </c>
      <c r="O12" s="23">
        <f t="shared" ref="O12:O21" si="10">N12/A12</f>
        <v>18877.499999999996</v>
      </c>
      <c r="P12" s="1">
        <v>32790</v>
      </c>
      <c r="Q12" s="7">
        <f t="shared" ref="Q12:Q21" si="11">P12-O12*1.2</f>
        <v>10137.000000000004</v>
      </c>
      <c r="R12" s="7">
        <f t="shared" ref="R12:R21" si="12">Q12*365*A12/100000</f>
        <v>865.95861702127695</v>
      </c>
    </row>
    <row r="13" spans="1:18" x14ac:dyDescent="0.25">
      <c r="A13" s="9">
        <f t="shared" si="1"/>
        <v>25.531914893617021</v>
      </c>
      <c r="B13" s="1">
        <v>12000</v>
      </c>
      <c r="C13" s="9">
        <f t="shared" si="2"/>
        <v>19.914893617021278</v>
      </c>
      <c r="D13" s="7">
        <f t="shared" si="3"/>
        <v>4544.6808510638293</v>
      </c>
      <c r="E13" s="21">
        <f t="shared" si="4"/>
        <v>89.361702127659569</v>
      </c>
      <c r="F13" s="1">
        <v>25</v>
      </c>
      <c r="G13" s="1">
        <v>7625</v>
      </c>
      <c r="H13" s="1">
        <v>6</v>
      </c>
      <c r="I13" s="1">
        <v>32</v>
      </c>
      <c r="J13" s="1">
        <f t="shared" si="5"/>
        <v>300000</v>
      </c>
      <c r="K13" s="7">
        <f t="shared" si="6"/>
        <v>151851.06382978725</v>
      </c>
      <c r="L13" s="7">
        <f t="shared" si="7"/>
        <v>27268.085106382976</v>
      </c>
      <c r="M13" s="7">
        <f t="shared" si="8"/>
        <v>2859.5744680851062</v>
      </c>
      <c r="N13" s="23">
        <f t="shared" si="9"/>
        <v>481978.72340425535</v>
      </c>
      <c r="O13" s="23">
        <f t="shared" si="10"/>
        <v>18877.5</v>
      </c>
      <c r="P13" s="1">
        <v>32790</v>
      </c>
      <c r="Q13" s="7">
        <f t="shared" si="11"/>
        <v>10137</v>
      </c>
      <c r="R13" s="7">
        <f t="shared" si="12"/>
        <v>944.68212765957446</v>
      </c>
    </row>
    <row r="14" spans="1:18" x14ac:dyDescent="0.25">
      <c r="A14" s="9">
        <f t="shared" si="1"/>
        <v>27.659574468085108</v>
      </c>
      <c r="B14" s="1">
        <v>13000</v>
      </c>
      <c r="C14" s="9">
        <f t="shared" si="2"/>
        <v>21.574468085106385</v>
      </c>
      <c r="D14" s="7">
        <f t="shared" si="3"/>
        <v>4923.4042553191493</v>
      </c>
      <c r="E14" s="21">
        <f t="shared" si="4"/>
        <v>96.808510638297875</v>
      </c>
      <c r="F14" s="1">
        <v>25</v>
      </c>
      <c r="G14" s="1">
        <v>7625</v>
      </c>
      <c r="H14" s="1">
        <v>6</v>
      </c>
      <c r="I14" s="1">
        <v>32</v>
      </c>
      <c r="J14" s="1">
        <f t="shared" si="5"/>
        <v>325000</v>
      </c>
      <c r="K14" s="7">
        <f t="shared" si="6"/>
        <v>164505.31914893619</v>
      </c>
      <c r="L14" s="7">
        <f t="shared" si="7"/>
        <v>29540.425531914894</v>
      </c>
      <c r="M14" s="7">
        <f t="shared" si="8"/>
        <v>3097.872340425532</v>
      </c>
      <c r="N14" s="23">
        <f t="shared" si="9"/>
        <v>522143.61702127667</v>
      </c>
      <c r="O14" s="23">
        <f t="shared" si="10"/>
        <v>18877.500000000004</v>
      </c>
      <c r="P14" s="1">
        <v>32790</v>
      </c>
      <c r="Q14" s="7">
        <f t="shared" si="11"/>
        <v>10136.999999999996</v>
      </c>
      <c r="R14" s="7">
        <f t="shared" si="12"/>
        <v>1023.405638297872</v>
      </c>
    </row>
    <row r="15" spans="1:18" x14ac:dyDescent="0.25">
      <c r="A15" s="9">
        <f t="shared" si="1"/>
        <v>29.787234042553191</v>
      </c>
      <c r="B15" s="1">
        <v>14000</v>
      </c>
      <c r="C15" s="9">
        <f t="shared" si="2"/>
        <v>23.23404255319149</v>
      </c>
      <c r="D15" s="7">
        <f t="shared" si="3"/>
        <v>5302.1276595744675</v>
      </c>
      <c r="E15" s="21">
        <f t="shared" si="4"/>
        <v>104.25531914893617</v>
      </c>
      <c r="F15" s="1">
        <v>25</v>
      </c>
      <c r="G15" s="1">
        <v>7625</v>
      </c>
      <c r="H15" s="1">
        <v>6</v>
      </c>
      <c r="I15" s="1">
        <v>32</v>
      </c>
      <c r="J15" s="1">
        <f t="shared" si="5"/>
        <v>350000</v>
      </c>
      <c r="K15" s="7">
        <f t="shared" si="6"/>
        <v>177159.57446808511</v>
      </c>
      <c r="L15" s="7">
        <f t="shared" si="7"/>
        <v>31812.765957446805</v>
      </c>
      <c r="M15" s="7">
        <f t="shared" si="8"/>
        <v>3336.1702127659573</v>
      </c>
      <c r="N15" s="23">
        <f t="shared" si="9"/>
        <v>562308.51063829777</v>
      </c>
      <c r="O15" s="23">
        <f t="shared" si="10"/>
        <v>18877.499999999996</v>
      </c>
      <c r="P15" s="1">
        <v>32790</v>
      </c>
      <c r="Q15" s="7">
        <f t="shared" si="11"/>
        <v>10137.000000000004</v>
      </c>
      <c r="R15" s="7">
        <f t="shared" si="12"/>
        <v>1102.1291489361706</v>
      </c>
    </row>
    <row r="16" spans="1:18" x14ac:dyDescent="0.25">
      <c r="A16" s="9">
        <f t="shared" si="1"/>
        <v>31.914893617021278</v>
      </c>
      <c r="B16" s="1">
        <v>15000</v>
      </c>
      <c r="C16" s="9">
        <f t="shared" si="2"/>
        <v>24.893617021276597</v>
      </c>
      <c r="D16" s="7">
        <f t="shared" si="3"/>
        <v>5680.8510638297876</v>
      </c>
      <c r="E16" s="21">
        <f t="shared" si="4"/>
        <v>111.70212765957447</v>
      </c>
      <c r="F16" s="1">
        <v>25</v>
      </c>
      <c r="G16" s="1">
        <v>7625</v>
      </c>
      <c r="H16" s="1">
        <v>6</v>
      </c>
      <c r="I16" s="1">
        <v>32</v>
      </c>
      <c r="J16" s="1">
        <f t="shared" si="5"/>
        <v>375000</v>
      </c>
      <c r="K16" s="7">
        <f t="shared" si="6"/>
        <v>189813.82978723405</v>
      </c>
      <c r="L16" s="7">
        <f t="shared" si="7"/>
        <v>34085.106382978724</v>
      </c>
      <c r="M16" s="7">
        <f t="shared" si="8"/>
        <v>3574.4680851063831</v>
      </c>
      <c r="N16" s="23">
        <f t="shared" si="9"/>
        <v>602473.40425531915</v>
      </c>
      <c r="O16" s="23">
        <f t="shared" si="10"/>
        <v>18877.5</v>
      </c>
      <c r="P16" s="1">
        <v>32790</v>
      </c>
      <c r="Q16" s="7">
        <f t="shared" si="11"/>
        <v>10137</v>
      </c>
      <c r="R16" s="7">
        <f t="shared" si="12"/>
        <v>1180.8526595744681</v>
      </c>
    </row>
    <row r="17" spans="1:18" x14ac:dyDescent="0.25">
      <c r="A17" s="9">
        <f t="shared" si="1"/>
        <v>34.042553191489361</v>
      </c>
      <c r="B17" s="1">
        <v>16000</v>
      </c>
      <c r="C17" s="9">
        <f t="shared" si="2"/>
        <v>26.553191489361701</v>
      </c>
      <c r="D17" s="7">
        <f t="shared" si="3"/>
        <v>6059.5744680851067</v>
      </c>
      <c r="E17" s="21">
        <f t="shared" si="4"/>
        <v>119.14893617021276</v>
      </c>
      <c r="F17" s="1">
        <v>25</v>
      </c>
      <c r="G17" s="1">
        <v>7625</v>
      </c>
      <c r="H17" s="1">
        <v>6</v>
      </c>
      <c r="I17" s="1">
        <v>32</v>
      </c>
      <c r="J17" s="1">
        <f t="shared" si="5"/>
        <v>400000</v>
      </c>
      <c r="K17" s="7">
        <f t="shared" si="6"/>
        <v>202468.08510638296</v>
      </c>
      <c r="L17" s="7">
        <f t="shared" si="7"/>
        <v>36357.446808510642</v>
      </c>
      <c r="M17" s="7">
        <f t="shared" si="8"/>
        <v>3812.7659574468084</v>
      </c>
      <c r="N17" s="23">
        <f t="shared" si="9"/>
        <v>642638.29787234042</v>
      </c>
      <c r="O17" s="23">
        <f t="shared" si="10"/>
        <v>18877.5</v>
      </c>
      <c r="P17" s="1">
        <v>32790</v>
      </c>
      <c r="Q17" s="7">
        <f t="shared" si="11"/>
        <v>10137</v>
      </c>
      <c r="R17" s="7">
        <f t="shared" si="12"/>
        <v>1259.5761702127659</v>
      </c>
    </row>
    <row r="18" spans="1:18" x14ac:dyDescent="0.25">
      <c r="A18" s="9">
        <f t="shared" si="1"/>
        <v>36.170212765957444</v>
      </c>
      <c r="B18" s="1">
        <v>17000</v>
      </c>
      <c r="C18" s="9">
        <f t="shared" si="2"/>
        <v>28.212765957446809</v>
      </c>
      <c r="D18" s="7">
        <f t="shared" si="3"/>
        <v>6438.2978723404249</v>
      </c>
      <c r="E18" s="21">
        <f t="shared" si="4"/>
        <v>126.59574468085106</v>
      </c>
      <c r="F18" s="1">
        <v>25</v>
      </c>
      <c r="G18" s="1">
        <v>7625</v>
      </c>
      <c r="H18" s="1">
        <v>6</v>
      </c>
      <c r="I18" s="1">
        <v>32</v>
      </c>
      <c r="J18" s="1">
        <f t="shared" si="5"/>
        <v>425000</v>
      </c>
      <c r="K18" s="7">
        <f t="shared" si="6"/>
        <v>215122.34042553193</v>
      </c>
      <c r="L18" s="7">
        <f t="shared" si="7"/>
        <v>38629.787234042553</v>
      </c>
      <c r="M18" s="7">
        <f t="shared" si="8"/>
        <v>4051.0638297872338</v>
      </c>
      <c r="N18" s="23">
        <f t="shared" si="9"/>
        <v>682803.19148936169</v>
      </c>
      <c r="O18" s="23">
        <f t="shared" si="10"/>
        <v>18877.5</v>
      </c>
      <c r="P18" s="1">
        <v>32790</v>
      </c>
      <c r="Q18" s="7">
        <f t="shared" si="11"/>
        <v>10137</v>
      </c>
      <c r="R18" s="7">
        <f t="shared" si="12"/>
        <v>1338.2996808510638</v>
      </c>
    </row>
    <row r="19" spans="1:18" x14ac:dyDescent="0.25">
      <c r="A19" s="9">
        <f t="shared" si="1"/>
        <v>38.297872340425535</v>
      </c>
      <c r="B19" s="1">
        <v>18000</v>
      </c>
      <c r="C19" s="9">
        <f t="shared" si="2"/>
        <v>29.872340425531917</v>
      </c>
      <c r="D19" s="7">
        <f t="shared" si="3"/>
        <v>6817.0212765957449</v>
      </c>
      <c r="E19" s="21">
        <f t="shared" si="4"/>
        <v>134.04255319148936</v>
      </c>
      <c r="F19" s="1">
        <v>25</v>
      </c>
      <c r="G19" s="1">
        <v>7625</v>
      </c>
      <c r="H19" s="1">
        <v>6</v>
      </c>
      <c r="I19" s="1">
        <v>32</v>
      </c>
      <c r="J19" s="1">
        <f t="shared" si="5"/>
        <v>450000</v>
      </c>
      <c r="K19" s="7">
        <f t="shared" si="6"/>
        <v>227776.59574468088</v>
      </c>
      <c r="L19" s="7">
        <f t="shared" si="7"/>
        <v>40902.127659574471</v>
      </c>
      <c r="M19" s="7">
        <f t="shared" si="8"/>
        <v>4289.3617021276596</v>
      </c>
      <c r="N19" s="23">
        <f t="shared" si="9"/>
        <v>722968.08510638296</v>
      </c>
      <c r="O19" s="23">
        <f t="shared" si="10"/>
        <v>18877.499999999996</v>
      </c>
      <c r="P19" s="1">
        <v>32790</v>
      </c>
      <c r="Q19" s="7">
        <f t="shared" si="11"/>
        <v>10137.000000000004</v>
      </c>
      <c r="R19" s="7">
        <f t="shared" si="12"/>
        <v>1417.0231914893625</v>
      </c>
    </row>
    <row r="20" spans="1:18" x14ac:dyDescent="0.25">
      <c r="A20" s="9">
        <f t="shared" si="1"/>
        <v>40.425531914893618</v>
      </c>
      <c r="B20" s="1">
        <v>19000</v>
      </c>
      <c r="C20" s="9">
        <f t="shared" si="2"/>
        <v>31.531914893617024</v>
      </c>
      <c r="D20" s="7">
        <f t="shared" si="3"/>
        <v>7195.744680851064</v>
      </c>
      <c r="E20" s="21">
        <f t="shared" si="4"/>
        <v>141.48936170212767</v>
      </c>
      <c r="F20" s="1">
        <v>25</v>
      </c>
      <c r="G20" s="1">
        <v>7625</v>
      </c>
      <c r="H20" s="1">
        <v>6</v>
      </c>
      <c r="I20" s="1">
        <v>32</v>
      </c>
      <c r="J20" s="1">
        <f t="shared" si="5"/>
        <v>475000</v>
      </c>
      <c r="K20" s="7">
        <f t="shared" si="6"/>
        <v>240430.85106382982</v>
      </c>
      <c r="L20" s="7">
        <f t="shared" si="7"/>
        <v>43174.468085106382</v>
      </c>
      <c r="M20" s="7">
        <f t="shared" si="8"/>
        <v>4527.6595744680853</v>
      </c>
      <c r="N20" s="23">
        <f t="shared" si="9"/>
        <v>763132.97872340423</v>
      </c>
      <c r="O20" s="23">
        <f t="shared" si="10"/>
        <v>18877.5</v>
      </c>
      <c r="P20" s="1">
        <v>32790</v>
      </c>
      <c r="Q20" s="7">
        <f t="shared" si="11"/>
        <v>10137</v>
      </c>
      <c r="R20" s="7">
        <f t="shared" si="12"/>
        <v>1495.7467021276595</v>
      </c>
    </row>
    <row r="21" spans="1:18" x14ac:dyDescent="0.25">
      <c r="A21" s="9">
        <f t="shared" si="1"/>
        <v>42.553191489361701</v>
      </c>
      <c r="B21" s="1">
        <v>20000</v>
      </c>
      <c r="C21" s="9">
        <f t="shared" si="2"/>
        <v>33.191489361702125</v>
      </c>
      <c r="D21" s="7">
        <f t="shared" si="3"/>
        <v>7574.4680851063831</v>
      </c>
      <c r="E21" s="21">
        <f t="shared" si="4"/>
        <v>148.93617021276594</v>
      </c>
      <c r="F21" s="1">
        <v>25</v>
      </c>
      <c r="G21" s="1">
        <v>7625</v>
      </c>
      <c r="H21" s="1">
        <v>6</v>
      </c>
      <c r="I21" s="1">
        <v>32</v>
      </c>
      <c r="J21" s="1">
        <f t="shared" si="5"/>
        <v>500000</v>
      </c>
      <c r="K21" s="7">
        <f t="shared" si="6"/>
        <v>253085.1063829787</v>
      </c>
      <c r="L21" s="7">
        <f t="shared" si="7"/>
        <v>45446.808510638301</v>
      </c>
      <c r="M21" s="7">
        <f t="shared" si="8"/>
        <v>4765.9574468085102</v>
      </c>
      <c r="N21" s="23">
        <f t="shared" si="9"/>
        <v>803297.8723404255</v>
      </c>
      <c r="O21" s="23">
        <f t="shared" si="10"/>
        <v>18877.5</v>
      </c>
      <c r="P21" s="1">
        <v>32790</v>
      </c>
      <c r="Q21" s="7">
        <f t="shared" si="11"/>
        <v>10137</v>
      </c>
      <c r="R21" s="7">
        <f t="shared" si="12"/>
        <v>1574.4702127659575</v>
      </c>
    </row>
    <row r="23" spans="1:18" x14ac:dyDescent="0.25">
      <c r="B23" s="42" t="s">
        <v>106</v>
      </c>
      <c r="C23" s="42"/>
      <c r="D23" s="42"/>
      <c r="E23" s="42"/>
      <c r="F23" s="1" t="s">
        <v>98</v>
      </c>
      <c r="G23" s="1">
        <v>45</v>
      </c>
    </row>
    <row r="24" spans="1:18" x14ac:dyDescent="0.25">
      <c r="B24" s="42" t="s">
        <v>103</v>
      </c>
      <c r="C24" s="42"/>
      <c r="D24" s="42"/>
      <c r="E24" s="42"/>
      <c r="F24" s="1" t="s">
        <v>98</v>
      </c>
      <c r="G24" s="9">
        <f>R11/100</f>
        <v>7.8723510638297878</v>
      </c>
    </row>
    <row r="25" spans="1:18" x14ac:dyDescent="0.25">
      <c r="B25" s="42" t="s">
        <v>104</v>
      </c>
      <c r="C25" s="42"/>
      <c r="D25" s="42"/>
      <c r="E25" s="42"/>
      <c r="F25" s="1" t="s">
        <v>101</v>
      </c>
      <c r="G25" s="9">
        <f>G23/G24</f>
        <v>5.7162084916101463</v>
      </c>
    </row>
    <row r="26" spans="1:18" x14ac:dyDescent="0.25">
      <c r="B26" s="42"/>
      <c r="C26" s="42"/>
      <c r="D26" s="42"/>
      <c r="E26" s="42"/>
      <c r="F26" s="1" t="s">
        <v>102</v>
      </c>
      <c r="G26" s="7">
        <f>G25*12</f>
        <v>68.594501899321756</v>
      </c>
    </row>
  </sheetData>
  <mergeCells count="7">
    <mergeCell ref="B25:E25"/>
    <mergeCell ref="B26:E26"/>
    <mergeCell ref="B3:E3"/>
    <mergeCell ref="N9:O9"/>
    <mergeCell ref="Q9:R9"/>
    <mergeCell ref="B23:E23"/>
    <mergeCell ref="B24:E24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3"/>
  <sheetViews>
    <sheetView topLeftCell="A23" workbookViewId="0">
      <selection activeCell="H42" sqref="H42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12.140625" customWidth="1"/>
    <col min="4" max="4" width="10.28515625" customWidth="1"/>
    <col min="5" max="5" width="9.5703125" bestFit="1" customWidth="1"/>
    <col min="6" max="6" width="8.5703125" bestFit="1" customWidth="1"/>
    <col min="7" max="7" width="11.140625" customWidth="1"/>
    <col min="8" max="8" width="9.85546875" customWidth="1"/>
    <col min="9" max="9" width="9.42578125" bestFit="1" customWidth="1"/>
    <col min="10" max="10" width="8.5703125" bestFit="1" customWidth="1"/>
    <col min="11" max="11" width="11" bestFit="1" customWidth="1"/>
    <col min="12" max="12" width="8.42578125" bestFit="1" customWidth="1"/>
    <col min="13" max="13" width="7.7109375" customWidth="1"/>
    <col min="14" max="14" width="7" bestFit="1" customWidth="1"/>
    <col min="15" max="15" width="12" customWidth="1"/>
    <col min="16" max="16" width="9" bestFit="1" customWidth="1"/>
    <col min="17" max="17" width="8" bestFit="1" customWidth="1"/>
    <col min="18" max="18" width="6.5703125" bestFit="1" customWidth="1"/>
    <col min="19" max="19" width="7" bestFit="1" customWidth="1"/>
    <col min="20" max="20" width="6.5703125" bestFit="1" customWidth="1"/>
    <col min="21" max="21" width="8.28515625" bestFit="1" customWidth="1"/>
  </cols>
  <sheetData>
    <row r="3" spans="1:16" x14ac:dyDescent="0.25">
      <c r="B3" s="51" t="s">
        <v>69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45" x14ac:dyDescent="0.25">
      <c r="B4" s="25" t="s">
        <v>33</v>
      </c>
      <c r="C4" s="18" t="s">
        <v>17</v>
      </c>
      <c r="D4" s="26" t="s">
        <v>70</v>
      </c>
      <c r="E4" s="18" t="s">
        <v>71</v>
      </c>
      <c r="F4" s="13" t="s">
        <v>72</v>
      </c>
      <c r="G4" s="13" t="s">
        <v>73</v>
      </c>
      <c r="H4" s="13" t="s">
        <v>74</v>
      </c>
      <c r="I4" s="11" t="s">
        <v>75</v>
      </c>
      <c r="J4" s="11" t="s">
        <v>76</v>
      </c>
      <c r="K4" s="11" t="s">
        <v>77</v>
      </c>
      <c r="L4" s="11" t="s">
        <v>78</v>
      </c>
      <c r="M4" s="11" t="s">
        <v>79</v>
      </c>
      <c r="N4" s="11" t="s">
        <v>80</v>
      </c>
      <c r="O4" s="11" t="s">
        <v>81</v>
      </c>
      <c r="P4" s="11" t="s">
        <v>31</v>
      </c>
    </row>
    <row r="5" spans="1:16" x14ac:dyDescent="0.25">
      <c r="B5" s="18" t="s">
        <v>15</v>
      </c>
      <c r="C5" s="18" t="s">
        <v>82</v>
      </c>
      <c r="D5" s="1" t="s">
        <v>83</v>
      </c>
      <c r="E5" s="1" t="s">
        <v>83</v>
      </c>
      <c r="F5" s="1" t="s">
        <v>83</v>
      </c>
      <c r="G5" s="1" t="s">
        <v>83</v>
      </c>
      <c r="H5" s="1" t="s">
        <v>83</v>
      </c>
      <c r="I5" s="1" t="s">
        <v>83</v>
      </c>
      <c r="J5" s="1" t="s">
        <v>83</v>
      </c>
      <c r="K5" s="1" t="s">
        <v>83</v>
      </c>
      <c r="L5" s="1" t="s">
        <v>83</v>
      </c>
      <c r="M5" s="1" t="s">
        <v>51</v>
      </c>
      <c r="N5" s="1" t="s">
        <v>83</v>
      </c>
      <c r="O5" s="1" t="s">
        <v>82</v>
      </c>
      <c r="P5" s="1" t="s">
        <v>50</v>
      </c>
    </row>
    <row r="6" spans="1:16" x14ac:dyDescent="0.25">
      <c r="B6" s="17">
        <f>C6*0.5</f>
        <v>365</v>
      </c>
      <c r="C6" s="17">
        <v>730</v>
      </c>
      <c r="D6" s="17">
        <v>1</v>
      </c>
      <c r="E6" s="17">
        <v>3</v>
      </c>
      <c r="F6" s="17">
        <v>0.8</v>
      </c>
      <c r="G6" s="17">
        <v>0.16</v>
      </c>
      <c r="H6" s="17">
        <v>0.04</v>
      </c>
      <c r="I6" s="17">
        <v>0.8</v>
      </c>
      <c r="J6" s="17">
        <v>0.83</v>
      </c>
      <c r="K6" s="17">
        <v>1</v>
      </c>
      <c r="L6" s="17">
        <v>12</v>
      </c>
      <c r="M6" s="17">
        <v>0.5</v>
      </c>
      <c r="N6" s="17">
        <v>1.7</v>
      </c>
      <c r="O6" s="17">
        <v>3394</v>
      </c>
      <c r="P6" s="17">
        <v>700</v>
      </c>
    </row>
    <row r="7" spans="1:16" x14ac:dyDescent="0.25">
      <c r="B7" s="27" t="s">
        <v>87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25">
      <c r="B8" s="28" t="s">
        <v>1</v>
      </c>
      <c r="C8" s="28" t="s">
        <v>88</v>
      </c>
      <c r="D8" s="28" t="s">
        <v>89</v>
      </c>
      <c r="E8" s="28" t="s">
        <v>89</v>
      </c>
      <c r="F8" s="28" t="s">
        <v>89</v>
      </c>
      <c r="G8" s="28" t="s">
        <v>89</v>
      </c>
      <c r="H8" s="28" t="s">
        <v>89</v>
      </c>
      <c r="I8" s="28" t="s">
        <v>89</v>
      </c>
      <c r="J8" s="28" t="s">
        <v>89</v>
      </c>
      <c r="K8" s="28" t="s">
        <v>89</v>
      </c>
      <c r="L8" s="28" t="s">
        <v>89</v>
      </c>
      <c r="M8" s="28" t="s">
        <v>58</v>
      </c>
      <c r="N8" s="28" t="s">
        <v>89</v>
      </c>
      <c r="O8" s="28" t="s">
        <v>88</v>
      </c>
      <c r="P8" s="28" t="s">
        <v>57</v>
      </c>
    </row>
    <row r="9" spans="1:16" x14ac:dyDescent="0.25">
      <c r="B9" s="1">
        <v>25</v>
      </c>
      <c r="C9" s="1">
        <v>12.5</v>
      </c>
      <c r="D9" s="1">
        <v>300</v>
      </c>
      <c r="E9" s="1">
        <v>80</v>
      </c>
      <c r="F9" s="1">
        <v>130</v>
      </c>
      <c r="G9" s="1">
        <v>10557</v>
      </c>
      <c r="H9" s="1">
        <v>4500</v>
      </c>
      <c r="I9" s="1">
        <v>55</v>
      </c>
      <c r="J9" s="1">
        <v>50</v>
      </c>
      <c r="K9" s="1">
        <v>76</v>
      </c>
      <c r="L9" s="1">
        <v>150</v>
      </c>
      <c r="M9" s="1">
        <v>3000</v>
      </c>
      <c r="N9" s="1">
        <v>2.5</v>
      </c>
      <c r="O9" s="9">
        <f>0.19*(3.28^3)*6.5/100</f>
        <v>0.4358012671999999</v>
      </c>
      <c r="P9" s="1">
        <v>6.5</v>
      </c>
    </row>
    <row r="11" spans="1:16" ht="45" x14ac:dyDescent="0.25">
      <c r="A11" s="13" t="s">
        <v>86</v>
      </c>
      <c r="B11" s="25" t="s">
        <v>33</v>
      </c>
      <c r="C11" s="18" t="s">
        <v>17</v>
      </c>
      <c r="D11" s="26" t="s">
        <v>70</v>
      </c>
      <c r="E11" s="18" t="s">
        <v>71</v>
      </c>
      <c r="F11" s="13" t="s">
        <v>72</v>
      </c>
      <c r="G11" s="13" t="s">
        <v>73</v>
      </c>
      <c r="H11" s="13" t="s">
        <v>74</v>
      </c>
      <c r="I11" s="11" t="s">
        <v>75</v>
      </c>
      <c r="J11" s="11" t="s">
        <v>76</v>
      </c>
      <c r="K11" s="11" t="s">
        <v>77</v>
      </c>
      <c r="L11" s="11" t="s">
        <v>78</v>
      </c>
      <c r="M11" s="11" t="s">
        <v>79</v>
      </c>
      <c r="N11" s="11" t="s">
        <v>80</v>
      </c>
      <c r="O11" s="11" t="s">
        <v>81</v>
      </c>
      <c r="P11" s="11" t="s">
        <v>31</v>
      </c>
    </row>
    <row r="12" spans="1:16" ht="30" x14ac:dyDescent="0.25">
      <c r="A12" s="1" t="s">
        <v>30</v>
      </c>
      <c r="B12" s="25" t="s">
        <v>64</v>
      </c>
      <c r="C12" s="25" t="s">
        <v>84</v>
      </c>
      <c r="D12" s="25" t="s">
        <v>85</v>
      </c>
      <c r="E12" s="25" t="s">
        <v>85</v>
      </c>
      <c r="F12" s="25" t="s">
        <v>85</v>
      </c>
      <c r="G12" s="25" t="s">
        <v>85</v>
      </c>
      <c r="H12" s="25" t="s">
        <v>85</v>
      </c>
      <c r="I12" s="25" t="s">
        <v>85</v>
      </c>
      <c r="J12" s="25" t="s">
        <v>85</v>
      </c>
      <c r="K12" s="25" t="s">
        <v>85</v>
      </c>
      <c r="L12" s="25" t="s">
        <v>85</v>
      </c>
      <c r="M12" s="25" t="s">
        <v>55</v>
      </c>
      <c r="N12" s="25" t="s">
        <v>85</v>
      </c>
      <c r="O12" s="24" t="s">
        <v>84</v>
      </c>
      <c r="P12" s="24" t="s">
        <v>54</v>
      </c>
    </row>
    <row r="13" spans="1:16" x14ac:dyDescent="0.25">
      <c r="A13" s="9">
        <f>B13/$B$6</f>
        <v>27.397260273972602</v>
      </c>
      <c r="B13" s="1">
        <v>10000</v>
      </c>
      <c r="C13" s="9">
        <f>$C$6*A13</f>
        <v>20000</v>
      </c>
      <c r="D13" s="7">
        <f>$D$6*A13</f>
        <v>27.397260273972602</v>
      </c>
      <c r="E13" s="21">
        <f>$E$6*A13</f>
        <v>82.191780821917803</v>
      </c>
      <c r="F13" s="21">
        <f>$F$6*A13</f>
        <v>21.917808219178085</v>
      </c>
      <c r="G13" s="21">
        <f>$G$6*A13</f>
        <v>4.3835616438356162</v>
      </c>
      <c r="H13" s="21">
        <f>$H$6*A13</f>
        <v>1.095890410958904</v>
      </c>
      <c r="I13" s="21">
        <f>$I$6*A13</f>
        <v>21.917808219178085</v>
      </c>
      <c r="J13" s="21">
        <f>$J$6*A13</f>
        <v>22.739726027397257</v>
      </c>
      <c r="K13" s="7">
        <f>$K$6*A13</f>
        <v>27.397260273972602</v>
      </c>
      <c r="L13" s="7">
        <f>$L$6*A13</f>
        <v>328.76712328767121</v>
      </c>
      <c r="M13" s="7">
        <f>$M$6*A13</f>
        <v>13.698630136986301</v>
      </c>
      <c r="N13" s="23">
        <f>$N$6*A13</f>
        <v>46.575342465753423</v>
      </c>
      <c r="O13" s="23">
        <f>$O$6*A13</f>
        <v>92986.301369863009</v>
      </c>
      <c r="P13" s="7">
        <f>$P$6*A13</f>
        <v>19178.082191780821</v>
      </c>
    </row>
    <row r="14" spans="1:16" x14ac:dyDescent="0.25">
      <c r="A14" s="9">
        <f t="shared" ref="A14:A23" si="0">B14/$B$6</f>
        <v>30.136986301369863</v>
      </c>
      <c r="B14" s="1">
        <v>11000</v>
      </c>
      <c r="C14" s="9">
        <f t="shared" ref="C14:C23" si="1">$C$6*A14</f>
        <v>22000</v>
      </c>
      <c r="D14" s="7">
        <f t="shared" ref="D14:D23" si="2">$D$6*A14</f>
        <v>30.136986301369863</v>
      </c>
      <c r="E14" s="21">
        <f t="shared" ref="E14:E23" si="3">$E$6*A14</f>
        <v>90.410958904109592</v>
      </c>
      <c r="F14" s="21">
        <f t="shared" ref="F14:F23" si="4">$F$6*A14</f>
        <v>24.109589041095891</v>
      </c>
      <c r="G14" s="21">
        <f t="shared" ref="G14:G23" si="5">$G$6*A14</f>
        <v>4.8219178082191778</v>
      </c>
      <c r="H14" s="21">
        <f t="shared" ref="H14:H23" si="6">$H$6*A14</f>
        <v>1.2054794520547945</v>
      </c>
      <c r="I14" s="21">
        <f t="shared" ref="I14:I23" si="7">$I$6*A14</f>
        <v>24.109589041095891</v>
      </c>
      <c r="J14" s="21">
        <f t="shared" ref="J14:J23" si="8">$J$6*A14</f>
        <v>25.013698630136986</v>
      </c>
      <c r="K14" s="7">
        <f t="shared" ref="K14:K23" si="9">$K$6*A14</f>
        <v>30.136986301369863</v>
      </c>
      <c r="L14" s="7">
        <f t="shared" ref="L14:L23" si="10">$L$6*A14</f>
        <v>361.64383561643837</v>
      </c>
      <c r="M14" s="7">
        <f t="shared" ref="M14:M23" si="11">$M$6*A14</f>
        <v>15.068493150684931</v>
      </c>
      <c r="N14" s="23">
        <f t="shared" ref="N14:N23" si="12">$N$6*A14</f>
        <v>51.232876712328768</v>
      </c>
      <c r="O14" s="23">
        <f t="shared" ref="O14:O23" si="13">$O$6*A14</f>
        <v>102284.93150684932</v>
      </c>
      <c r="P14" s="7">
        <f t="shared" ref="P14:P23" si="14">$P$6*A14</f>
        <v>21095.890410958902</v>
      </c>
    </row>
    <row r="15" spans="1:16" x14ac:dyDescent="0.25">
      <c r="A15" s="9">
        <f t="shared" si="0"/>
        <v>32.876712328767127</v>
      </c>
      <c r="B15" s="1">
        <v>12000</v>
      </c>
      <c r="C15" s="9">
        <f t="shared" si="1"/>
        <v>24000.000000000004</v>
      </c>
      <c r="D15" s="7">
        <f t="shared" si="2"/>
        <v>32.876712328767127</v>
      </c>
      <c r="E15" s="21">
        <f t="shared" si="3"/>
        <v>98.63013698630138</v>
      </c>
      <c r="F15" s="21">
        <f t="shared" si="4"/>
        <v>26.301369863013704</v>
      </c>
      <c r="G15" s="21">
        <f t="shared" si="5"/>
        <v>5.2602739726027403</v>
      </c>
      <c r="H15" s="21">
        <f t="shared" si="6"/>
        <v>1.3150684931506851</v>
      </c>
      <c r="I15" s="21">
        <f t="shared" si="7"/>
        <v>26.301369863013704</v>
      </c>
      <c r="J15" s="21">
        <f t="shared" si="8"/>
        <v>27.287671232876715</v>
      </c>
      <c r="K15" s="7">
        <f t="shared" si="9"/>
        <v>32.876712328767127</v>
      </c>
      <c r="L15" s="7">
        <f t="shared" si="10"/>
        <v>394.52054794520552</v>
      </c>
      <c r="M15" s="7">
        <f t="shared" si="11"/>
        <v>16.438356164383563</v>
      </c>
      <c r="N15" s="23">
        <f t="shared" si="12"/>
        <v>55.890410958904113</v>
      </c>
      <c r="O15" s="23">
        <f t="shared" si="13"/>
        <v>111583.56164383562</v>
      </c>
      <c r="P15" s="7">
        <f t="shared" si="14"/>
        <v>23013.698630136987</v>
      </c>
    </row>
    <row r="16" spans="1:16" x14ac:dyDescent="0.25">
      <c r="A16" s="9">
        <f t="shared" si="0"/>
        <v>35.61643835616438</v>
      </c>
      <c r="B16" s="1">
        <v>13000</v>
      </c>
      <c r="C16" s="9">
        <f t="shared" si="1"/>
        <v>25999.999999999996</v>
      </c>
      <c r="D16" s="7">
        <f t="shared" si="2"/>
        <v>35.61643835616438</v>
      </c>
      <c r="E16" s="21">
        <f t="shared" si="3"/>
        <v>106.84931506849314</v>
      </c>
      <c r="F16" s="21">
        <f t="shared" si="4"/>
        <v>28.493150684931507</v>
      </c>
      <c r="G16" s="21">
        <f t="shared" si="5"/>
        <v>5.6986301369863011</v>
      </c>
      <c r="H16" s="21">
        <f t="shared" si="6"/>
        <v>1.4246575342465753</v>
      </c>
      <c r="I16" s="21">
        <f t="shared" si="7"/>
        <v>28.493150684931507</v>
      </c>
      <c r="J16" s="21">
        <f t="shared" si="8"/>
        <v>29.561643835616433</v>
      </c>
      <c r="K16" s="7">
        <f t="shared" si="9"/>
        <v>35.61643835616438</v>
      </c>
      <c r="L16" s="7">
        <f t="shared" si="10"/>
        <v>427.39726027397256</v>
      </c>
      <c r="M16" s="7">
        <f t="shared" si="11"/>
        <v>17.80821917808219</v>
      </c>
      <c r="N16" s="23">
        <f t="shared" si="12"/>
        <v>60.547945205479444</v>
      </c>
      <c r="O16" s="23">
        <f t="shared" si="13"/>
        <v>120882.1917808219</v>
      </c>
      <c r="P16" s="7">
        <f t="shared" si="14"/>
        <v>24931.506849315065</v>
      </c>
    </row>
    <row r="17" spans="1:21" x14ac:dyDescent="0.25">
      <c r="A17" s="9">
        <f t="shared" si="0"/>
        <v>38.356164383561641</v>
      </c>
      <c r="B17" s="1">
        <v>14000</v>
      </c>
      <c r="C17" s="9">
        <f t="shared" si="1"/>
        <v>27999.999999999996</v>
      </c>
      <c r="D17" s="7">
        <f t="shared" si="2"/>
        <v>38.356164383561641</v>
      </c>
      <c r="E17" s="21">
        <f t="shared" si="3"/>
        <v>115.06849315068493</v>
      </c>
      <c r="F17" s="21">
        <f t="shared" si="4"/>
        <v>30.684931506849313</v>
      </c>
      <c r="G17" s="21">
        <f t="shared" si="5"/>
        <v>6.1369863013698627</v>
      </c>
      <c r="H17" s="21">
        <f t="shared" si="6"/>
        <v>1.5342465753424657</v>
      </c>
      <c r="I17" s="21">
        <f t="shared" si="7"/>
        <v>30.684931506849313</v>
      </c>
      <c r="J17" s="21">
        <f t="shared" si="8"/>
        <v>31.835616438356162</v>
      </c>
      <c r="K17" s="7">
        <f t="shared" si="9"/>
        <v>38.356164383561641</v>
      </c>
      <c r="L17" s="7">
        <f t="shared" si="10"/>
        <v>460.27397260273972</v>
      </c>
      <c r="M17" s="7">
        <f t="shared" si="11"/>
        <v>19.17808219178082</v>
      </c>
      <c r="N17" s="23">
        <f t="shared" si="12"/>
        <v>65.205479452054789</v>
      </c>
      <c r="O17" s="23">
        <f t="shared" si="13"/>
        <v>130180.82191780821</v>
      </c>
      <c r="P17" s="7">
        <f t="shared" si="14"/>
        <v>26849.31506849315</v>
      </c>
    </row>
    <row r="18" spans="1:21" x14ac:dyDescent="0.25">
      <c r="A18" s="9">
        <f t="shared" si="0"/>
        <v>41.095890410958901</v>
      </c>
      <c r="B18" s="1">
        <v>15000</v>
      </c>
      <c r="C18" s="9">
        <f t="shared" si="1"/>
        <v>29999.999999999996</v>
      </c>
      <c r="D18" s="7">
        <f t="shared" si="2"/>
        <v>41.095890410958901</v>
      </c>
      <c r="E18" s="21">
        <f t="shared" si="3"/>
        <v>123.2876712328767</v>
      </c>
      <c r="F18" s="21">
        <f t="shared" si="4"/>
        <v>32.87671232876712</v>
      </c>
      <c r="G18" s="21">
        <f t="shared" si="5"/>
        <v>6.5753424657534243</v>
      </c>
      <c r="H18" s="21">
        <f t="shared" si="6"/>
        <v>1.6438356164383561</v>
      </c>
      <c r="I18" s="21">
        <f t="shared" si="7"/>
        <v>32.87671232876712</v>
      </c>
      <c r="J18" s="21">
        <f t="shared" si="8"/>
        <v>34.109589041095887</v>
      </c>
      <c r="K18" s="7">
        <f t="shared" si="9"/>
        <v>41.095890410958901</v>
      </c>
      <c r="L18" s="7">
        <f t="shared" si="10"/>
        <v>493.15068493150682</v>
      </c>
      <c r="M18" s="7">
        <f t="shared" si="11"/>
        <v>20.547945205479451</v>
      </c>
      <c r="N18" s="23">
        <f t="shared" si="12"/>
        <v>69.863013698630127</v>
      </c>
      <c r="O18" s="23">
        <f t="shared" si="13"/>
        <v>139479.4520547945</v>
      </c>
      <c r="P18" s="7">
        <f t="shared" si="14"/>
        <v>28767.123287671231</v>
      </c>
    </row>
    <row r="19" spans="1:21" x14ac:dyDescent="0.25">
      <c r="A19" s="9">
        <f t="shared" si="0"/>
        <v>43.835616438356162</v>
      </c>
      <c r="B19" s="1">
        <v>16000</v>
      </c>
      <c r="C19" s="9">
        <f t="shared" si="1"/>
        <v>32000</v>
      </c>
      <c r="D19" s="7">
        <f t="shared" si="2"/>
        <v>43.835616438356162</v>
      </c>
      <c r="E19" s="21">
        <f t="shared" si="3"/>
        <v>131.50684931506848</v>
      </c>
      <c r="F19" s="21">
        <f t="shared" si="4"/>
        <v>35.06849315068493</v>
      </c>
      <c r="G19" s="21">
        <f t="shared" si="5"/>
        <v>7.0136986301369859</v>
      </c>
      <c r="H19" s="21">
        <f t="shared" si="6"/>
        <v>1.7534246575342465</v>
      </c>
      <c r="I19" s="21">
        <f t="shared" si="7"/>
        <v>35.06849315068493</v>
      </c>
      <c r="J19" s="21">
        <f t="shared" si="8"/>
        <v>36.383561643835613</v>
      </c>
      <c r="K19" s="7">
        <f t="shared" si="9"/>
        <v>43.835616438356162</v>
      </c>
      <c r="L19" s="7">
        <f t="shared" si="10"/>
        <v>526.02739726027391</v>
      </c>
      <c r="M19" s="7">
        <f t="shared" si="11"/>
        <v>21.917808219178081</v>
      </c>
      <c r="N19" s="23">
        <f t="shared" si="12"/>
        <v>74.520547945205479</v>
      </c>
      <c r="O19" s="23">
        <f t="shared" si="13"/>
        <v>148778.08219178082</v>
      </c>
      <c r="P19" s="7">
        <f t="shared" si="14"/>
        <v>30684.931506849312</v>
      </c>
    </row>
    <row r="20" spans="1:21" x14ac:dyDescent="0.25">
      <c r="A20" s="9">
        <f t="shared" si="0"/>
        <v>46.575342465753423</v>
      </c>
      <c r="B20" s="1">
        <v>17000</v>
      </c>
      <c r="C20" s="9">
        <f t="shared" si="1"/>
        <v>34000</v>
      </c>
      <c r="D20" s="7">
        <f t="shared" si="2"/>
        <v>46.575342465753423</v>
      </c>
      <c r="E20" s="21">
        <f t="shared" si="3"/>
        <v>139.72602739726028</v>
      </c>
      <c r="F20" s="21">
        <f t="shared" si="4"/>
        <v>37.260273972602739</v>
      </c>
      <c r="G20" s="21">
        <f t="shared" si="5"/>
        <v>7.4520547945205475</v>
      </c>
      <c r="H20" s="21">
        <f t="shared" si="6"/>
        <v>1.8630136986301369</v>
      </c>
      <c r="I20" s="21">
        <f t="shared" si="7"/>
        <v>37.260273972602739</v>
      </c>
      <c r="J20" s="21">
        <f t="shared" si="8"/>
        <v>38.657534246575338</v>
      </c>
      <c r="K20" s="7">
        <f t="shared" si="9"/>
        <v>46.575342465753423</v>
      </c>
      <c r="L20" s="7">
        <f t="shared" si="10"/>
        <v>558.90410958904113</v>
      </c>
      <c r="M20" s="7">
        <f t="shared" si="11"/>
        <v>23.287671232876711</v>
      </c>
      <c r="N20" s="23">
        <f t="shared" si="12"/>
        <v>79.178082191780817</v>
      </c>
      <c r="O20" s="23">
        <f t="shared" si="13"/>
        <v>158076.71232876711</v>
      </c>
      <c r="P20" s="7">
        <f t="shared" si="14"/>
        <v>32602.739726027397</v>
      </c>
    </row>
    <row r="21" spans="1:21" x14ac:dyDescent="0.25">
      <c r="A21" s="9">
        <f t="shared" si="0"/>
        <v>49.315068493150683</v>
      </c>
      <c r="B21" s="1">
        <v>18000</v>
      </c>
      <c r="C21" s="9">
        <f t="shared" si="1"/>
        <v>36000</v>
      </c>
      <c r="D21" s="7">
        <f t="shared" si="2"/>
        <v>49.315068493150683</v>
      </c>
      <c r="E21" s="21">
        <f t="shared" si="3"/>
        <v>147.94520547945206</v>
      </c>
      <c r="F21" s="21">
        <f t="shared" si="4"/>
        <v>39.452054794520549</v>
      </c>
      <c r="G21" s="21">
        <f t="shared" si="5"/>
        <v>7.8904109589041092</v>
      </c>
      <c r="H21" s="21">
        <f t="shared" si="6"/>
        <v>1.9726027397260273</v>
      </c>
      <c r="I21" s="21">
        <f t="shared" si="7"/>
        <v>39.452054794520549</v>
      </c>
      <c r="J21" s="21">
        <f t="shared" si="8"/>
        <v>40.931506849315063</v>
      </c>
      <c r="K21" s="7">
        <f t="shared" si="9"/>
        <v>49.315068493150683</v>
      </c>
      <c r="L21" s="7">
        <f t="shared" si="10"/>
        <v>591.78082191780823</v>
      </c>
      <c r="M21" s="7">
        <f t="shared" si="11"/>
        <v>24.657534246575342</v>
      </c>
      <c r="N21" s="23">
        <f t="shared" si="12"/>
        <v>83.835616438356155</v>
      </c>
      <c r="O21" s="23">
        <f t="shared" si="13"/>
        <v>167375.34246575341</v>
      </c>
      <c r="P21" s="7">
        <f t="shared" si="14"/>
        <v>34520.547945205479</v>
      </c>
    </row>
    <row r="22" spans="1:21" x14ac:dyDescent="0.25">
      <c r="A22" s="9">
        <f t="shared" si="0"/>
        <v>52.054794520547944</v>
      </c>
      <c r="B22" s="1">
        <v>19000</v>
      </c>
      <c r="C22" s="9">
        <f t="shared" si="1"/>
        <v>38000</v>
      </c>
      <c r="D22" s="7">
        <f t="shared" si="2"/>
        <v>52.054794520547944</v>
      </c>
      <c r="E22" s="21">
        <f t="shared" si="3"/>
        <v>156.16438356164383</v>
      </c>
      <c r="F22" s="21">
        <f t="shared" si="4"/>
        <v>41.643835616438359</v>
      </c>
      <c r="G22" s="21">
        <f t="shared" si="5"/>
        <v>8.3287671232876708</v>
      </c>
      <c r="H22" s="21">
        <f t="shared" si="6"/>
        <v>2.0821917808219177</v>
      </c>
      <c r="I22" s="21">
        <f t="shared" si="7"/>
        <v>41.643835616438359</v>
      </c>
      <c r="J22" s="21">
        <f t="shared" si="8"/>
        <v>43.205479452054789</v>
      </c>
      <c r="K22" s="7">
        <f t="shared" si="9"/>
        <v>52.054794520547944</v>
      </c>
      <c r="L22" s="7">
        <f t="shared" si="10"/>
        <v>624.65753424657532</v>
      </c>
      <c r="M22" s="7">
        <f t="shared" si="11"/>
        <v>26.027397260273972</v>
      </c>
      <c r="N22" s="23">
        <f t="shared" si="12"/>
        <v>88.493150684931507</v>
      </c>
      <c r="O22" s="23">
        <f t="shared" si="13"/>
        <v>176673.97260273973</v>
      </c>
      <c r="P22" s="7">
        <f t="shared" si="14"/>
        <v>36438.356164383564</v>
      </c>
    </row>
    <row r="23" spans="1:21" x14ac:dyDescent="0.25">
      <c r="A23" s="9">
        <f t="shared" si="0"/>
        <v>54.794520547945204</v>
      </c>
      <c r="B23" s="1">
        <v>20000</v>
      </c>
      <c r="C23" s="9">
        <f t="shared" si="1"/>
        <v>40000</v>
      </c>
      <c r="D23" s="7">
        <f t="shared" si="2"/>
        <v>54.794520547945204</v>
      </c>
      <c r="E23" s="21">
        <f t="shared" si="3"/>
        <v>164.38356164383561</v>
      </c>
      <c r="F23" s="21">
        <f t="shared" si="4"/>
        <v>43.835616438356169</v>
      </c>
      <c r="G23" s="21">
        <f t="shared" si="5"/>
        <v>8.7671232876712324</v>
      </c>
      <c r="H23" s="21">
        <f t="shared" si="6"/>
        <v>2.1917808219178081</v>
      </c>
      <c r="I23" s="21">
        <f t="shared" si="7"/>
        <v>43.835616438356169</v>
      </c>
      <c r="J23" s="21">
        <f t="shared" si="8"/>
        <v>45.479452054794514</v>
      </c>
      <c r="K23" s="7">
        <f t="shared" si="9"/>
        <v>54.794520547945204</v>
      </c>
      <c r="L23" s="7">
        <f t="shared" si="10"/>
        <v>657.53424657534242</v>
      </c>
      <c r="M23" s="7">
        <f t="shared" si="11"/>
        <v>27.397260273972602</v>
      </c>
      <c r="N23" s="23">
        <f t="shared" si="12"/>
        <v>93.150684931506845</v>
      </c>
      <c r="O23" s="23">
        <f t="shared" si="13"/>
        <v>185972.60273972602</v>
      </c>
      <c r="P23" s="7">
        <f t="shared" si="14"/>
        <v>38356.164383561641</v>
      </c>
    </row>
    <row r="25" spans="1:21" ht="45" x14ac:dyDescent="0.25">
      <c r="B25" s="25" t="s">
        <v>33</v>
      </c>
      <c r="C25" s="18" t="s">
        <v>17</v>
      </c>
      <c r="D25" s="26" t="s">
        <v>70</v>
      </c>
      <c r="E25" s="18" t="s">
        <v>71</v>
      </c>
      <c r="F25" s="13" t="s">
        <v>72</v>
      </c>
      <c r="G25" s="13" t="s">
        <v>73</v>
      </c>
      <c r="H25" s="13" t="s">
        <v>74</v>
      </c>
      <c r="I25" s="11" t="s">
        <v>75</v>
      </c>
      <c r="J25" s="11" t="s">
        <v>76</v>
      </c>
      <c r="K25" s="11" t="s">
        <v>77</v>
      </c>
      <c r="L25" s="11" t="s">
        <v>78</v>
      </c>
      <c r="M25" s="11" t="s">
        <v>79</v>
      </c>
      <c r="N25" s="11" t="s">
        <v>80</v>
      </c>
      <c r="O25" s="11" t="s">
        <v>81</v>
      </c>
      <c r="P25" s="11" t="s">
        <v>31</v>
      </c>
      <c r="Q25" s="52" t="s">
        <v>90</v>
      </c>
      <c r="R25" s="52"/>
      <c r="S25" s="11" t="s">
        <v>91</v>
      </c>
      <c r="T25" s="52" t="s">
        <v>61</v>
      </c>
      <c r="U25" s="52"/>
    </row>
    <row r="26" spans="1:21" ht="30" x14ac:dyDescent="0.25">
      <c r="B26" s="25" t="s">
        <v>64</v>
      </c>
      <c r="C26" s="25" t="s">
        <v>7</v>
      </c>
      <c r="D26" s="25" t="s">
        <v>7</v>
      </c>
      <c r="E26" s="25" t="s">
        <v>7</v>
      </c>
      <c r="F26" s="25" t="s">
        <v>7</v>
      </c>
      <c r="G26" s="25" t="s">
        <v>7</v>
      </c>
      <c r="H26" s="25" t="s">
        <v>7</v>
      </c>
      <c r="I26" s="25" t="s">
        <v>7</v>
      </c>
      <c r="J26" s="25" t="s">
        <v>7</v>
      </c>
      <c r="K26" s="25" t="s">
        <v>7</v>
      </c>
      <c r="L26" s="25" t="s">
        <v>7</v>
      </c>
      <c r="M26" s="25" t="s">
        <v>7</v>
      </c>
      <c r="N26" s="25" t="s">
        <v>7</v>
      </c>
      <c r="O26" s="25" t="s">
        <v>7</v>
      </c>
      <c r="P26" s="25" t="s">
        <v>7</v>
      </c>
      <c r="Q26" s="25" t="s">
        <v>7</v>
      </c>
      <c r="R26" s="24" t="s">
        <v>56</v>
      </c>
      <c r="S26" s="24" t="s">
        <v>56</v>
      </c>
      <c r="T26" s="24" t="s">
        <v>56</v>
      </c>
      <c r="U26" s="24" t="s">
        <v>92</v>
      </c>
    </row>
    <row r="27" spans="1:21" x14ac:dyDescent="0.25">
      <c r="B27" s="1">
        <v>10000</v>
      </c>
      <c r="C27" s="1">
        <f>C13*$C$9</f>
        <v>250000</v>
      </c>
      <c r="D27" s="7">
        <f>D13*$D$9</f>
        <v>8219.17808219178</v>
      </c>
      <c r="E27" s="7">
        <f>E13*$E$9</f>
        <v>6575.3424657534242</v>
      </c>
      <c r="F27" s="7">
        <f>F13*$F$9</f>
        <v>2849.3150684931511</v>
      </c>
      <c r="G27" s="7">
        <f>G13*$G$9</f>
        <v>46277.260273972599</v>
      </c>
      <c r="H27" s="7">
        <f>H13*$H$9</f>
        <v>4931.5068493150684</v>
      </c>
      <c r="I27" s="7">
        <f>I13*$I$9</f>
        <v>1205.4794520547946</v>
      </c>
      <c r="J27" s="7">
        <f>J13*$J$9</f>
        <v>1136.9863013698628</v>
      </c>
      <c r="K27" s="7">
        <f>K13*$K$9</f>
        <v>2082.1917808219177</v>
      </c>
      <c r="L27" s="7">
        <f>L13*$L$9</f>
        <v>49315.068493150684</v>
      </c>
      <c r="M27" s="7">
        <f>M13*$M$9</f>
        <v>41095.890410958906</v>
      </c>
      <c r="N27" s="7">
        <f>N13*$N$9</f>
        <v>116.43835616438355</v>
      </c>
      <c r="O27" s="7">
        <f>O13*$O$9</f>
        <v>40523.547969227388</v>
      </c>
      <c r="P27" s="7">
        <f>P13*$P$9</f>
        <v>124657.53424657533</v>
      </c>
      <c r="Q27" s="7">
        <f>SUM(C27:P27)</f>
        <v>578985.73975004931</v>
      </c>
      <c r="R27" s="7">
        <f>Q27/A13</f>
        <v>21132.979500876801</v>
      </c>
      <c r="S27" s="1">
        <v>48000</v>
      </c>
      <c r="T27" s="7">
        <f>S27-1.2*R27</f>
        <v>22640.42459894784</v>
      </c>
      <c r="U27" s="7">
        <f>T27*365*A13/100000</f>
        <v>2264.0424598947843</v>
      </c>
    </row>
    <row r="28" spans="1:21" x14ac:dyDescent="0.25">
      <c r="B28" s="1">
        <v>11000</v>
      </c>
      <c r="C28" s="1">
        <f t="shared" ref="C28:C37" si="15">C14*$C$9</f>
        <v>275000</v>
      </c>
      <c r="D28" s="7">
        <f t="shared" ref="D28:D37" si="16">D14*$D$9</f>
        <v>9041.0958904109593</v>
      </c>
      <c r="E28" s="7">
        <f t="shared" ref="E28:E37" si="17">E14*$E$9</f>
        <v>7232.8767123287671</v>
      </c>
      <c r="F28" s="7">
        <f t="shared" ref="F28:F37" si="18">F14*$F$9</f>
        <v>3134.2465753424658</v>
      </c>
      <c r="G28" s="7">
        <f t="shared" ref="G28:G37" si="19">G14*$G$9</f>
        <v>50904.986301369863</v>
      </c>
      <c r="H28" s="7">
        <f t="shared" ref="H28:H37" si="20">H14*$H$9</f>
        <v>5424.6575342465749</v>
      </c>
      <c r="I28" s="7">
        <f t="shared" ref="I28:I37" si="21">I14*$I$9</f>
        <v>1326.027397260274</v>
      </c>
      <c r="J28" s="7">
        <f t="shared" ref="J28:J37" si="22">J14*$J$9</f>
        <v>1250.6849315068494</v>
      </c>
      <c r="K28" s="7">
        <f t="shared" ref="K28:K37" si="23">K14*$K$9</f>
        <v>2290.4109589041095</v>
      </c>
      <c r="L28" s="7">
        <f t="shared" ref="L28:L37" si="24">L14*$L$9</f>
        <v>54246.575342465752</v>
      </c>
      <c r="M28" s="7">
        <f t="shared" ref="M28:M37" si="25">M14*$M$9</f>
        <v>45205.479452054795</v>
      </c>
      <c r="N28" s="7">
        <f t="shared" ref="N28:N37" si="26">N14*$N$9</f>
        <v>128.08219178082192</v>
      </c>
      <c r="O28" s="7">
        <f t="shared" ref="O28:O37" si="27">O14*$O$9</f>
        <v>44575.902766150124</v>
      </c>
      <c r="P28" s="7">
        <f t="shared" ref="P28:P37" si="28">P14*$P$9</f>
        <v>137123.28767123286</v>
      </c>
      <c r="Q28" s="7">
        <f t="shared" ref="Q28:Q37" si="29">SUM(C28:P28)</f>
        <v>636884.31372505426</v>
      </c>
      <c r="R28" s="7">
        <f t="shared" ref="R28:R37" si="30">Q28/A14</f>
        <v>21132.979500876801</v>
      </c>
      <c r="S28" s="1">
        <v>48000</v>
      </c>
      <c r="T28" s="7">
        <f t="shared" ref="T28:T37" si="31">S28-1.2*R28</f>
        <v>22640.42459894784</v>
      </c>
      <c r="U28" s="7">
        <f t="shared" ref="U28:U37" si="32">T28*365*A14/100000</f>
        <v>2490.4467058842624</v>
      </c>
    </row>
    <row r="29" spans="1:21" x14ac:dyDescent="0.25">
      <c r="B29" s="1">
        <v>12000</v>
      </c>
      <c r="C29" s="1">
        <f t="shared" si="15"/>
        <v>300000.00000000006</v>
      </c>
      <c r="D29" s="7">
        <f t="shared" si="16"/>
        <v>9863.0136986301386</v>
      </c>
      <c r="E29" s="7">
        <f t="shared" si="17"/>
        <v>7890.4109589041109</v>
      </c>
      <c r="F29" s="7">
        <f t="shared" si="18"/>
        <v>3419.1780821917814</v>
      </c>
      <c r="G29" s="7">
        <f t="shared" si="19"/>
        <v>55532.712328767127</v>
      </c>
      <c r="H29" s="7">
        <f t="shared" si="20"/>
        <v>5917.8082191780832</v>
      </c>
      <c r="I29" s="7">
        <f t="shared" si="21"/>
        <v>1446.5753424657537</v>
      </c>
      <c r="J29" s="7">
        <f t="shared" si="22"/>
        <v>1364.3835616438357</v>
      </c>
      <c r="K29" s="7">
        <f t="shared" si="23"/>
        <v>2498.6301369863017</v>
      </c>
      <c r="L29" s="7">
        <f t="shared" si="24"/>
        <v>59178.082191780828</v>
      </c>
      <c r="M29" s="7">
        <f t="shared" si="25"/>
        <v>49315.068493150691</v>
      </c>
      <c r="N29" s="7">
        <f t="shared" si="26"/>
        <v>139.72602739726028</v>
      </c>
      <c r="O29" s="7">
        <f t="shared" si="27"/>
        <v>48628.257563072868</v>
      </c>
      <c r="P29" s="7">
        <f t="shared" si="28"/>
        <v>149589.04109589042</v>
      </c>
      <c r="Q29" s="7">
        <f t="shared" si="29"/>
        <v>694782.88770005933</v>
      </c>
      <c r="R29" s="7">
        <f t="shared" si="30"/>
        <v>21132.979500876801</v>
      </c>
      <c r="S29" s="1">
        <v>48000</v>
      </c>
      <c r="T29" s="7">
        <f t="shared" si="31"/>
        <v>22640.42459894784</v>
      </c>
      <c r="U29" s="7">
        <f t="shared" si="32"/>
        <v>2716.850951873741</v>
      </c>
    </row>
    <row r="30" spans="1:21" x14ac:dyDescent="0.25">
      <c r="B30" s="1">
        <v>13000</v>
      </c>
      <c r="C30" s="1">
        <f t="shared" si="15"/>
        <v>324999.99999999994</v>
      </c>
      <c r="D30" s="7">
        <f t="shared" si="16"/>
        <v>10684.931506849314</v>
      </c>
      <c r="E30" s="7">
        <f t="shared" si="17"/>
        <v>8547.945205479451</v>
      </c>
      <c r="F30" s="7">
        <f t="shared" si="18"/>
        <v>3704.1095890410961</v>
      </c>
      <c r="G30" s="7">
        <f t="shared" si="19"/>
        <v>60160.438356164377</v>
      </c>
      <c r="H30" s="7">
        <f t="shared" si="20"/>
        <v>6410.9589041095887</v>
      </c>
      <c r="I30" s="7">
        <f t="shared" si="21"/>
        <v>1567.1232876712329</v>
      </c>
      <c r="J30" s="7">
        <f t="shared" si="22"/>
        <v>1478.0821917808216</v>
      </c>
      <c r="K30" s="7">
        <f t="shared" si="23"/>
        <v>2706.8493150684931</v>
      </c>
      <c r="L30" s="7">
        <f t="shared" si="24"/>
        <v>64109.589041095882</v>
      </c>
      <c r="M30" s="7">
        <f t="shared" si="25"/>
        <v>53424.657534246573</v>
      </c>
      <c r="N30" s="7">
        <f t="shared" si="26"/>
        <v>151.36986301369862</v>
      </c>
      <c r="O30" s="7">
        <f t="shared" si="27"/>
        <v>52680.612359995597</v>
      </c>
      <c r="P30" s="7">
        <f t="shared" si="28"/>
        <v>162054.79452054793</v>
      </c>
      <c r="Q30" s="7">
        <f t="shared" si="29"/>
        <v>752681.46167506417</v>
      </c>
      <c r="R30" s="7">
        <f t="shared" si="30"/>
        <v>21132.979500876805</v>
      </c>
      <c r="S30" s="1">
        <v>48000</v>
      </c>
      <c r="T30" s="7">
        <f t="shared" si="31"/>
        <v>22640.424598947833</v>
      </c>
      <c r="U30" s="7">
        <f t="shared" si="32"/>
        <v>2943.2551978632182</v>
      </c>
    </row>
    <row r="31" spans="1:21" x14ac:dyDescent="0.25">
      <c r="B31" s="1">
        <v>14000</v>
      </c>
      <c r="C31" s="1">
        <f t="shared" si="15"/>
        <v>349999.99999999994</v>
      </c>
      <c r="D31" s="7">
        <f t="shared" si="16"/>
        <v>11506.849315068492</v>
      </c>
      <c r="E31" s="7">
        <f t="shared" si="17"/>
        <v>9205.4794520547948</v>
      </c>
      <c r="F31" s="7">
        <f t="shared" si="18"/>
        <v>3989.0410958904108</v>
      </c>
      <c r="G31" s="7">
        <f t="shared" si="19"/>
        <v>64788.164383561641</v>
      </c>
      <c r="H31" s="7">
        <f t="shared" si="20"/>
        <v>6904.1095890410952</v>
      </c>
      <c r="I31" s="7">
        <f t="shared" si="21"/>
        <v>1687.6712328767123</v>
      </c>
      <c r="J31" s="7">
        <f t="shared" si="22"/>
        <v>1591.780821917808</v>
      </c>
      <c r="K31" s="7">
        <f t="shared" si="23"/>
        <v>2915.0684931506848</v>
      </c>
      <c r="L31" s="7">
        <f t="shared" si="24"/>
        <v>69041.095890410958</v>
      </c>
      <c r="M31" s="7">
        <f t="shared" si="25"/>
        <v>57534.246575342462</v>
      </c>
      <c r="N31" s="7">
        <f t="shared" si="26"/>
        <v>163.01369863013696</v>
      </c>
      <c r="O31" s="7">
        <f t="shared" si="27"/>
        <v>56732.967156918341</v>
      </c>
      <c r="P31" s="7">
        <f t="shared" si="28"/>
        <v>174520.54794520547</v>
      </c>
      <c r="Q31" s="7">
        <f t="shared" si="29"/>
        <v>810580.03565006901</v>
      </c>
      <c r="R31" s="7">
        <f t="shared" si="30"/>
        <v>21132.979500876801</v>
      </c>
      <c r="S31" s="1">
        <v>48000</v>
      </c>
      <c r="T31" s="7">
        <f t="shared" si="31"/>
        <v>22640.42459894784</v>
      </c>
      <c r="U31" s="7">
        <f t="shared" si="32"/>
        <v>3169.6594438526977</v>
      </c>
    </row>
    <row r="32" spans="1:21" x14ac:dyDescent="0.25">
      <c r="B32" s="1">
        <v>15000</v>
      </c>
      <c r="C32" s="1">
        <f t="shared" si="15"/>
        <v>374999.99999999994</v>
      </c>
      <c r="D32" s="7">
        <f t="shared" si="16"/>
        <v>12328.767123287671</v>
      </c>
      <c r="E32" s="7">
        <f t="shared" si="17"/>
        <v>9863.0136986301368</v>
      </c>
      <c r="F32" s="7">
        <f t="shared" si="18"/>
        <v>4273.9726027397255</v>
      </c>
      <c r="G32" s="7">
        <f t="shared" si="19"/>
        <v>69415.890410958906</v>
      </c>
      <c r="H32" s="7">
        <f t="shared" si="20"/>
        <v>7397.2602739726026</v>
      </c>
      <c r="I32" s="7">
        <f t="shared" si="21"/>
        <v>1808.2191780821915</v>
      </c>
      <c r="J32" s="7">
        <f t="shared" si="22"/>
        <v>1705.4794520547944</v>
      </c>
      <c r="K32" s="7">
        <f t="shared" si="23"/>
        <v>3123.2876712328766</v>
      </c>
      <c r="L32" s="7">
        <f t="shared" si="24"/>
        <v>73972.602739726019</v>
      </c>
      <c r="M32" s="7">
        <f t="shared" si="25"/>
        <v>61643.835616438351</v>
      </c>
      <c r="N32" s="7">
        <f t="shared" si="26"/>
        <v>174.65753424657532</v>
      </c>
      <c r="O32" s="7">
        <f t="shared" si="27"/>
        <v>60785.32195384107</v>
      </c>
      <c r="P32" s="7">
        <f t="shared" si="28"/>
        <v>186986.30136986301</v>
      </c>
      <c r="Q32" s="7">
        <f t="shared" si="29"/>
        <v>868478.60962507362</v>
      </c>
      <c r="R32" s="7">
        <f t="shared" si="30"/>
        <v>21132.979500876794</v>
      </c>
      <c r="S32" s="1">
        <v>48000</v>
      </c>
      <c r="T32" s="7">
        <f t="shared" si="31"/>
        <v>22640.424598947848</v>
      </c>
      <c r="U32" s="7">
        <f t="shared" si="32"/>
        <v>3396.0636898421772</v>
      </c>
    </row>
    <row r="33" spans="2:21" x14ac:dyDescent="0.25">
      <c r="B33" s="1">
        <v>16000</v>
      </c>
      <c r="C33" s="1">
        <f t="shared" si="15"/>
        <v>400000</v>
      </c>
      <c r="D33" s="7">
        <f t="shared" si="16"/>
        <v>13150.684931506848</v>
      </c>
      <c r="E33" s="7">
        <f t="shared" si="17"/>
        <v>10520.547945205479</v>
      </c>
      <c r="F33" s="7">
        <f t="shared" si="18"/>
        <v>4558.9041095890407</v>
      </c>
      <c r="G33" s="7">
        <f t="shared" si="19"/>
        <v>74043.616438356155</v>
      </c>
      <c r="H33" s="7">
        <f t="shared" si="20"/>
        <v>7890.4109589041091</v>
      </c>
      <c r="I33" s="7">
        <f t="shared" si="21"/>
        <v>1928.7671232876712</v>
      </c>
      <c r="J33" s="7">
        <f t="shared" si="22"/>
        <v>1819.1780821917807</v>
      </c>
      <c r="K33" s="7">
        <f t="shared" si="23"/>
        <v>3331.5068493150684</v>
      </c>
      <c r="L33" s="7">
        <f t="shared" si="24"/>
        <v>78904.109589041094</v>
      </c>
      <c r="M33" s="7">
        <f t="shared" si="25"/>
        <v>65753.42465753424</v>
      </c>
      <c r="N33" s="7">
        <f t="shared" si="26"/>
        <v>186.30136986301369</v>
      </c>
      <c r="O33" s="7">
        <f t="shared" si="27"/>
        <v>64837.676750763821</v>
      </c>
      <c r="P33" s="7">
        <f t="shared" si="28"/>
        <v>199452.05479452052</v>
      </c>
      <c r="Q33" s="7">
        <f t="shared" si="29"/>
        <v>926377.1836000788</v>
      </c>
      <c r="R33" s="7">
        <f t="shared" si="30"/>
        <v>21132.979500876798</v>
      </c>
      <c r="S33" s="1">
        <v>48000</v>
      </c>
      <c r="T33" s="7">
        <f t="shared" si="31"/>
        <v>22640.424598947844</v>
      </c>
      <c r="U33" s="7">
        <f t="shared" si="32"/>
        <v>3622.4679358316548</v>
      </c>
    </row>
    <row r="34" spans="2:21" x14ac:dyDescent="0.25">
      <c r="B34" s="1">
        <v>17000</v>
      </c>
      <c r="C34" s="1">
        <f t="shared" si="15"/>
        <v>425000</v>
      </c>
      <c r="D34" s="7">
        <f t="shared" si="16"/>
        <v>13972.602739726026</v>
      </c>
      <c r="E34" s="7">
        <f t="shared" si="17"/>
        <v>11178.082191780823</v>
      </c>
      <c r="F34" s="7">
        <f t="shared" si="18"/>
        <v>4843.8356164383558</v>
      </c>
      <c r="G34" s="7">
        <f t="shared" si="19"/>
        <v>78671.34246575342</v>
      </c>
      <c r="H34" s="7">
        <f t="shared" si="20"/>
        <v>8383.5616438356155</v>
      </c>
      <c r="I34" s="7">
        <f t="shared" si="21"/>
        <v>2049.3150684931506</v>
      </c>
      <c r="J34" s="7">
        <f t="shared" si="22"/>
        <v>1932.8767123287669</v>
      </c>
      <c r="K34" s="7">
        <f t="shared" si="23"/>
        <v>3539.7260273972602</v>
      </c>
      <c r="L34" s="7">
        <f t="shared" si="24"/>
        <v>83835.61643835617</v>
      </c>
      <c r="M34" s="7">
        <f t="shared" si="25"/>
        <v>69863.013698630137</v>
      </c>
      <c r="N34" s="7">
        <f t="shared" si="26"/>
        <v>197.94520547945206</v>
      </c>
      <c r="O34" s="7">
        <f t="shared" si="27"/>
        <v>68890.031547686551</v>
      </c>
      <c r="P34" s="7">
        <f t="shared" si="28"/>
        <v>211917.80821917808</v>
      </c>
      <c r="Q34" s="7">
        <f t="shared" si="29"/>
        <v>984275.75757508364</v>
      </c>
      <c r="R34" s="7">
        <f t="shared" si="30"/>
        <v>21132.979500876798</v>
      </c>
      <c r="S34" s="1">
        <v>48000</v>
      </c>
      <c r="T34" s="7">
        <f t="shared" si="31"/>
        <v>22640.424598947844</v>
      </c>
      <c r="U34" s="7">
        <f t="shared" si="32"/>
        <v>3848.8721818211334</v>
      </c>
    </row>
    <row r="35" spans="2:21" x14ac:dyDescent="0.25">
      <c r="B35" s="1">
        <v>18000</v>
      </c>
      <c r="C35" s="1">
        <f t="shared" si="15"/>
        <v>450000</v>
      </c>
      <c r="D35" s="7">
        <f t="shared" si="16"/>
        <v>14794.520547945205</v>
      </c>
      <c r="E35" s="7">
        <f t="shared" si="17"/>
        <v>11835.616438356165</v>
      </c>
      <c r="F35" s="7">
        <f t="shared" si="18"/>
        <v>5128.767123287671</v>
      </c>
      <c r="G35" s="7">
        <f t="shared" si="19"/>
        <v>83299.068493150684</v>
      </c>
      <c r="H35" s="7">
        <f t="shared" si="20"/>
        <v>8876.712328767122</v>
      </c>
      <c r="I35" s="7">
        <f t="shared" si="21"/>
        <v>2169.8630136986303</v>
      </c>
      <c r="J35" s="7">
        <f t="shared" si="22"/>
        <v>2046.5753424657532</v>
      </c>
      <c r="K35" s="7">
        <f t="shared" si="23"/>
        <v>3747.9452054794519</v>
      </c>
      <c r="L35" s="7">
        <f t="shared" si="24"/>
        <v>88767.123287671231</v>
      </c>
      <c r="M35" s="7">
        <f t="shared" si="25"/>
        <v>73972.602739726019</v>
      </c>
      <c r="N35" s="7">
        <f t="shared" si="26"/>
        <v>209.58904109589039</v>
      </c>
      <c r="O35" s="7">
        <f t="shared" si="27"/>
        <v>72942.386344609287</v>
      </c>
      <c r="P35" s="7">
        <f t="shared" si="28"/>
        <v>224383.56164383562</v>
      </c>
      <c r="Q35" s="7">
        <f t="shared" si="29"/>
        <v>1042174.3315500887</v>
      </c>
      <c r="R35" s="7">
        <f t="shared" si="30"/>
        <v>21132.979500876801</v>
      </c>
      <c r="S35" s="1">
        <v>48000</v>
      </c>
      <c r="T35" s="7">
        <f t="shared" si="31"/>
        <v>22640.42459894784</v>
      </c>
      <c r="U35" s="7">
        <f t="shared" si="32"/>
        <v>4075.276427810611</v>
      </c>
    </row>
    <row r="36" spans="2:21" x14ac:dyDescent="0.25">
      <c r="B36" s="1">
        <v>19000</v>
      </c>
      <c r="C36" s="1">
        <f t="shared" si="15"/>
        <v>475000</v>
      </c>
      <c r="D36" s="7">
        <f t="shared" si="16"/>
        <v>15616.438356164383</v>
      </c>
      <c r="E36" s="7">
        <f t="shared" si="17"/>
        <v>12493.150684931506</v>
      </c>
      <c r="F36" s="7">
        <f t="shared" si="18"/>
        <v>5413.698630136987</v>
      </c>
      <c r="G36" s="7">
        <f t="shared" si="19"/>
        <v>87926.794520547934</v>
      </c>
      <c r="H36" s="7">
        <f t="shared" si="20"/>
        <v>9369.8630136986303</v>
      </c>
      <c r="I36" s="7">
        <f t="shared" si="21"/>
        <v>2290.41095890411</v>
      </c>
      <c r="J36" s="7">
        <f t="shared" si="22"/>
        <v>2160.2739726027394</v>
      </c>
      <c r="K36" s="7">
        <f t="shared" si="23"/>
        <v>3956.1643835616437</v>
      </c>
      <c r="L36" s="7">
        <f t="shared" si="24"/>
        <v>93698.630136986292</v>
      </c>
      <c r="M36" s="7">
        <f t="shared" si="25"/>
        <v>78082.191780821915</v>
      </c>
      <c r="N36" s="7">
        <f t="shared" si="26"/>
        <v>221.23287671232876</v>
      </c>
      <c r="O36" s="7">
        <f t="shared" si="27"/>
        <v>76994.741141532038</v>
      </c>
      <c r="P36" s="7">
        <f t="shared" si="28"/>
        <v>236849.31506849316</v>
      </c>
      <c r="Q36" s="7">
        <f t="shared" si="29"/>
        <v>1100072.9055250937</v>
      </c>
      <c r="R36" s="7">
        <f t="shared" si="30"/>
        <v>21132.979500876801</v>
      </c>
      <c r="S36" s="1">
        <v>48000</v>
      </c>
      <c r="T36" s="7">
        <f t="shared" si="31"/>
        <v>22640.42459894784</v>
      </c>
      <c r="U36" s="7">
        <f t="shared" si="32"/>
        <v>4301.6806738000896</v>
      </c>
    </row>
    <row r="37" spans="2:21" x14ac:dyDescent="0.25">
      <c r="B37" s="1">
        <v>20000</v>
      </c>
      <c r="C37" s="1">
        <f t="shared" si="15"/>
        <v>500000</v>
      </c>
      <c r="D37" s="7">
        <f t="shared" si="16"/>
        <v>16438.35616438356</v>
      </c>
      <c r="E37" s="7">
        <f t="shared" si="17"/>
        <v>13150.684931506848</v>
      </c>
      <c r="F37" s="7">
        <f t="shared" si="18"/>
        <v>5698.6301369863022</v>
      </c>
      <c r="G37" s="7">
        <f t="shared" si="19"/>
        <v>92554.520547945198</v>
      </c>
      <c r="H37" s="7">
        <f t="shared" si="20"/>
        <v>9863.0136986301368</v>
      </c>
      <c r="I37" s="7">
        <f t="shared" si="21"/>
        <v>2410.9589041095892</v>
      </c>
      <c r="J37" s="7">
        <f t="shared" si="22"/>
        <v>2273.9726027397255</v>
      </c>
      <c r="K37" s="7">
        <f t="shared" si="23"/>
        <v>4164.3835616438355</v>
      </c>
      <c r="L37" s="7">
        <f t="shared" si="24"/>
        <v>98630.136986301368</v>
      </c>
      <c r="M37" s="7">
        <f t="shared" si="25"/>
        <v>82191.780821917811</v>
      </c>
      <c r="N37" s="7">
        <f t="shared" si="26"/>
        <v>232.8767123287671</v>
      </c>
      <c r="O37" s="7">
        <f t="shared" si="27"/>
        <v>81047.095938454775</v>
      </c>
      <c r="P37" s="7">
        <f t="shared" si="28"/>
        <v>249315.06849315067</v>
      </c>
      <c r="Q37" s="7">
        <f t="shared" si="29"/>
        <v>1157971.4795000986</v>
      </c>
      <c r="R37" s="7">
        <f t="shared" si="30"/>
        <v>21132.979500876801</v>
      </c>
      <c r="S37" s="1">
        <v>48000</v>
      </c>
      <c r="T37" s="7">
        <f t="shared" si="31"/>
        <v>22640.42459894784</v>
      </c>
      <c r="U37" s="7">
        <f t="shared" si="32"/>
        <v>4528.0849197895686</v>
      </c>
    </row>
    <row r="40" spans="2:21" x14ac:dyDescent="0.25">
      <c r="B40" s="53" t="s">
        <v>97</v>
      </c>
      <c r="C40" s="53"/>
      <c r="D40" s="53"/>
      <c r="E40" s="1" t="s">
        <v>98</v>
      </c>
      <c r="F40" s="1">
        <v>150</v>
      </c>
    </row>
    <row r="41" spans="2:21" x14ac:dyDescent="0.25">
      <c r="B41" s="53" t="s">
        <v>99</v>
      </c>
      <c r="C41" s="53"/>
      <c r="D41" s="53"/>
      <c r="E41" s="1" t="s">
        <v>98</v>
      </c>
      <c r="F41" s="21">
        <f>U27/100</f>
        <v>22.640424598947842</v>
      </c>
    </row>
    <row r="42" spans="2:21" x14ac:dyDescent="0.25">
      <c r="B42" s="53" t="s">
        <v>100</v>
      </c>
      <c r="C42" s="53"/>
      <c r="D42" s="53"/>
      <c r="E42" s="1" t="s">
        <v>101</v>
      </c>
      <c r="F42" s="9">
        <f>F40/F41</f>
        <v>6.6253174424551595</v>
      </c>
    </row>
    <row r="43" spans="2:21" x14ac:dyDescent="0.25">
      <c r="B43" s="53"/>
      <c r="C43" s="53"/>
      <c r="D43" s="53"/>
      <c r="E43" s="1" t="s">
        <v>102</v>
      </c>
      <c r="F43" s="7">
        <f>F42*12</f>
        <v>79.503809309461914</v>
      </c>
    </row>
  </sheetData>
  <mergeCells count="7">
    <mergeCell ref="B43:D43"/>
    <mergeCell ref="Q25:R25"/>
    <mergeCell ref="B3:P3"/>
    <mergeCell ref="T25:U25"/>
    <mergeCell ref="B40:D40"/>
    <mergeCell ref="B41:D41"/>
    <mergeCell ref="B42:D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NG Consumption</vt:lpstr>
      <vt:lpstr>Sensitivity</vt:lpstr>
      <vt:lpstr>MeOH</vt:lpstr>
      <vt:lpstr>CS2</vt:lpstr>
      <vt:lpstr>H2O2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2017-02-07T06:21:59Z</dcterms:modified>
</cp:coreProperties>
</file>