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95" windowWidth="12240" windowHeight="6675" tabRatio="599"/>
  </bookViews>
  <sheets>
    <sheet name="V V F India Out Standing" sheetId="3" r:id="rId1"/>
    <sheet name="closed" sheetId="2" r:id="rId2"/>
    <sheet name="V V F LTD Out Standing " sheetId="4" r:id="rId3"/>
    <sheet name="VVF Ltd - closed" sheetId="5" r:id="rId4"/>
    <sheet name="Maheshwari 7 crores For Navsari" sheetId="7" state="hidden" r:id="rId5"/>
    <sheet name="27.03.2017 Allocation" sheetId="8" r:id="rId6"/>
  </sheets>
  <externalReferences>
    <externalReference r:id="rId7"/>
  </externalReferences>
  <definedNames>
    <definedName name="_xlnm._FilterDatabase" localSheetId="1" hidden="1">closed!$A$2:$BL$2249</definedName>
    <definedName name="_xlnm._FilterDatabase" localSheetId="0" hidden="1">'V V F India Out Standing'!$A$2:$BL$221</definedName>
    <definedName name="_xlnm._FilterDatabase" localSheetId="2" hidden="1">'V V F LTD Out Standing '!$A$1:$R$1</definedName>
    <definedName name="_xlnm._FilterDatabase" localSheetId="3" hidden="1">'VVF Ltd - closed'!$A$1:$AA$328</definedName>
    <definedName name="_xlnm.Print_Area" localSheetId="1">closed!$B$2:$O$2072</definedName>
    <definedName name="_xlnm.Print_Area" localSheetId="0">'V V F India Out Standing'!$B$2:$O$9</definedName>
    <definedName name="_xlnm.Print_Area" localSheetId="2">'V V F LTD Out Standing '!$B$1:$Q$1</definedName>
  </definedNames>
  <calcPr calcId="145621"/>
</workbook>
</file>

<file path=xl/calcChain.xml><?xml version="1.0" encoding="utf-8"?>
<calcChain xmlns="http://schemas.openxmlformats.org/spreadsheetml/2006/main">
  <c r="N196" i="3" l="1"/>
  <c r="N213" i="3" l="1"/>
  <c r="N193" i="3"/>
  <c r="N212" i="3"/>
  <c r="N191" i="3"/>
  <c r="N190" i="3"/>
  <c r="N189" i="3"/>
  <c r="N188" i="3"/>
  <c r="N187" i="3"/>
  <c r="N205" i="3"/>
  <c r="N204" i="3"/>
  <c r="N211" i="3"/>
  <c r="N210" i="3"/>
  <c r="N209" i="3"/>
  <c r="M196" i="3"/>
  <c r="P196" i="3" s="1"/>
  <c r="M213" i="3"/>
  <c r="P213" i="3" s="1"/>
  <c r="M193" i="3"/>
  <c r="P193" i="3" s="1"/>
  <c r="M212" i="3"/>
  <c r="P212" i="3" s="1"/>
  <c r="M191" i="3"/>
  <c r="P191" i="3" s="1"/>
  <c r="M190" i="3"/>
  <c r="P190" i="3" s="1"/>
  <c r="M189" i="3"/>
  <c r="P189" i="3" s="1"/>
  <c r="M188" i="3"/>
  <c r="P188" i="3" s="1"/>
  <c r="M187" i="3"/>
  <c r="P187" i="3" s="1"/>
  <c r="M205" i="3"/>
  <c r="P205" i="3" s="1"/>
  <c r="M204" i="3"/>
  <c r="P204" i="3" s="1"/>
  <c r="M211" i="3"/>
  <c r="P211" i="3" s="1"/>
  <c r="M210" i="3"/>
  <c r="P210" i="3" s="1"/>
  <c r="M209" i="3"/>
  <c r="P209" i="3" s="1"/>
  <c r="N197" i="3"/>
  <c r="N218" i="3"/>
  <c r="N156" i="3"/>
  <c r="N175" i="3"/>
  <c r="N186" i="3"/>
  <c r="N185" i="3"/>
  <c r="N217" i="3"/>
  <c r="N202" i="3"/>
  <c r="N201" i="3"/>
  <c r="N200" i="3"/>
  <c r="N199" i="3"/>
  <c r="N198" i="3"/>
  <c r="N192" i="3"/>
  <c r="N216" i="3"/>
  <c r="N215" i="3"/>
  <c r="N214" i="3"/>
  <c r="N195" i="3"/>
  <c r="N194" i="3"/>
  <c r="M217" i="3"/>
  <c r="P217" i="3" s="1"/>
  <c r="M202" i="3"/>
  <c r="P202" i="3" s="1"/>
  <c r="M201" i="3"/>
  <c r="P201" i="3" s="1"/>
  <c r="M200" i="3"/>
  <c r="P200" i="3" s="1"/>
  <c r="M199" i="3"/>
  <c r="P199" i="3" s="1"/>
  <c r="M198" i="3"/>
  <c r="P198" i="3" s="1"/>
  <c r="M192" i="3"/>
  <c r="P192" i="3" s="1"/>
  <c r="M197" i="3"/>
  <c r="P197" i="3" s="1"/>
  <c r="M216" i="3"/>
  <c r="P216" i="3" s="1"/>
  <c r="M215" i="3"/>
  <c r="P215" i="3" s="1"/>
  <c r="M214" i="3"/>
  <c r="P214" i="3" s="1"/>
  <c r="M195" i="3"/>
  <c r="P195" i="3" s="1"/>
  <c r="M194" i="3"/>
  <c r="P194" i="3" s="1"/>
  <c r="O320" i="5" l="1"/>
  <c r="P320" i="5"/>
  <c r="R320" i="5"/>
  <c r="O319" i="5"/>
  <c r="P319" i="5"/>
  <c r="R319" i="5"/>
  <c r="O318" i="5"/>
  <c r="P318" i="5"/>
  <c r="R318" i="5"/>
  <c r="O317" i="5"/>
  <c r="P317" i="5"/>
  <c r="R317" i="5"/>
  <c r="P316" i="5"/>
  <c r="O316" i="5"/>
  <c r="R316" i="5" s="1"/>
  <c r="P315" i="5"/>
  <c r="O315" i="5"/>
  <c r="R315" i="5" s="1"/>
  <c r="M143" i="3" l="1"/>
  <c r="N143" i="3"/>
  <c r="P143" i="3"/>
  <c r="M142" i="3"/>
  <c r="N142" i="3"/>
  <c r="P142" i="3"/>
  <c r="M122" i="3"/>
  <c r="P122" i="3" s="1"/>
  <c r="N122" i="3"/>
  <c r="M80" i="3"/>
  <c r="P80" i="3" s="1"/>
  <c r="N80" i="3"/>
  <c r="M2266" i="2" l="1"/>
  <c r="N2266" i="2"/>
  <c r="P2266" i="2"/>
  <c r="M2265" i="2"/>
  <c r="N2265" i="2"/>
  <c r="P2265" i="2"/>
  <c r="M2264" i="2"/>
  <c r="N2264" i="2"/>
  <c r="P2264" i="2"/>
  <c r="M2263" i="2"/>
  <c r="N2263" i="2"/>
  <c r="P2263" i="2"/>
  <c r="M2262" i="2"/>
  <c r="N2262" i="2"/>
  <c r="P2262" i="2"/>
  <c r="N36" i="8" l="1"/>
  <c r="M36" i="8"/>
  <c r="P36" i="8" s="1"/>
  <c r="N11" i="8" l="1"/>
  <c r="M11" i="8"/>
  <c r="P11" i="8" s="1"/>
  <c r="N10" i="8"/>
  <c r="M10" i="8"/>
  <c r="P10" i="8" s="1"/>
  <c r="M57" i="3"/>
  <c r="N57" i="3"/>
  <c r="P57" i="3"/>
  <c r="M56" i="3"/>
  <c r="N56" i="3"/>
  <c r="P56" i="3"/>
  <c r="P7" i="8"/>
  <c r="N12" i="8"/>
  <c r="M12" i="8"/>
  <c r="P12" i="8" s="1"/>
  <c r="N42" i="8"/>
  <c r="M42" i="8"/>
  <c r="P42" i="8" s="1"/>
  <c r="N41" i="8"/>
  <c r="M41" i="8"/>
  <c r="P41" i="8" s="1"/>
  <c r="N40" i="8"/>
  <c r="M40" i="8"/>
  <c r="P40" i="8" s="1"/>
  <c r="M39" i="8"/>
  <c r="N39" i="8"/>
  <c r="P39" i="8"/>
  <c r="M38" i="8"/>
  <c r="N38" i="8"/>
  <c r="P38" i="8"/>
  <c r="N37" i="8"/>
  <c r="M37" i="8"/>
  <c r="P37" i="8" s="1"/>
  <c r="N35" i="8"/>
  <c r="M35" i="8"/>
  <c r="P35" i="8" s="1"/>
  <c r="N34" i="8"/>
  <c r="M34" i="8"/>
  <c r="P34" i="8" s="1"/>
  <c r="N33" i="8"/>
  <c r="M33" i="8"/>
  <c r="P33" i="8" s="1"/>
  <c r="N32" i="8"/>
  <c r="M32" i="8"/>
  <c r="P32" i="8" s="1"/>
  <c r="N31" i="8"/>
  <c r="M31" i="8"/>
  <c r="P31" i="8" s="1"/>
  <c r="N30" i="8"/>
  <c r="M30" i="8"/>
  <c r="P30" i="8" s="1"/>
  <c r="N29" i="8"/>
  <c r="M29" i="8"/>
  <c r="P29" i="8" s="1"/>
  <c r="N28" i="8"/>
  <c r="M28" i="8"/>
  <c r="P28" i="8" s="1"/>
  <c r="M27" i="8"/>
  <c r="N27" i="8"/>
  <c r="P27" i="8"/>
  <c r="N26" i="8"/>
  <c r="M26" i="8"/>
  <c r="P26" i="8" s="1"/>
  <c r="N25" i="8"/>
  <c r="M25" i="8"/>
  <c r="P25" i="8" s="1"/>
  <c r="N24" i="8"/>
  <c r="M24" i="8"/>
  <c r="P24" i="8" s="1"/>
  <c r="N23" i="8"/>
  <c r="M23" i="8"/>
  <c r="P23" i="8" s="1"/>
  <c r="N22" i="8"/>
  <c r="M22" i="8"/>
  <c r="P22" i="8" s="1"/>
  <c r="M21" i="8"/>
  <c r="P21" i="8" s="1"/>
  <c r="N21" i="8"/>
  <c r="M20" i="8"/>
  <c r="P20" i="8" s="1"/>
  <c r="N20" i="8"/>
  <c r="N19" i="8"/>
  <c r="M19" i="8"/>
  <c r="P19" i="8" s="1"/>
  <c r="N18" i="8"/>
  <c r="M18" i="8"/>
  <c r="P18" i="8" s="1"/>
  <c r="N17" i="8"/>
  <c r="M17" i="8"/>
  <c r="P17" i="8" s="1"/>
  <c r="N16" i="8"/>
  <c r="M16" i="8"/>
  <c r="P16" i="8" s="1"/>
  <c r="N15" i="8"/>
  <c r="M15" i="8"/>
  <c r="M14" i="8"/>
  <c r="P14" i="8" s="1"/>
  <c r="N14" i="8"/>
  <c r="M13" i="8"/>
  <c r="P13" i="8" s="1"/>
  <c r="N13" i="8"/>
  <c r="N9" i="8"/>
  <c r="M9" i="8"/>
  <c r="P9" i="8" s="1"/>
  <c r="N8" i="8"/>
  <c r="M8" i="8"/>
  <c r="P8" i="8" s="1"/>
  <c r="N7" i="8"/>
  <c r="P6" i="8"/>
  <c r="N6" i="8"/>
  <c r="M6" i="8"/>
  <c r="P5" i="8"/>
  <c r="N5" i="8"/>
  <c r="M5" i="8"/>
  <c r="P4" i="8"/>
  <c r="N4" i="8"/>
  <c r="M4" i="8"/>
  <c r="P3" i="8"/>
  <c r="N3" i="8"/>
  <c r="P2" i="8"/>
  <c r="N2" i="8"/>
  <c r="M2267" i="2" l="1"/>
  <c r="N2267" i="2"/>
  <c r="S2267" i="2" s="1"/>
  <c r="P2267" i="2"/>
  <c r="M2268" i="2"/>
  <c r="N2268" i="2"/>
  <c r="S2268" i="2" s="1"/>
  <c r="P2268" i="2"/>
  <c r="M2269" i="2"/>
  <c r="N2269" i="2"/>
  <c r="S2269" i="2" s="1"/>
  <c r="P2269" i="2"/>
  <c r="M2270" i="2"/>
  <c r="N2270" i="2"/>
  <c r="S2270" i="2" s="1"/>
  <c r="M2271" i="2"/>
  <c r="N2271" i="2"/>
  <c r="S2271" i="2" s="1"/>
  <c r="P2271" i="2"/>
  <c r="M2272" i="2"/>
  <c r="N2272" i="2"/>
  <c r="S2272" i="2" s="1"/>
  <c r="P2272" i="2"/>
  <c r="M2273" i="2"/>
  <c r="N2273" i="2"/>
  <c r="S2273" i="2" s="1"/>
  <c r="P2273" i="2"/>
  <c r="M2274" i="2"/>
  <c r="N2274" i="2"/>
  <c r="S2274" i="2" s="1"/>
  <c r="P2274" i="2"/>
  <c r="M2275" i="2"/>
  <c r="N2275" i="2"/>
  <c r="S2275" i="2" s="1"/>
  <c r="P2275" i="2"/>
  <c r="M2276" i="2"/>
  <c r="N2276" i="2"/>
  <c r="S2276" i="2" s="1"/>
  <c r="P2276" i="2"/>
  <c r="M2277" i="2"/>
  <c r="N2277" i="2"/>
  <c r="S2277" i="2" s="1"/>
  <c r="P2277" i="2"/>
  <c r="M2260" i="2"/>
  <c r="N2260" i="2"/>
  <c r="S2260" i="2" s="1"/>
  <c r="P2260" i="2"/>
  <c r="M2261" i="2"/>
  <c r="N2261" i="2"/>
  <c r="S2261" i="2" s="1"/>
  <c r="P2261" i="2"/>
  <c r="N2254" i="2"/>
  <c r="N2255" i="2"/>
  <c r="P2255" i="2"/>
  <c r="N2256" i="2"/>
  <c r="N2257" i="2"/>
  <c r="S2257" i="2" s="1"/>
  <c r="P2257" i="2"/>
  <c r="N2258" i="2"/>
  <c r="N2259" i="2"/>
  <c r="S2259" i="2" s="1"/>
  <c r="P2259" i="2"/>
  <c r="M2250" i="2"/>
  <c r="P2250" i="2" s="1"/>
  <c r="N2250" i="2"/>
  <c r="M2251" i="2"/>
  <c r="N2251" i="2"/>
  <c r="P2251" i="2"/>
  <c r="M2252" i="2"/>
  <c r="N2252" i="2"/>
  <c r="M2253" i="2"/>
  <c r="P2253" i="2" s="1"/>
  <c r="N2253" i="2"/>
  <c r="P3" i="4" l="1"/>
  <c r="O3" i="4"/>
  <c r="R3" i="4" s="1"/>
  <c r="S3" i="4" s="1"/>
  <c r="P2" i="4"/>
  <c r="O2" i="4"/>
  <c r="R2" i="4" s="1"/>
  <c r="S2" i="4" s="1"/>
  <c r="N208" i="3" l="1"/>
  <c r="N207" i="3"/>
  <c r="N203" i="3"/>
  <c r="N206" i="3"/>
  <c r="N181" i="3"/>
  <c r="N174" i="3"/>
  <c r="M208" i="3"/>
  <c r="P208" i="3" s="1"/>
  <c r="M207" i="3"/>
  <c r="P207" i="3" s="1"/>
  <c r="M203" i="3"/>
  <c r="P203" i="3" s="1"/>
  <c r="M206" i="3"/>
  <c r="P206" i="3" s="1"/>
  <c r="M218" i="3"/>
  <c r="P218" i="3" s="1"/>
  <c r="M156" i="3"/>
  <c r="P156" i="3" s="1"/>
  <c r="M175" i="3"/>
  <c r="P175" i="3" s="1"/>
  <c r="M186" i="3"/>
  <c r="P186" i="3" s="1"/>
  <c r="M185" i="3"/>
  <c r="P185" i="3" s="1"/>
  <c r="M181" i="3"/>
  <c r="P181" i="3" s="1"/>
  <c r="M174" i="3"/>
  <c r="P174" i="3" s="1"/>
  <c r="N173" i="3"/>
  <c r="N165" i="3"/>
  <c r="N172" i="3"/>
  <c r="N164" i="3"/>
  <c r="N163" i="3"/>
  <c r="N184" i="3"/>
  <c r="N183" i="3"/>
  <c r="N182" i="3"/>
  <c r="N155" i="3"/>
  <c r="M173" i="3"/>
  <c r="P173" i="3" s="1"/>
  <c r="M165" i="3"/>
  <c r="P165" i="3" s="1"/>
  <c r="M172" i="3"/>
  <c r="P172" i="3" s="1"/>
  <c r="M164" i="3"/>
  <c r="P164" i="3" s="1"/>
  <c r="M163" i="3"/>
  <c r="P163" i="3" s="1"/>
  <c r="M184" i="3"/>
  <c r="P184" i="3" s="1"/>
  <c r="M183" i="3"/>
  <c r="P183" i="3" s="1"/>
  <c r="M182" i="3"/>
  <c r="P182" i="3" s="1"/>
  <c r="M155" i="3"/>
  <c r="P155" i="3" s="1"/>
  <c r="N180" i="3"/>
  <c r="N179" i="3"/>
  <c r="N178" i="3"/>
  <c r="N177" i="3"/>
  <c r="N176" i="3"/>
  <c r="N162" i="3"/>
  <c r="N161" i="3"/>
  <c r="N171" i="3"/>
  <c r="N160" i="3"/>
  <c r="M180" i="3"/>
  <c r="P180" i="3" s="1"/>
  <c r="M179" i="3"/>
  <c r="P179" i="3" s="1"/>
  <c r="M178" i="3"/>
  <c r="P178" i="3" s="1"/>
  <c r="M177" i="3"/>
  <c r="P177" i="3" s="1"/>
  <c r="M176" i="3"/>
  <c r="P176" i="3" s="1"/>
  <c r="M162" i="3"/>
  <c r="P162" i="3" s="1"/>
  <c r="M161" i="3"/>
  <c r="P161" i="3" s="1"/>
  <c r="M171" i="3"/>
  <c r="P171" i="3" s="1"/>
  <c r="M160" i="3"/>
  <c r="P160" i="3" s="1"/>
  <c r="N12" i="3" l="1"/>
  <c r="P314" i="5" l="1"/>
  <c r="O314" i="5"/>
  <c r="R314" i="5" s="1"/>
  <c r="P313" i="5"/>
  <c r="O313" i="5"/>
  <c r="R313" i="5" s="1"/>
  <c r="P312" i="5"/>
  <c r="O312" i="5"/>
  <c r="R312" i="5" s="1"/>
  <c r="P311" i="5"/>
  <c r="O311" i="5"/>
  <c r="R311" i="5" s="1"/>
  <c r="P310" i="5"/>
  <c r="O310" i="5"/>
  <c r="R310" i="5" s="1"/>
  <c r="P309" i="5"/>
  <c r="O309" i="5"/>
  <c r="R309" i="5" s="1"/>
  <c r="P308" i="5"/>
  <c r="O308" i="5"/>
  <c r="R308" i="5" s="1"/>
  <c r="P307" i="5"/>
  <c r="O307" i="5"/>
  <c r="R307" i="5" s="1"/>
  <c r="P306" i="5"/>
  <c r="O306" i="5"/>
  <c r="R306" i="5" s="1"/>
  <c r="N2249" i="2"/>
  <c r="S2249" i="2" s="1"/>
  <c r="M2249" i="2"/>
  <c r="M2248" i="2" l="1"/>
  <c r="P2248" i="2" s="1"/>
  <c r="N2248" i="2"/>
  <c r="N159" i="3" l="1"/>
  <c r="N158" i="3"/>
  <c r="N157" i="3"/>
  <c r="N154" i="3"/>
  <c r="N153" i="3"/>
  <c r="N71" i="3"/>
  <c r="N70" i="3"/>
  <c r="N78" i="3"/>
  <c r="N77" i="3"/>
  <c r="N121" i="3"/>
  <c r="N111" i="3"/>
  <c r="M159" i="3"/>
  <c r="M158" i="3"/>
  <c r="P158" i="3" s="1"/>
  <c r="M157" i="3"/>
  <c r="M154" i="3"/>
  <c r="P154" i="3" s="1"/>
  <c r="M153" i="3"/>
  <c r="M71" i="3"/>
  <c r="P71" i="3" s="1"/>
  <c r="M70" i="3"/>
  <c r="M78" i="3"/>
  <c r="P78" i="3" s="1"/>
  <c r="M77" i="3"/>
  <c r="P77" i="3" s="1"/>
  <c r="M121" i="3"/>
  <c r="M111" i="3"/>
  <c r="P111" i="3" s="1"/>
  <c r="N110" i="3" l="1"/>
  <c r="N109" i="3"/>
  <c r="N170" i="3"/>
  <c r="N169" i="3"/>
  <c r="N152" i="3"/>
  <c r="N168" i="3"/>
  <c r="N167" i="3"/>
  <c r="N166" i="3"/>
  <c r="N151" i="3"/>
  <c r="M110" i="3"/>
  <c r="P110" i="3" s="1"/>
  <c r="M109" i="3"/>
  <c r="M170" i="3"/>
  <c r="P170" i="3" s="1"/>
  <c r="M169" i="3"/>
  <c r="P169" i="3" s="1"/>
  <c r="M152" i="3"/>
  <c r="P152" i="3" s="1"/>
  <c r="M168" i="3"/>
  <c r="P168" i="3" s="1"/>
  <c r="M167" i="3"/>
  <c r="P167" i="3" s="1"/>
  <c r="M166" i="3"/>
  <c r="P166" i="3" s="1"/>
  <c r="M151" i="3"/>
  <c r="P151" i="3" s="1"/>
  <c r="N150" i="3"/>
  <c r="N145" i="3"/>
  <c r="N141" i="3"/>
  <c r="N140" i="3"/>
  <c r="N148" i="3"/>
  <c r="N147" i="3"/>
  <c r="N146" i="3"/>
  <c r="M150" i="3"/>
  <c r="P150" i="3" s="1"/>
  <c r="M145" i="3"/>
  <c r="P145" i="3" s="1"/>
  <c r="M141" i="3"/>
  <c r="P141" i="3" s="1"/>
  <c r="M140" i="3"/>
  <c r="P140" i="3" s="1"/>
  <c r="M148" i="3"/>
  <c r="P148" i="3" s="1"/>
  <c r="M147" i="3"/>
  <c r="P147" i="3" s="1"/>
  <c r="M146" i="3"/>
  <c r="P146" i="3" s="1"/>
  <c r="M2244" i="2" l="1"/>
  <c r="N2244" i="2"/>
  <c r="S2244" i="2" s="1"/>
  <c r="P2244" i="2"/>
  <c r="M2245" i="2"/>
  <c r="N2245" i="2"/>
  <c r="S2245" i="2" s="1"/>
  <c r="P2245" i="2"/>
  <c r="M2246" i="2"/>
  <c r="N2246" i="2"/>
  <c r="S2246" i="2" s="1"/>
  <c r="P2246" i="2"/>
  <c r="M2247" i="2"/>
  <c r="N2247" i="2"/>
  <c r="S2247" i="2" s="1"/>
  <c r="P2247" i="2"/>
  <c r="M2239" i="2"/>
  <c r="N2239" i="2"/>
  <c r="S2239" i="2" s="1"/>
  <c r="M2240" i="2"/>
  <c r="N2240" i="2"/>
  <c r="S2240" i="2" s="1"/>
  <c r="P2240" i="2"/>
  <c r="M2241" i="2"/>
  <c r="N2241" i="2"/>
  <c r="S2241" i="2" s="1"/>
  <c r="M2242" i="2"/>
  <c r="N2242" i="2"/>
  <c r="S2242" i="2" s="1"/>
  <c r="P2242" i="2"/>
  <c r="M2243" i="2"/>
  <c r="N2243" i="2"/>
  <c r="S2243" i="2" s="1"/>
  <c r="P2243" i="2"/>
  <c r="M2237" i="2"/>
  <c r="N2237" i="2"/>
  <c r="S2237" i="2" s="1"/>
  <c r="P2237" i="2"/>
  <c r="M2238" i="2"/>
  <c r="N2238" i="2"/>
  <c r="S2238" i="2" s="1"/>
  <c r="P2238" i="2"/>
  <c r="M2231" i="2"/>
  <c r="N2231" i="2"/>
  <c r="S2231" i="2" s="1"/>
  <c r="M2232" i="2"/>
  <c r="N2232" i="2"/>
  <c r="S2232" i="2" s="1"/>
  <c r="P2232" i="2"/>
  <c r="M2233" i="2"/>
  <c r="N2233" i="2"/>
  <c r="S2233" i="2" s="1"/>
  <c r="M2234" i="2"/>
  <c r="N2234" i="2"/>
  <c r="S2234" i="2" s="1"/>
  <c r="P2234" i="2"/>
  <c r="M2235" i="2"/>
  <c r="N2235" i="2"/>
  <c r="S2235" i="2" s="1"/>
  <c r="P2235" i="2"/>
  <c r="M2236" i="2"/>
  <c r="N2236" i="2"/>
  <c r="S2236" i="2" s="1"/>
  <c r="P2236" i="2"/>
  <c r="N2227" i="2"/>
  <c r="S2227" i="2" s="1"/>
  <c r="P2227" i="2"/>
  <c r="N2228" i="2"/>
  <c r="S2228" i="2" s="1"/>
  <c r="P2228" i="2"/>
  <c r="M2229" i="2"/>
  <c r="N2229" i="2"/>
  <c r="S2229" i="2" s="1"/>
  <c r="P2229" i="2"/>
  <c r="M2230" i="2"/>
  <c r="N2230" i="2"/>
  <c r="S2230" i="2" s="1"/>
  <c r="P2230" i="2"/>
  <c r="N2223" i="2"/>
  <c r="S2223" i="2" s="1"/>
  <c r="P2223" i="2"/>
  <c r="M2224" i="2"/>
  <c r="N2224" i="2"/>
  <c r="S2224" i="2" s="1"/>
  <c r="P2224" i="2"/>
  <c r="M2225" i="2"/>
  <c r="N2225" i="2"/>
  <c r="S2225" i="2" s="1"/>
  <c r="P2225" i="2"/>
  <c r="M2226" i="2"/>
  <c r="N2226" i="2"/>
  <c r="S2226" i="2" s="1"/>
  <c r="P2226" i="2"/>
  <c r="N2220" i="2"/>
  <c r="S2220" i="2" s="1"/>
  <c r="P2220" i="2"/>
  <c r="N2221" i="2"/>
  <c r="S2221" i="2" s="1"/>
  <c r="P2221" i="2"/>
  <c r="N2222" i="2"/>
  <c r="S2222" i="2" s="1"/>
  <c r="P2222" i="2"/>
  <c r="N2216" i="2"/>
  <c r="S2216" i="2" s="1"/>
  <c r="P2216" i="2"/>
  <c r="N2217" i="2"/>
  <c r="S2217" i="2" s="1"/>
  <c r="P2217" i="2"/>
  <c r="N2218" i="2"/>
  <c r="S2218" i="2" s="1"/>
  <c r="P2218" i="2"/>
  <c r="N2219" i="2"/>
  <c r="S2219" i="2" s="1"/>
  <c r="P2219" i="2"/>
  <c r="N2212" i="2"/>
  <c r="S2212" i="2" s="1"/>
  <c r="N2213" i="2"/>
  <c r="S2213" i="2" s="1"/>
  <c r="P2213" i="2"/>
  <c r="N2214" i="2"/>
  <c r="S2214" i="2" s="1"/>
  <c r="N2215" i="2"/>
  <c r="S2215" i="2" s="1"/>
  <c r="P2215" i="2"/>
  <c r="M2208" i="2"/>
  <c r="N2208" i="2"/>
  <c r="S2208" i="2" s="1"/>
  <c r="P2208" i="2"/>
  <c r="M2209" i="2"/>
  <c r="P2209" i="2" s="1"/>
  <c r="N2209" i="2"/>
  <c r="S2209" i="2" s="1"/>
  <c r="N2210" i="2"/>
  <c r="S2210" i="2" s="1"/>
  <c r="N2211" i="2"/>
  <c r="S2211" i="2" s="1"/>
  <c r="P2211" i="2"/>
  <c r="M2205" i="2"/>
  <c r="P2205" i="2" s="1"/>
  <c r="N2205" i="2"/>
  <c r="S2205" i="2" s="1"/>
  <c r="M2206" i="2"/>
  <c r="P2206" i="2" s="1"/>
  <c r="N2206" i="2"/>
  <c r="S2206" i="2" s="1"/>
  <c r="M2207" i="2"/>
  <c r="P2207" i="2" s="1"/>
  <c r="N2207" i="2"/>
  <c r="S2207" i="2" s="1"/>
  <c r="O303" i="5" l="1"/>
  <c r="P303" i="5"/>
  <c r="R303" i="5"/>
  <c r="O304" i="5"/>
  <c r="P304" i="5"/>
  <c r="R304" i="5"/>
  <c r="O305" i="5"/>
  <c r="P305" i="5"/>
  <c r="R305" i="5"/>
  <c r="O302" i="5"/>
  <c r="P302" i="5"/>
  <c r="R302" i="5"/>
  <c r="O301" i="5"/>
  <c r="P301" i="5"/>
  <c r="R301" i="5"/>
  <c r="O300" i="5"/>
  <c r="P300" i="5"/>
  <c r="R300" i="5"/>
  <c r="O299" i="5"/>
  <c r="P299" i="5"/>
  <c r="R299" i="5"/>
  <c r="O298" i="5"/>
  <c r="P298" i="5"/>
  <c r="R298" i="5"/>
  <c r="O297" i="5"/>
  <c r="P297" i="5"/>
  <c r="R297" i="5"/>
  <c r="O296" i="5"/>
  <c r="P296" i="5"/>
  <c r="R296" i="5"/>
  <c r="O295" i="5"/>
  <c r="P295" i="5"/>
  <c r="R295" i="5"/>
  <c r="O294" i="5"/>
  <c r="P294" i="5"/>
  <c r="R294" i="5"/>
  <c r="O293" i="5"/>
  <c r="R293" i="5" s="1"/>
  <c r="P293" i="5"/>
  <c r="O292" i="5"/>
  <c r="P292" i="5"/>
  <c r="R292" i="5"/>
  <c r="O291" i="5"/>
  <c r="R291" i="5" s="1"/>
  <c r="P291" i="5"/>
  <c r="O290" i="5"/>
  <c r="P290" i="5"/>
  <c r="R290" i="5"/>
  <c r="O289" i="5"/>
  <c r="R289" i="5" s="1"/>
  <c r="P289" i="5"/>
  <c r="O288" i="5"/>
  <c r="R288" i="5" s="1"/>
  <c r="P288" i="5"/>
  <c r="O287" i="5"/>
  <c r="R287" i="5" s="1"/>
  <c r="P287" i="5"/>
  <c r="M2204" i="2" l="1"/>
  <c r="N2204" i="2"/>
  <c r="S2204" i="2" s="1"/>
  <c r="M2199" i="2" l="1"/>
  <c r="N2199" i="2"/>
  <c r="S2199" i="2" s="1"/>
  <c r="P2199" i="2"/>
  <c r="M2200" i="2"/>
  <c r="N2200" i="2"/>
  <c r="S2200" i="2" s="1"/>
  <c r="P2200" i="2"/>
  <c r="M2201" i="2"/>
  <c r="N2201" i="2"/>
  <c r="S2201" i="2" s="1"/>
  <c r="P2201" i="2"/>
  <c r="M2202" i="2"/>
  <c r="N2202" i="2"/>
  <c r="S2202" i="2" s="1"/>
  <c r="P2202" i="2"/>
  <c r="M2203" i="2"/>
  <c r="N2203" i="2"/>
  <c r="S2203" i="2" s="1"/>
  <c r="P2203" i="2"/>
  <c r="N2198" i="2"/>
  <c r="S2198" i="2" s="1"/>
  <c r="P2198" i="2"/>
  <c r="N2194" i="2"/>
  <c r="S2194" i="2" s="1"/>
  <c r="P2194" i="2"/>
  <c r="N2195" i="2"/>
  <c r="S2195" i="2" s="1"/>
  <c r="P2195" i="2"/>
  <c r="N2196" i="2"/>
  <c r="S2196" i="2" s="1"/>
  <c r="P2196" i="2"/>
  <c r="N2197" i="2"/>
  <c r="S2197" i="2" s="1"/>
  <c r="P2197" i="2"/>
  <c r="M2193" i="2"/>
  <c r="N2193" i="2"/>
  <c r="S2193" i="2" s="1"/>
  <c r="P2193" i="2"/>
  <c r="N2192" i="2"/>
  <c r="S2192" i="2" s="1"/>
  <c r="P2192" i="2"/>
  <c r="M2190" i="2"/>
  <c r="N2190" i="2"/>
  <c r="S2190" i="2" s="1"/>
  <c r="P2190" i="2"/>
  <c r="M2191" i="2"/>
  <c r="N2191" i="2"/>
  <c r="S2191" i="2" s="1"/>
  <c r="P2191" i="2"/>
  <c r="M2189" i="2"/>
  <c r="N2189" i="2"/>
  <c r="S2189" i="2" s="1"/>
  <c r="P2189" i="2"/>
  <c r="M2184" i="2"/>
  <c r="P2184" i="2" s="1"/>
  <c r="N2184" i="2"/>
  <c r="S2184" i="2" s="1"/>
  <c r="M2185" i="2"/>
  <c r="N2185" i="2"/>
  <c r="S2185" i="2" s="1"/>
  <c r="P2185" i="2"/>
  <c r="M2186" i="2"/>
  <c r="N2186" i="2"/>
  <c r="S2186" i="2" s="1"/>
  <c r="P2186" i="2"/>
  <c r="N2187" i="2"/>
  <c r="S2187" i="2" s="1"/>
  <c r="P2187" i="2"/>
  <c r="N2188" i="2"/>
  <c r="S2188" i="2" s="1"/>
  <c r="P2188" i="2"/>
  <c r="M2183" i="2"/>
  <c r="N2183" i="2"/>
  <c r="S2183" i="2" s="1"/>
  <c r="P2183" i="2"/>
  <c r="N2180" i="2"/>
  <c r="S2180" i="2" s="1"/>
  <c r="P2180" i="2"/>
  <c r="N2181" i="2"/>
  <c r="S2181" i="2" s="1"/>
  <c r="P2181" i="2"/>
  <c r="N2182" i="2"/>
  <c r="S2182" i="2" s="1"/>
  <c r="P2182" i="2"/>
  <c r="M2179" i="2"/>
  <c r="N2179" i="2"/>
  <c r="S2179" i="2" s="1"/>
  <c r="P2179" i="2"/>
  <c r="N2175" i="2"/>
  <c r="S2175" i="2" s="1"/>
  <c r="P2175" i="2"/>
  <c r="M2176" i="2"/>
  <c r="N2176" i="2"/>
  <c r="S2176" i="2" s="1"/>
  <c r="P2176" i="2"/>
  <c r="M2177" i="2"/>
  <c r="N2177" i="2"/>
  <c r="S2177" i="2" s="1"/>
  <c r="P2177" i="2"/>
  <c r="N2178" i="2"/>
  <c r="S2178" i="2" s="1"/>
  <c r="P2178" i="2"/>
  <c r="N2171" i="2"/>
  <c r="S2171" i="2" s="1"/>
  <c r="P2171" i="2"/>
  <c r="N2172" i="2"/>
  <c r="S2172" i="2" s="1"/>
  <c r="P2172" i="2"/>
  <c r="N2173" i="2"/>
  <c r="S2173" i="2" s="1"/>
  <c r="P2173" i="2"/>
  <c r="N2174" i="2"/>
  <c r="S2174" i="2" s="1"/>
  <c r="P2174" i="2"/>
  <c r="M2170" i="2"/>
  <c r="P2170" i="2" s="1"/>
  <c r="N2170" i="2"/>
  <c r="S2170" i="2" s="1"/>
  <c r="M2169" i="2"/>
  <c r="P2169" i="2" s="1"/>
  <c r="N2169" i="2"/>
  <c r="S2169" i="2" s="1"/>
  <c r="M2168" i="2"/>
  <c r="P2168" i="2" s="1"/>
  <c r="M2167" i="2"/>
  <c r="P2167" i="2" s="1"/>
  <c r="N2168" i="2"/>
  <c r="N2167" i="2"/>
  <c r="N139" i="3" l="1"/>
  <c r="N138" i="3"/>
  <c r="N137" i="3"/>
  <c r="N149" i="3"/>
  <c r="N136" i="3"/>
  <c r="N135" i="3"/>
  <c r="N134" i="3"/>
  <c r="N133" i="3"/>
  <c r="N132" i="3"/>
  <c r="N131" i="3"/>
  <c r="N130" i="3"/>
  <c r="N129" i="3"/>
  <c r="M139" i="3"/>
  <c r="P139" i="3" s="1"/>
  <c r="M138" i="3"/>
  <c r="P138" i="3" s="1"/>
  <c r="M137" i="3"/>
  <c r="P137" i="3" s="1"/>
  <c r="M149" i="3"/>
  <c r="P149" i="3" s="1"/>
  <c r="M136" i="3"/>
  <c r="P136" i="3" s="1"/>
  <c r="M135" i="3"/>
  <c r="P135" i="3" s="1"/>
  <c r="M134" i="3"/>
  <c r="P134" i="3" s="1"/>
  <c r="M133" i="3"/>
  <c r="P133" i="3" s="1"/>
  <c r="M132" i="3"/>
  <c r="P132" i="3" s="1"/>
  <c r="M131" i="3"/>
  <c r="P131" i="3" s="1"/>
  <c r="M130" i="3"/>
  <c r="P130" i="3" s="1"/>
  <c r="M129" i="3"/>
  <c r="P129" i="3" s="1"/>
  <c r="N144" i="3"/>
  <c r="N101" i="3" l="1"/>
  <c r="N100" i="3"/>
  <c r="N120" i="3"/>
  <c r="N108" i="3"/>
  <c r="N107" i="3"/>
  <c r="N99" i="3"/>
  <c r="N98" i="3"/>
  <c r="N119" i="3"/>
  <c r="N118" i="3"/>
  <c r="N106" i="3"/>
  <c r="M101" i="3"/>
  <c r="P101" i="3" s="1"/>
  <c r="M100" i="3"/>
  <c r="P100" i="3" s="1"/>
  <c r="M144" i="3"/>
  <c r="P144" i="3" s="1"/>
  <c r="M120" i="3"/>
  <c r="P120" i="3" s="1"/>
  <c r="M108" i="3"/>
  <c r="P108" i="3" s="1"/>
  <c r="M107" i="3"/>
  <c r="P107" i="3" s="1"/>
  <c r="M99" i="3"/>
  <c r="P99" i="3" s="1"/>
  <c r="M98" i="3"/>
  <c r="P98" i="3" s="1"/>
  <c r="M119" i="3"/>
  <c r="P119" i="3" s="1"/>
  <c r="M118" i="3"/>
  <c r="P118" i="3" s="1"/>
  <c r="M106" i="3"/>
  <c r="P106" i="3" s="1"/>
  <c r="N105" i="3"/>
  <c r="N97" i="3"/>
  <c r="N86" i="3"/>
  <c r="N85" i="3"/>
  <c r="N117" i="3"/>
  <c r="N90" i="3"/>
  <c r="N89" i="3"/>
  <c r="N116" i="3"/>
  <c r="N115" i="3"/>
  <c r="N96" i="3"/>
  <c r="N95" i="3"/>
  <c r="N104" i="3"/>
  <c r="N103" i="3"/>
  <c r="N88" i="3"/>
  <c r="N87" i="3"/>
  <c r="N2166" i="2" l="1"/>
  <c r="M2166" i="2"/>
  <c r="P2166" i="2" s="1"/>
  <c r="A3" i="2"/>
  <c r="A4" i="2"/>
  <c r="A31" i="2" s="1"/>
  <c r="A5" i="2"/>
  <c r="A6" i="2"/>
  <c r="A10" i="2"/>
  <c r="A11" i="2"/>
  <c r="A12" i="2"/>
  <c r="A18" i="2"/>
  <c r="A16" i="2" s="1"/>
  <c r="A32" i="2"/>
  <c r="A33" i="2" s="1"/>
  <c r="A47" i="2"/>
  <c r="A121" i="2"/>
  <c r="A123" i="2" s="1"/>
  <c r="A122" i="2" s="1"/>
  <c r="A124" i="2" s="1"/>
  <c r="A125" i="2" s="1"/>
  <c r="A243" i="2" s="1"/>
  <c r="A244" i="2" s="1"/>
  <c r="A245" i="2" s="1"/>
  <c r="A246" i="2" s="1"/>
  <c r="A610" i="2" s="1"/>
  <c r="A611" i="2" s="1"/>
  <c r="A612" i="2" s="1"/>
  <c r="A613" i="2" s="1"/>
  <c r="A126" i="2" s="1"/>
  <c r="A127" i="2" s="1"/>
  <c r="A128" i="2" s="1"/>
  <c r="A132" i="2" s="1"/>
  <c r="A133" i="2" s="1"/>
  <c r="A134" i="2" s="1"/>
  <c r="A135" i="2" s="1"/>
  <c r="A136" i="2" s="1"/>
  <c r="A137" i="2" s="1"/>
  <c r="A138" i="2" s="1"/>
  <c r="A139" i="2" s="1"/>
  <c r="A130" i="2" s="1"/>
  <c r="A131" i="2" s="1"/>
  <c r="A129" i="2" s="1"/>
  <c r="A140" i="2" s="1"/>
  <c r="A141" i="2" s="1"/>
  <c r="A142" i="2" s="1"/>
  <c r="A143" i="2" s="1"/>
  <c r="A144" i="2" s="1"/>
  <c r="A145" i="2" s="1"/>
  <c r="A240" i="2" s="1"/>
  <c r="A241" i="2" s="1"/>
  <c r="A242" i="2" s="1"/>
  <c r="A247" i="2" s="1"/>
  <c r="A248" i="2" s="1"/>
  <c r="A249" i="2" s="1"/>
  <c r="A250" i="2" s="1"/>
  <c r="A251" i="2" s="1"/>
  <c r="A252" i="2" s="1"/>
  <c r="A254" i="2" s="1"/>
  <c r="A253" i="2" s="1"/>
  <c r="A255" i="2" s="1"/>
  <c r="A256" i="2" s="1"/>
  <c r="A257" i="2" s="1"/>
  <c r="A258" i="2" s="1"/>
  <c r="A407" i="2" s="1"/>
  <c r="A408" i="2" s="1"/>
  <c r="A409" i="2" s="1"/>
  <c r="A146" i="2" s="1"/>
  <c r="A147" i="2" s="1"/>
  <c r="A149" i="2" s="1"/>
  <c r="A148" i="2" s="1"/>
  <c r="A150" i="2" s="1"/>
  <c r="A151" i="2" s="1"/>
  <c r="A152" i="2" s="1"/>
  <c r="A153" i="2" s="1"/>
  <c r="A155" i="2" s="1"/>
  <c r="A154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104" i="2" s="1"/>
  <c r="A105" i="2" s="1"/>
  <c r="A106" i="2" s="1"/>
  <c r="A107" i="2" s="1"/>
  <c r="A401" i="2" s="1"/>
  <c r="A402" i="2" s="1"/>
  <c r="A403" i="2" s="1"/>
  <c r="A404" i="2" s="1"/>
  <c r="A405" i="2" s="1"/>
  <c r="A406" i="2" s="1"/>
  <c r="A454" i="2" s="1"/>
  <c r="A455" i="2" s="1"/>
  <c r="A456" i="2" s="1"/>
  <c r="A457" i="2" s="1"/>
  <c r="A458" i="2" s="1"/>
  <c r="A459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98" i="2"/>
  <c r="A603" i="2"/>
  <c r="A673" i="2" s="1"/>
  <c r="A674" i="2" s="1"/>
  <c r="A557" i="2" s="1"/>
  <c r="A763" i="2"/>
  <c r="A625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01" i="2"/>
  <c r="A844" i="2" s="1"/>
  <c r="A772" i="2" s="1"/>
  <c r="A773" i="2" s="1"/>
  <c r="A774" i="2" s="1"/>
  <c r="A775" i="2" s="1"/>
  <c r="A776" i="2" s="1"/>
  <c r="A821" i="2" s="1"/>
  <c r="A803" i="2" s="1"/>
  <c r="A804" i="2" s="1"/>
  <c r="A805" i="2" s="1"/>
  <c r="A806" i="2" s="1"/>
  <c r="A822" i="2"/>
  <c r="A823" i="2" s="1"/>
  <c r="A824" i="2" s="1"/>
  <c r="A830" i="2"/>
  <c r="A831" i="2" s="1"/>
  <c r="A829" i="2" s="1"/>
  <c r="A836" i="2" s="1"/>
  <c r="A837" i="2" s="1"/>
  <c r="A838" i="2" s="1"/>
  <c r="A742" i="2" s="1"/>
  <c r="A840" i="2"/>
  <c r="A725" i="2" s="1"/>
  <c r="A828" i="2" s="1"/>
  <c r="A690" i="2" s="1"/>
  <c r="A699" i="2" s="1"/>
  <c r="A700" i="2" s="1"/>
  <c r="A719" i="2" s="1"/>
  <c r="A720" i="2" s="1"/>
  <c r="A721" i="2" s="1"/>
  <c r="A764" i="2" s="1"/>
  <c r="A652" i="2" s="1"/>
  <c r="A771" i="2" s="1"/>
  <c r="A614" i="2" s="1"/>
  <c r="A847" i="2"/>
  <c r="A848" i="2" s="1"/>
  <c r="A849" i="2" s="1"/>
  <c r="A864" i="2" s="1"/>
  <c r="A865" i="2" s="1"/>
  <c r="A866" i="2" s="1"/>
  <c r="A852" i="2"/>
  <c r="A851" i="2" s="1"/>
  <c r="A850" i="2" s="1"/>
  <c r="A832" i="2" s="1"/>
  <c r="A843" i="2" s="1"/>
  <c r="A842" i="2" s="1"/>
  <c r="A845" i="2" s="1"/>
  <c r="A833" i="2" s="1"/>
  <c r="A767" i="2" s="1"/>
  <c r="A768" i="2" s="1"/>
  <c r="A827" i="2" s="1"/>
  <c r="A856" i="2"/>
  <c r="A857" i="2" s="1"/>
  <c r="A887" i="2" s="1"/>
  <c r="A888" i="2" s="1"/>
  <c r="A889" i="2" s="1"/>
  <c r="A890" i="2" s="1"/>
  <c r="A862" i="2" s="1"/>
  <c r="A863" i="2" s="1"/>
  <c r="A891" i="2" s="1"/>
  <c r="A883" i="2" s="1"/>
  <c r="A880" i="2" s="1"/>
  <c r="A881" i="2" s="1"/>
  <c r="A868" i="2"/>
  <c r="A869" i="2" s="1"/>
  <c r="A870" i="2" s="1"/>
  <c r="A871" i="2"/>
  <c r="A859" i="2" s="1"/>
  <c r="A855" i="2" s="1"/>
  <c r="A858" i="2" s="1"/>
  <c r="A853" i="2" s="1"/>
  <c r="A928" i="2" s="1"/>
  <c r="A854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872" i="2"/>
  <c r="A874" i="2" s="1"/>
  <c r="A873" i="2" s="1"/>
  <c r="A875" i="2"/>
  <c r="A867" i="2" s="1"/>
  <c r="A877" i="2"/>
  <c r="A860" i="2" s="1"/>
  <c r="A861" i="2" s="1"/>
  <c r="A878" i="2" s="1"/>
  <c r="A879" i="2"/>
  <c r="A882" i="2"/>
  <c r="A884" i="2"/>
  <c r="A885" i="2" s="1"/>
  <c r="A886" i="2"/>
  <c r="A846" i="2" s="1"/>
  <c r="A800" i="2" s="1"/>
  <c r="A876" i="2" s="1"/>
  <c r="A927" i="2"/>
  <c r="A926" i="2" s="1"/>
  <c r="P259" i="5"/>
  <c r="O259" i="5"/>
  <c r="R259" i="5" s="1"/>
  <c r="P286" i="5"/>
  <c r="P285" i="5"/>
  <c r="P284" i="5"/>
  <c r="P283" i="5"/>
  <c r="P282" i="5"/>
  <c r="P281" i="5"/>
  <c r="O286" i="5"/>
  <c r="R286" i="5" s="1"/>
  <c r="O285" i="5"/>
  <c r="R285" i="5" s="1"/>
  <c r="O284" i="5"/>
  <c r="R284" i="5" s="1"/>
  <c r="O283" i="5"/>
  <c r="R283" i="5" s="1"/>
  <c r="O282" i="5"/>
  <c r="R282" i="5" s="1"/>
  <c r="O281" i="5"/>
  <c r="R281" i="5" s="1"/>
  <c r="P280" i="5"/>
  <c r="P279" i="5"/>
  <c r="P278" i="5"/>
  <c r="P277" i="5"/>
  <c r="P276" i="5"/>
  <c r="P275" i="5"/>
  <c r="P274" i="5"/>
  <c r="P273" i="5"/>
  <c r="P272" i="5"/>
  <c r="P271" i="5"/>
  <c r="O280" i="5"/>
  <c r="R280" i="5" s="1"/>
  <c r="O279" i="5"/>
  <c r="R279" i="5" s="1"/>
  <c r="O278" i="5"/>
  <c r="R278" i="5" s="1"/>
  <c r="O277" i="5"/>
  <c r="R277" i="5" s="1"/>
  <c r="O276" i="5"/>
  <c r="R276" i="5" s="1"/>
  <c r="O275" i="5"/>
  <c r="R275" i="5" s="1"/>
  <c r="O274" i="5"/>
  <c r="R274" i="5" s="1"/>
  <c r="O273" i="5"/>
  <c r="R273" i="5" s="1"/>
  <c r="O272" i="5"/>
  <c r="R272" i="5" s="1"/>
  <c r="O271" i="5"/>
  <c r="R271" i="5" s="1"/>
  <c r="O270" i="5"/>
  <c r="R270" i="5" s="1"/>
  <c r="A558" i="2" l="1"/>
  <c r="A679" i="2" s="1"/>
  <c r="A656" i="2" s="1"/>
  <c r="A646" i="2" s="1"/>
  <c r="A593" i="2" s="1"/>
  <c r="A682" i="2" s="1"/>
  <c r="A680" i="2" s="1"/>
  <c r="A681" i="2" s="1"/>
  <c r="A695" i="2" s="1"/>
  <c r="A696" i="2" s="1"/>
  <c r="A706" i="2" s="1"/>
  <c r="A596" i="2" s="1"/>
  <c r="A597" i="2" s="1"/>
  <c r="A707" i="2" s="1"/>
  <c r="A708" i="2" s="1"/>
  <c r="A709" i="2" s="1"/>
  <c r="A710" i="2" s="1"/>
  <c r="A711" i="2" s="1"/>
  <c r="A712" i="2" s="1"/>
  <c r="A722" i="2" s="1"/>
  <c r="A701" i="2" s="1"/>
  <c r="A482" i="2" s="1"/>
  <c r="A483" i="2" s="1"/>
  <c r="A495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754" i="2" s="1"/>
  <c r="A755" i="2" s="1"/>
  <c r="A621" i="2" s="1"/>
  <c r="A622" i="2" s="1"/>
  <c r="A608" i="2"/>
  <c r="A7" i="2"/>
  <c r="A8" i="2" s="1"/>
  <c r="A9" i="2" s="1"/>
  <c r="A111" i="2"/>
  <c r="A103" i="2" s="1"/>
  <c r="A628" i="2" s="1"/>
  <c r="A627" i="2"/>
  <c r="A115" i="2" l="1"/>
  <c r="A158" i="2" s="1"/>
  <c r="A14" i="2"/>
  <c r="A15" i="2" s="1"/>
  <c r="A660" i="2"/>
  <c r="A623" i="2"/>
  <c r="A624" i="2" s="1"/>
  <c r="P270" i="5"/>
  <c r="P269" i="5"/>
  <c r="P268" i="5"/>
  <c r="P267" i="5"/>
  <c r="P266" i="5"/>
  <c r="P265" i="5"/>
  <c r="P264" i="5"/>
  <c r="P263" i="5"/>
  <c r="P262" i="5"/>
  <c r="P261" i="5"/>
  <c r="P260" i="5"/>
  <c r="O269" i="5"/>
  <c r="R269" i="5" s="1"/>
  <c r="O268" i="5"/>
  <c r="R268" i="5" s="1"/>
  <c r="O267" i="5"/>
  <c r="R267" i="5" s="1"/>
  <c r="O266" i="5"/>
  <c r="R266" i="5" s="1"/>
  <c r="O265" i="5"/>
  <c r="R265" i="5" s="1"/>
  <c r="O264" i="5"/>
  <c r="R264" i="5" s="1"/>
  <c r="O263" i="5"/>
  <c r="R263" i="5" s="1"/>
  <c r="O262" i="5"/>
  <c r="R262" i="5" s="1"/>
  <c r="O261" i="5"/>
  <c r="R261" i="5" s="1"/>
  <c r="O260" i="5"/>
  <c r="R260" i="5" s="1"/>
  <c r="A743" i="2" l="1"/>
  <c r="A745" i="2" s="1"/>
  <c r="A626" i="2" s="1"/>
  <c r="A689" i="2"/>
  <c r="A738" i="2" s="1"/>
  <c r="A688" i="2"/>
  <c r="A577" i="2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35" i="2"/>
  <c r="A112" i="2"/>
  <c r="A113" i="2" s="1"/>
  <c r="A159" i="2" s="1"/>
  <c r="A160" i="2" s="1"/>
  <c r="O258" i="5"/>
  <c r="P258" i="5"/>
  <c r="R258" i="5"/>
  <c r="O257" i="5"/>
  <c r="R257" i="5" s="1"/>
  <c r="P257" i="5"/>
  <c r="O256" i="5"/>
  <c r="R256" i="5" s="1"/>
  <c r="P256" i="5"/>
  <c r="O255" i="5"/>
  <c r="R255" i="5" s="1"/>
  <c r="P255" i="5"/>
  <c r="O254" i="5"/>
  <c r="R254" i="5" s="1"/>
  <c r="P254" i="5"/>
  <c r="A34" i="2" l="1"/>
  <c r="A13" i="2" s="1"/>
  <c r="A40" i="2" s="1"/>
  <c r="A114" i="2"/>
  <c r="A619" i="2"/>
  <c r="A620" i="2" s="1"/>
  <c r="A739" i="2"/>
  <c r="A671" i="2" s="1"/>
  <c r="A737" i="2" s="1"/>
  <c r="A651" i="2" s="1"/>
  <c r="A698" i="2" s="1"/>
  <c r="A718" i="2" s="1"/>
  <c r="A705" i="2" s="1"/>
  <c r="A691" i="2" s="1"/>
  <c r="A692" i="2" s="1"/>
  <c r="A740" i="2" s="1"/>
  <c r="A741" i="2" s="1"/>
  <c r="A798" i="2" s="1"/>
  <c r="A825" i="2" s="1"/>
  <c r="A835" i="2" s="1"/>
  <c r="A826" i="2" s="1"/>
  <c r="A799" i="2" s="1"/>
  <c r="A839" i="2" s="1"/>
  <c r="A841" i="2" s="1"/>
  <c r="O249" i="5"/>
  <c r="P249" i="5"/>
  <c r="R249" i="5"/>
  <c r="O250" i="5"/>
  <c r="R250" i="5" s="1"/>
  <c r="P250" i="5"/>
  <c r="O251" i="5"/>
  <c r="R251" i="5" s="1"/>
  <c r="P251" i="5"/>
  <c r="O252" i="5"/>
  <c r="R252" i="5" s="1"/>
  <c r="P252" i="5"/>
  <c r="O253" i="5"/>
  <c r="R253" i="5" s="1"/>
  <c r="P253" i="5"/>
  <c r="A182" i="2" l="1"/>
  <c r="A162" i="2" s="1"/>
  <c r="A183" i="2" s="1"/>
  <c r="A184" i="2" s="1"/>
  <c r="A295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167" i="2" s="1"/>
  <c r="A156" i="2" s="1"/>
  <c r="A157" i="2" s="1"/>
  <c r="A163" i="2" s="1"/>
  <c r="A185" i="2" s="1"/>
  <c r="A186" i="2" s="1"/>
  <c r="A193" i="2" s="1"/>
  <c r="A194" i="2" s="1"/>
  <c r="A116" i="2" s="1"/>
  <c r="A117" i="2" s="1"/>
  <c r="A190" i="2" s="1"/>
  <c r="A201" i="2" s="1"/>
  <c r="A296" i="2" s="1"/>
  <c r="A297" i="2" s="1"/>
  <c r="A197" i="2" s="1"/>
  <c r="A198" i="2" s="1"/>
  <c r="A161" i="2" s="1"/>
  <c r="A199" i="2" s="1"/>
  <c r="A200" i="2" s="1"/>
  <c r="A232" i="2" s="1"/>
  <c r="A234" i="2" s="1"/>
  <c r="A235" i="2" s="1"/>
  <c r="A118" i="2" s="1"/>
  <c r="A168" i="2" s="1"/>
  <c r="A202" i="2" s="1"/>
  <c r="A175" i="2" s="1"/>
  <c r="A176" i="2" s="1"/>
  <c r="A170" i="2" s="1"/>
  <c r="A171" i="2" s="1"/>
  <c r="A36" i="2"/>
  <c r="A37" i="2" s="1"/>
  <c r="A38" i="2" s="1"/>
  <c r="A39" i="2" s="1"/>
  <c r="A658" i="2"/>
  <c r="A659" i="2" s="1"/>
  <c r="A756" i="2"/>
  <c r="A757" i="2" s="1"/>
  <c r="A758" i="2" s="1"/>
  <c r="A744" i="2" s="1"/>
  <c r="A746" i="2" s="1"/>
  <c r="A747" i="2" s="1"/>
  <c r="A751" i="2" s="1"/>
  <c r="A683" i="2" s="1"/>
  <c r="A684" i="2" s="1"/>
  <c r="A685" i="2" s="1"/>
  <c r="A686" i="2" s="1"/>
  <c r="A687" i="2" s="1"/>
  <c r="A675" i="2" s="1"/>
  <c r="A724" i="2" s="1"/>
  <c r="A647" i="2" s="1"/>
  <c r="A648" i="2" s="1"/>
  <c r="A649" i="2" s="1"/>
  <c r="A650" i="2" s="1"/>
  <c r="A661" i="2" s="1"/>
  <c r="A662" i="2" s="1"/>
  <c r="A666" i="2" s="1"/>
  <c r="A713" i="2" s="1"/>
  <c r="A714" i="2" s="1"/>
  <c r="A702" i="2" s="1"/>
  <c r="A703" i="2" s="1"/>
  <c r="A704" i="2" s="1"/>
  <c r="A539" i="2" s="1"/>
  <c r="A540" i="2" s="1"/>
  <c r="A760" i="2" l="1"/>
  <c r="A765" i="2" s="1"/>
  <c r="A750" i="2" s="1"/>
  <c r="A749" i="2" s="1"/>
  <c r="A762" i="2" s="1"/>
  <c r="A617" i="2" s="1"/>
  <c r="A618" i="2" s="1"/>
  <c r="A728" i="2" s="1"/>
  <c r="A729" i="2" s="1"/>
  <c r="A541" i="2"/>
  <c r="A542" i="2" s="1"/>
  <c r="A543" i="2" s="1"/>
  <c r="A544" i="2" s="1"/>
  <c r="A545" i="2" s="1"/>
  <c r="A546" i="2" s="1"/>
  <c r="A547" i="2" s="1"/>
  <c r="A548" i="2" s="1"/>
  <c r="A802" i="2" s="1"/>
  <c r="A759" i="2" s="1"/>
  <c r="A748" i="2" s="1"/>
  <c r="A753" i="2" s="1"/>
  <c r="A752" i="2" s="1"/>
  <c r="A761" i="2" s="1"/>
  <c r="A676" i="2" s="1"/>
  <c r="A677" i="2" s="1"/>
  <c r="A694" i="2" s="1"/>
  <c r="A693" i="2" s="1"/>
  <c r="A663" i="2" s="1"/>
  <c r="A664" i="2" s="1"/>
  <c r="A665" i="2" s="1"/>
  <c r="A667" i="2" s="1"/>
  <c r="A668" i="2" s="1"/>
  <c r="A669" i="2" s="1"/>
  <c r="A670" i="2" s="1"/>
  <c r="A730" i="2" s="1"/>
  <c r="A731" i="2" s="1"/>
  <c r="A732" i="2" s="1"/>
  <c r="A733" i="2" s="1"/>
  <c r="A734" i="2" s="1"/>
  <c r="A735" i="2" s="1"/>
  <c r="A736" i="2" s="1"/>
  <c r="A715" i="2" s="1"/>
  <c r="A716" i="2" s="1"/>
  <c r="A717" i="2" s="1"/>
  <c r="A697" i="2" s="1"/>
  <c r="A723" i="2" s="1"/>
  <c r="A538" i="2" s="1"/>
  <c r="A726" i="2" s="1"/>
  <c r="A727" i="2" s="1"/>
  <c r="A46" i="2"/>
  <c r="A191" i="2"/>
  <c r="A192" i="2" s="1"/>
  <c r="A268" i="2" s="1"/>
  <c r="A269" i="2" s="1"/>
  <c r="A172" i="2" s="1"/>
  <c r="A173" i="2" s="1"/>
  <c r="A177" i="2" s="1"/>
  <c r="A178" i="2" s="1"/>
  <c r="A179" i="2" s="1"/>
  <c r="A164" i="2" s="1"/>
  <c r="A165" i="2" s="1"/>
  <c r="A108" i="2" s="1"/>
  <c r="A109" i="2" s="1"/>
  <c r="A110" i="2" s="1"/>
  <c r="N127" i="3"/>
  <c r="M127" i="3"/>
  <c r="P127" i="3" s="1"/>
  <c r="M102" i="3"/>
  <c r="P102" i="3" s="1"/>
  <c r="N102" i="3"/>
  <c r="M128" i="3"/>
  <c r="P128" i="3" s="1"/>
  <c r="N128" i="3"/>
  <c r="M94" i="3"/>
  <c r="P94" i="3" s="1"/>
  <c r="N94" i="3"/>
  <c r="M87" i="3"/>
  <c r="P87" i="3" s="1"/>
  <c r="M88" i="3"/>
  <c r="P88" i="3" s="1"/>
  <c r="M103" i="3"/>
  <c r="P103" i="3" s="1"/>
  <c r="M104" i="3"/>
  <c r="P104" i="3" s="1"/>
  <c r="M95" i="3"/>
  <c r="P95" i="3" s="1"/>
  <c r="M96" i="3"/>
  <c r="P96" i="3" s="1"/>
  <c r="M115" i="3"/>
  <c r="P115" i="3" s="1"/>
  <c r="M116" i="3"/>
  <c r="P116" i="3" s="1"/>
  <c r="M89" i="3"/>
  <c r="P89" i="3" s="1"/>
  <c r="M90" i="3"/>
  <c r="P90" i="3" s="1"/>
  <c r="M117" i="3"/>
  <c r="P117" i="3" s="1"/>
  <c r="M85" i="3"/>
  <c r="P85" i="3" s="1"/>
  <c r="M86" i="3"/>
  <c r="P86" i="3" s="1"/>
  <c r="M97" i="3"/>
  <c r="P97" i="3" s="1"/>
  <c r="M105" i="3"/>
  <c r="P105" i="3" s="1"/>
  <c r="O124" i="3"/>
  <c r="O123" i="3"/>
  <c r="M114" i="3"/>
  <c r="N126" i="3"/>
  <c r="N125" i="3"/>
  <c r="N124" i="3"/>
  <c r="N123" i="3"/>
  <c r="N114" i="3"/>
  <c r="N113" i="3"/>
  <c r="N112" i="3"/>
  <c r="N93" i="3"/>
  <c r="N92" i="3"/>
  <c r="N91" i="3"/>
  <c r="N220" i="3"/>
  <c r="N219" i="3"/>
  <c r="N69" i="3"/>
  <c r="N68" i="3"/>
  <c r="N67" i="3"/>
  <c r="N66" i="3"/>
  <c r="N65" i="3"/>
  <c r="N84" i="3"/>
  <c r="N76" i="3"/>
  <c r="N75" i="3"/>
  <c r="N74" i="3"/>
  <c r="N83" i="3"/>
  <c r="N82" i="3"/>
  <c r="N64" i="3"/>
  <c r="N81" i="3"/>
  <c r="M126" i="3"/>
  <c r="P126" i="3" s="1"/>
  <c r="M125" i="3"/>
  <c r="M124" i="3"/>
  <c r="M123" i="3"/>
  <c r="P123" i="3" s="1"/>
  <c r="P114" i="3"/>
  <c r="M113" i="3"/>
  <c r="P113" i="3" s="1"/>
  <c r="M112" i="3"/>
  <c r="P112" i="3" s="1"/>
  <c r="M93" i="3"/>
  <c r="P93" i="3" s="1"/>
  <c r="M92" i="3"/>
  <c r="P92" i="3" s="1"/>
  <c r="M91" i="3"/>
  <c r="P91" i="3" s="1"/>
  <c r="M220" i="3"/>
  <c r="P220" i="3" s="1"/>
  <c r="M219" i="3"/>
  <c r="P219" i="3" s="1"/>
  <c r="M69" i="3"/>
  <c r="P69" i="3" s="1"/>
  <c r="M68" i="3"/>
  <c r="P68" i="3" s="1"/>
  <c r="A17" i="2" l="1"/>
  <c r="A23" i="2" s="1"/>
  <c r="A21" i="2" s="1"/>
  <c r="A180" i="2"/>
  <c r="A270" i="2" s="1"/>
  <c r="A302" i="2" s="1"/>
  <c r="A298" i="2" s="1"/>
  <c r="A174" i="2" s="1"/>
  <c r="A19" i="2" s="1"/>
  <c r="A20" i="2" s="1"/>
  <c r="A203" i="2" s="1"/>
  <c r="P125" i="3"/>
  <c r="P124" i="3"/>
  <c r="A22" i="2" l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48" i="2" s="1"/>
  <c r="A41" i="2" s="1"/>
  <c r="A42" i="2" s="1"/>
  <c r="A43" i="2" s="1"/>
  <c r="A44" i="2" s="1"/>
  <c r="A45" i="2" s="1"/>
  <c r="A94" i="2"/>
  <c r="A97" i="2" s="1"/>
  <c r="A98" i="2" s="1"/>
  <c r="A89" i="2" s="1"/>
  <c r="A99" i="2" s="1"/>
  <c r="A24" i="2" s="1"/>
  <c r="A25" i="2" s="1"/>
  <c r="A26" i="2" s="1"/>
  <c r="A27" i="2" s="1"/>
  <c r="A28" i="2" s="1"/>
  <c r="A29" i="2" s="1"/>
  <c r="A30" i="2" s="1"/>
  <c r="A57" i="2" s="1"/>
  <c r="A58" i="2" s="1"/>
  <c r="A59" i="2" s="1"/>
  <c r="A60" i="2" s="1"/>
  <c r="A61" i="2" s="1"/>
  <c r="A62" i="2" s="1"/>
  <c r="A63" i="2" s="1"/>
  <c r="A64" i="2" s="1"/>
  <c r="A100" i="2" s="1"/>
  <c r="A101" i="2" s="1"/>
  <c r="A299" i="2" s="1"/>
  <c r="A303" i="2" s="1"/>
  <c r="A304" i="2" s="1"/>
  <c r="A169" i="2" s="1"/>
  <c r="A266" i="2" s="1"/>
  <c r="A267" i="2" s="1"/>
  <c r="A195" i="2" s="1"/>
  <c r="A196" i="2" s="1"/>
  <c r="A102" i="2" s="1"/>
  <c r="A207" i="2" s="1"/>
  <c r="A272" i="2" s="1"/>
  <c r="A273" i="2" s="1"/>
  <c r="A307" i="2" s="1"/>
  <c r="A204" i="2" s="1"/>
  <c r="A205" i="2" s="1"/>
  <c r="A206" i="2" s="1"/>
  <c r="A223" i="2" s="1"/>
  <c r="A224" i="2" s="1"/>
  <c r="A181" i="2" s="1"/>
  <c r="A214" i="2" s="1"/>
  <c r="A271" i="2" s="1"/>
  <c r="A49" i="2" s="1"/>
  <c r="A50" i="2" s="1"/>
  <c r="A51" i="2" s="1"/>
  <c r="A52" i="2" s="1"/>
  <c r="A53" i="2" s="1"/>
  <c r="A54" i="2" s="1"/>
  <c r="A55" i="2" s="1"/>
  <c r="A56" i="2" s="1"/>
  <c r="A208" i="2" s="1"/>
  <c r="A209" i="2" s="1"/>
  <c r="A210" i="2" s="1"/>
  <c r="A274" i="2" s="1"/>
  <c r="A310" i="2" s="1"/>
  <c r="A212" i="2" s="1"/>
  <c r="A314" i="2" s="1"/>
  <c r="A275" i="2" l="1"/>
  <c r="A277" i="2" s="1"/>
  <c r="A69" i="2" s="1"/>
  <c r="A95" i="2" s="1"/>
  <c r="A96" i="2" s="1"/>
  <c r="A90" i="2" s="1"/>
  <c r="A91" i="2" s="1"/>
  <c r="A92" i="2" s="1"/>
  <c r="A93" i="2" s="1"/>
  <c r="A211" i="2" s="1"/>
  <c r="A215" i="2" s="1"/>
  <c r="A216" i="2" s="1"/>
  <c r="A316" i="2" s="1"/>
  <c r="A317" i="2" s="1"/>
  <c r="A280" i="2" s="1"/>
  <c r="A281" i="2" s="1"/>
  <c r="A283" i="2" s="1"/>
  <c r="A318" i="2" s="1"/>
  <c r="A319" i="2" s="1"/>
  <c r="A308" i="2" s="1"/>
  <c r="A276" i="2" s="1"/>
  <c r="A323" i="2" s="1"/>
  <c r="A311" i="2" s="1"/>
  <c r="A230" i="2" s="1"/>
  <c r="A225" i="2" s="1"/>
  <c r="A226" i="2" s="1"/>
  <c r="A237" i="2" s="1"/>
  <c r="A222" i="2" s="1"/>
  <c r="A221" i="2" s="1"/>
  <c r="A219" i="2" s="1"/>
  <c r="A220" i="2" s="1"/>
  <c r="A227" i="2" s="1"/>
  <c r="A228" i="2" s="1"/>
  <c r="A65" i="2" s="1"/>
  <c r="A66" i="2" s="1"/>
  <c r="A67" i="2" s="1"/>
  <c r="A68" i="2" s="1"/>
  <c r="A282" i="2" s="1"/>
  <c r="A324" i="2" s="1"/>
  <c r="A166" i="2" s="1"/>
  <c r="A217" i="2" s="1"/>
  <c r="A218" i="2" s="1"/>
  <c r="A284" i="2" s="1"/>
  <c r="A328" i="2" s="1"/>
  <c r="A278" i="2" s="1"/>
  <c r="A279" i="2" s="1"/>
  <c r="A188" i="2" s="1"/>
  <c r="A189" i="2" s="1"/>
  <c r="A187" i="2" s="1"/>
  <c r="A329" i="2" s="1"/>
  <c r="A330" i="2" s="1"/>
  <c r="A233" i="2" s="1"/>
  <c r="A238" i="2" s="1"/>
  <c r="A229" i="2" s="1"/>
  <c r="A260" i="2" s="1"/>
  <c r="A261" i="2" s="1"/>
  <c r="A239" i="2" s="1"/>
  <c r="A285" i="2" s="1"/>
  <c r="A286" i="2" s="1"/>
  <c r="A287" i="2" s="1"/>
  <c r="A213" i="2" s="1"/>
  <c r="A331" i="2" s="1"/>
  <c r="A334" i="2" s="1"/>
  <c r="A335" i="2" s="1"/>
  <c r="A336" i="2" s="1"/>
  <c r="A320" i="2" s="1"/>
  <c r="A321" i="2" s="1"/>
  <c r="A322" i="2" s="1"/>
  <c r="A262" i="2" s="1"/>
  <c r="A309" i="2" s="1"/>
  <c r="A343" i="2" s="1"/>
  <c r="A410" i="2" s="1"/>
  <c r="A263" i="2" s="1"/>
  <c r="A231" i="2" s="1"/>
  <c r="A288" i="2" s="1"/>
  <c r="A315" i="2" s="1"/>
  <c r="A344" i="2" s="1"/>
  <c r="A312" i="2" s="1"/>
  <c r="A313" i="2" s="1"/>
  <c r="A325" i="2" s="1"/>
  <c r="A327" i="2" s="1"/>
  <c r="A326" i="2" s="1"/>
  <c r="A236" i="2" s="1"/>
  <c r="A293" i="2" s="1"/>
  <c r="A294" i="2" s="1"/>
  <c r="A265" i="2" s="1"/>
  <c r="A292" i="2" s="1"/>
  <c r="A290" i="2" s="1"/>
  <c r="A348" i="2" s="1"/>
  <c r="A345" i="2" s="1"/>
  <c r="A291" i="2" s="1"/>
  <c r="A289" i="2" s="1"/>
  <c r="A332" i="2" s="1"/>
  <c r="A333" i="2" s="1"/>
  <c r="A346" i="2" s="1"/>
  <c r="A305" i="2" s="1"/>
  <c r="A306" i="2" s="1"/>
  <c r="A353" i="2" s="1"/>
  <c r="A357" i="2" s="1"/>
  <c r="A358" i="2" s="1"/>
  <c r="A354" i="2" s="1"/>
  <c r="A355" i="2" s="1"/>
  <c r="A356" i="2" s="1"/>
  <c r="A259" i="2" s="1"/>
  <c r="A339" i="2" s="1"/>
  <c r="A337" i="2" s="1"/>
  <c r="A338" i="2" s="1"/>
  <c r="A416" i="2" s="1"/>
  <c r="A414" i="2" s="1"/>
  <c r="A415" i="2" s="1"/>
  <c r="A300" i="2" s="1"/>
  <c r="A301" i="2" s="1"/>
  <c r="A411" i="2" s="1"/>
  <c r="A413" i="2" s="1"/>
  <c r="A412" i="2" s="1"/>
  <c r="A342" i="2" s="1"/>
  <c r="A341" i="2" s="1"/>
  <c r="A340" i="2" s="1"/>
  <c r="A349" i="2" s="1"/>
  <c r="A350" i="2" s="1"/>
  <c r="A363" i="2" s="1"/>
  <c r="A264" i="2" s="1"/>
  <c r="A417" i="2" s="1"/>
  <c r="A368" i="2" s="1"/>
  <c r="A364" i="2" s="1"/>
  <c r="A418" i="2" s="1"/>
  <c r="A362" i="2" s="1"/>
  <c r="A419" i="2" s="1"/>
  <c r="A420" i="2" s="1"/>
  <c r="A426" i="2" s="1"/>
  <c r="A445" i="2" s="1"/>
  <c r="A446" i="2" s="1"/>
  <c r="A442" i="2" s="1"/>
  <c r="A439" i="2" s="1"/>
  <c r="A443" i="2" s="1"/>
  <c r="A444" i="2" s="1"/>
  <c r="A438" i="2" s="1"/>
  <c r="A468" i="2" s="1"/>
  <c r="A429" i="2" s="1"/>
  <c r="A430" i="2" s="1"/>
  <c r="A370" i="2" s="1"/>
  <c r="A431" i="2" s="1"/>
  <c r="A433" i="2" s="1"/>
  <c r="A435" i="2" s="1"/>
  <c r="A437" i="2" s="1"/>
  <c r="A366" i="2" s="1"/>
  <c r="A421" i="2" s="1"/>
  <c r="A422" i="2" s="1"/>
  <c r="A359" i="2" s="1"/>
  <c r="A360" i="2" s="1"/>
  <c r="A361" i="2" s="1"/>
  <c r="A347" i="2" s="1"/>
  <c r="A351" i="2" s="1"/>
  <c r="A352" i="2" s="1"/>
  <c r="A460" i="2" s="1"/>
  <c r="A423" i="2" s="1"/>
  <c r="A424" i="2" s="1"/>
  <c r="A425" i="2" s="1"/>
  <c r="A440" i="2" s="1"/>
  <c r="A441" i="2" s="1"/>
  <c r="A447" i="2" s="1"/>
  <c r="A496" i="2" s="1"/>
  <c r="A470" i="2" s="1"/>
  <c r="A471" i="2" s="1"/>
  <c r="A449" i="2" s="1"/>
  <c r="A448" i="2" s="1"/>
  <c r="A472" i="2" s="1"/>
  <c r="A588" i="2" s="1"/>
  <c r="A466" i="2" s="1"/>
  <c r="A467" i="2" s="1"/>
  <c r="A469" i="2" s="1"/>
  <c r="A503" i="2" s="1"/>
  <c r="A500" i="2" s="1"/>
  <c r="A473" i="2" s="1"/>
  <c r="A501" i="2" s="1"/>
  <c r="A502" i="2" s="1"/>
  <c r="A436" i="2" s="1"/>
  <c r="A434" i="2" s="1"/>
  <c r="A432" i="2" s="1"/>
  <c r="A369" i="2" s="1"/>
  <c r="A428" i="2" s="1"/>
  <c r="A365" i="2" s="1"/>
  <c r="A367" i="2" s="1"/>
  <c r="A461" i="2" s="1"/>
  <c r="A462" i="2" s="1"/>
  <c r="A463" i="2" s="1"/>
  <c r="A477" i="2" s="1"/>
  <c r="A506" i="2" s="1"/>
  <c r="A507" i="2" s="1"/>
  <c r="A508" i="2" s="1"/>
  <c r="A450" i="2" s="1"/>
  <c r="A451" i="2" s="1"/>
  <c r="A452" i="2" s="1"/>
  <c r="A474" i="2" s="1"/>
  <c r="A475" i="2" s="1"/>
  <c r="A476" i="2" s="1"/>
  <c r="A504" i="2" s="1"/>
  <c r="A505" i="2" s="1"/>
  <c r="A478" i="2" s="1"/>
  <c r="A427" i="2" s="1"/>
  <c r="A515" i="2" s="1"/>
  <c r="A552" i="2" s="1"/>
  <c r="A516" i="2" s="1"/>
  <c r="A551" i="2" s="1"/>
  <c r="A672" i="2" s="1"/>
  <c r="A589" i="2" s="1"/>
  <c r="A590" i="2" s="1"/>
  <c r="A556" i="2" s="1"/>
  <c r="A512" i="2" s="1"/>
  <c r="A509" i="2" s="1"/>
  <c r="A591" i="2" s="1"/>
  <c r="A654" i="2" s="1"/>
  <c r="A655" i="2" s="1"/>
  <c r="A645" i="2" s="1"/>
  <c r="A549" i="2" s="1"/>
  <c r="A565" i="2" s="1"/>
  <c r="A1036" i="2"/>
  <c r="N30" i="3"/>
  <c r="N29" i="3"/>
  <c r="N28" i="3"/>
  <c r="N27" i="3"/>
  <c r="N26" i="3"/>
  <c r="N25" i="3"/>
  <c r="N24" i="3"/>
  <c r="N23" i="3"/>
  <c r="N22" i="3"/>
  <c r="N21" i="3"/>
  <c r="N20" i="3"/>
  <c r="N19" i="3"/>
  <c r="N63" i="3"/>
  <c r="N62" i="3"/>
  <c r="N73" i="3"/>
  <c r="N72" i="3"/>
  <c r="N79" i="3"/>
  <c r="N52" i="3"/>
  <c r="N11" i="3"/>
  <c r="N10" i="3"/>
  <c r="N59" i="3"/>
  <c r="N55" i="3"/>
  <c r="N58" i="3"/>
  <c r="N54" i="3"/>
  <c r="N45" i="3"/>
  <c r="N51" i="3"/>
  <c r="N50" i="3"/>
  <c r="N49" i="3"/>
  <c r="N44" i="3"/>
  <c r="N43" i="3"/>
  <c r="N53" i="3"/>
  <c r="N48" i="3"/>
  <c r="N47" i="3"/>
  <c r="N46" i="3"/>
  <c r="N42" i="3"/>
  <c r="N41" i="3"/>
  <c r="N40" i="3"/>
  <c r="N39" i="3"/>
  <c r="N38" i="3"/>
  <c r="N37" i="3"/>
  <c r="N36" i="3"/>
  <c r="N18" i="3"/>
  <c r="N35" i="3"/>
  <c r="N34" i="3"/>
  <c r="N33" i="3"/>
  <c r="N32" i="3"/>
  <c r="N31" i="3"/>
  <c r="N17" i="3"/>
  <c r="N16" i="3"/>
  <c r="N15" i="3"/>
  <c r="N14" i="3"/>
  <c r="N13" i="3"/>
  <c r="N61" i="3"/>
  <c r="N60" i="3"/>
  <c r="A550" i="2" l="1"/>
  <c r="A553" i="2" s="1"/>
  <c r="A566" i="2" s="1"/>
  <c r="A567" i="2" s="1"/>
  <c r="A607" i="2"/>
  <c r="A568" i="2" l="1"/>
  <c r="A569" i="2" s="1"/>
  <c r="A609" i="2"/>
  <c r="A766" i="2" s="1"/>
  <c r="A769" i="2" s="1"/>
  <c r="A770" i="2" s="1"/>
  <c r="A678" i="2" s="1"/>
  <c r="A653" i="2" s="1"/>
  <c r="M67" i="3"/>
  <c r="P67" i="3" s="1"/>
  <c r="M66" i="3"/>
  <c r="P66" i="3" s="1"/>
  <c r="M65" i="3"/>
  <c r="P65" i="3" s="1"/>
  <c r="M84" i="3"/>
  <c r="P84" i="3" s="1"/>
  <c r="M76" i="3"/>
  <c r="P76" i="3" s="1"/>
  <c r="M75" i="3"/>
  <c r="P75" i="3" s="1"/>
  <c r="M74" i="3"/>
  <c r="P74" i="3" s="1"/>
  <c r="M83" i="3"/>
  <c r="P83" i="3" s="1"/>
  <c r="M82" i="3"/>
  <c r="P82" i="3" s="1"/>
  <c r="M64" i="3"/>
  <c r="P64" i="3" s="1"/>
  <c r="M81" i="3"/>
  <c r="P81" i="3" s="1"/>
  <c r="M60" i="3"/>
  <c r="P60" i="3" s="1"/>
  <c r="M61" i="3"/>
  <c r="P61" i="3" s="1"/>
  <c r="A560" i="2" l="1"/>
  <c r="A561" i="2" s="1"/>
  <c r="A562" i="2" s="1"/>
  <c r="A563" i="2" s="1"/>
  <c r="A605" i="2" s="1"/>
  <c r="A615" i="2" s="1"/>
  <c r="A479" i="2" s="1"/>
  <c r="A592" i="2" s="1"/>
  <c r="A657" i="2" s="1"/>
  <c r="A513" i="2" s="1"/>
  <c r="A514" i="2" s="1"/>
  <c r="A559" i="2" s="1"/>
  <c r="A564" i="2" s="1"/>
  <c r="A554" i="2" s="1"/>
  <c r="A480" i="2" s="1"/>
  <c r="A594" i="2" s="1"/>
  <c r="A595" i="2" s="1"/>
  <c r="A510" i="2" s="1"/>
  <c r="A511" i="2" s="1"/>
  <c r="A497" i="2" s="1"/>
  <c r="A498" i="2" s="1"/>
  <c r="A499" i="2" s="1"/>
  <c r="A616" i="2" s="1"/>
  <c r="A599" i="2" s="1"/>
  <c r="A600" i="2" s="1"/>
  <c r="A601" i="2" s="1"/>
  <c r="A602" i="2" s="1"/>
  <c r="A464" i="2" s="1"/>
  <c r="A465" i="2" s="1"/>
  <c r="A570" i="2"/>
  <c r="A571" i="2" s="1"/>
  <c r="A572" i="2" s="1"/>
  <c r="A573" i="2" s="1"/>
  <c r="A574" i="2" s="1"/>
  <c r="A575" i="2" s="1"/>
  <c r="A576" i="2" s="1"/>
  <c r="M2165" i="2"/>
  <c r="P2165" i="2" s="1"/>
  <c r="N2165" i="2"/>
  <c r="S2165" i="2" s="1"/>
  <c r="A453" i="2" l="1"/>
  <c r="A555" i="2"/>
  <c r="A606" i="2" s="1"/>
  <c r="A481" i="2" s="1"/>
  <c r="A604" i="2" s="1"/>
  <c r="A790" i="2" s="1"/>
  <c r="A789" i="2" s="1"/>
  <c r="A788" i="2" s="1"/>
  <c r="A787" i="2" s="1"/>
  <c r="A786" i="2" s="1"/>
  <c r="A785" i="2" s="1"/>
  <c r="A784" i="2" s="1"/>
  <c r="A783" i="2" s="1"/>
  <c r="A782" i="2" s="1"/>
  <c r="A781" i="2" s="1"/>
  <c r="A795" i="2" s="1"/>
  <c r="A796" i="2" s="1"/>
  <c r="A780" i="2" s="1"/>
  <c r="A779" i="2" s="1"/>
  <c r="A778" i="2" s="1"/>
  <c r="A777" i="2" s="1"/>
  <c r="A794" i="2" s="1"/>
  <c r="A793" i="2" s="1"/>
  <c r="A791" i="2" s="1"/>
  <c r="A792" i="2" s="1"/>
  <c r="A797" i="2" s="1"/>
  <c r="P29" i="3"/>
  <c r="P28" i="3"/>
  <c r="P27" i="3"/>
  <c r="P26" i="3"/>
  <c r="P25" i="3"/>
  <c r="P24" i="3"/>
  <c r="P19" i="3"/>
  <c r="P23" i="3"/>
  <c r="P22" i="3"/>
  <c r="P21" i="3"/>
  <c r="P20" i="3"/>
  <c r="M30" i="3"/>
  <c r="M29" i="3"/>
  <c r="M28" i="3"/>
  <c r="M27" i="3"/>
  <c r="M26" i="3"/>
  <c r="M25" i="3"/>
  <c r="M24" i="3"/>
  <c r="M23" i="3"/>
  <c r="M22" i="3"/>
  <c r="M21" i="3"/>
  <c r="M20" i="3"/>
  <c r="M2159" i="2" l="1"/>
  <c r="P2159" i="2" s="1"/>
  <c r="N2159" i="2"/>
  <c r="M2160" i="2"/>
  <c r="N2160" i="2"/>
  <c r="P2160" i="2"/>
  <c r="M2161" i="2"/>
  <c r="P2161" i="2" s="1"/>
  <c r="N2161" i="2"/>
  <c r="M2162" i="2"/>
  <c r="P2162" i="2" s="1"/>
  <c r="N2162" i="2"/>
  <c r="M2163" i="2"/>
  <c r="P2163" i="2" s="1"/>
  <c r="N2163" i="2"/>
  <c r="M2164" i="2"/>
  <c r="P2164" i="2" s="1"/>
  <c r="N2164" i="2"/>
  <c r="N2158" i="2" l="1"/>
  <c r="N2157" i="2"/>
  <c r="N2156" i="2"/>
  <c r="N2155" i="2"/>
  <c r="N2154" i="2"/>
  <c r="N2153" i="2"/>
  <c r="N2152" i="2"/>
  <c r="M19" i="3" l="1"/>
  <c r="M63" i="3"/>
  <c r="P63" i="3" s="1"/>
  <c r="M62" i="3"/>
  <c r="P62" i="3" s="1"/>
  <c r="M73" i="3"/>
  <c r="P73" i="3" s="1"/>
  <c r="M72" i="3"/>
  <c r="P72" i="3" s="1"/>
  <c r="M79" i="3"/>
  <c r="P79" i="3" s="1"/>
  <c r="P11" i="3" l="1"/>
  <c r="M2151" i="2" l="1"/>
  <c r="N2151" i="2"/>
  <c r="S2151" i="2" s="1"/>
  <c r="P2151" i="2"/>
  <c r="N2149" i="2"/>
  <c r="S2149" i="2" s="1"/>
  <c r="P2149" i="2"/>
  <c r="N2150" i="2"/>
  <c r="S2150" i="2" s="1"/>
  <c r="P2150" i="2"/>
  <c r="S2147" i="2"/>
  <c r="N2148" i="2"/>
  <c r="S2148" i="2" s="1"/>
  <c r="P2148" i="2"/>
  <c r="M2146" i="2"/>
  <c r="N2146" i="2"/>
  <c r="S2146" i="2" s="1"/>
  <c r="M2142" i="2"/>
  <c r="N2142" i="2"/>
  <c r="S2142" i="2" s="1"/>
  <c r="P2142" i="2"/>
  <c r="M2143" i="2"/>
  <c r="P2143" i="2" s="1"/>
  <c r="N2143" i="2"/>
  <c r="S2143" i="2" s="1"/>
  <c r="M2144" i="2"/>
  <c r="P2144" i="2" s="1"/>
  <c r="N2144" i="2"/>
  <c r="S2144" i="2" s="1"/>
  <c r="M2145" i="2"/>
  <c r="N2145" i="2"/>
  <c r="S2145" i="2" s="1"/>
  <c r="P2145" i="2"/>
  <c r="M2139" i="2"/>
  <c r="N2139" i="2"/>
  <c r="S2139" i="2" s="1"/>
  <c r="M2140" i="2"/>
  <c r="N2140" i="2"/>
  <c r="S2140" i="2" s="1"/>
  <c r="P2140" i="2"/>
  <c r="M2141" i="2"/>
  <c r="N2141" i="2"/>
  <c r="S2141" i="2" s="1"/>
  <c r="P2141" i="2"/>
  <c r="M2137" i="2"/>
  <c r="N2137" i="2"/>
  <c r="S2137" i="2" s="1"/>
  <c r="M2138" i="2"/>
  <c r="N2138" i="2"/>
  <c r="S2138" i="2" s="1"/>
  <c r="P2138" i="2"/>
  <c r="M2136" i="2"/>
  <c r="P2136" i="2" s="1"/>
  <c r="N2136" i="2"/>
  <c r="S2136" i="2" s="1"/>
  <c r="M2133" i="2"/>
  <c r="P2133" i="2" s="1"/>
  <c r="N2133" i="2"/>
  <c r="S2133" i="2" s="1"/>
  <c r="M2134" i="2"/>
  <c r="P2134" i="2" s="1"/>
  <c r="N2134" i="2"/>
  <c r="S2134" i="2" s="1"/>
  <c r="M2135" i="2"/>
  <c r="P2135" i="2" s="1"/>
  <c r="N2135" i="2"/>
  <c r="S2135" i="2" s="1"/>
  <c r="M52" i="3" l="1"/>
  <c r="P52" i="3" s="1"/>
  <c r="M11" i="3"/>
  <c r="M10" i="3"/>
  <c r="M59" i="3"/>
  <c r="P59" i="3" s="1"/>
  <c r="M55" i="3"/>
  <c r="P55" i="3" s="1"/>
  <c r="M58" i="3"/>
  <c r="P58" i="3" s="1"/>
  <c r="M54" i="3"/>
  <c r="P54" i="3" s="1"/>
  <c r="N2132" i="2" l="1"/>
  <c r="S2132" i="2" s="1"/>
  <c r="M2132" i="2"/>
  <c r="P2132" i="2" s="1"/>
  <c r="N2131" i="2"/>
  <c r="S2131" i="2" s="1"/>
  <c r="M2131" i="2"/>
  <c r="N2130" i="2"/>
  <c r="S2130" i="2" s="1"/>
  <c r="M2130" i="2"/>
  <c r="P2130" i="2" s="1"/>
  <c r="N2129" i="2"/>
  <c r="S2129" i="2" s="1"/>
  <c r="M2129" i="2"/>
  <c r="P2129" i="2" s="1"/>
  <c r="P2128" i="2"/>
  <c r="N2128" i="2"/>
  <c r="S2128" i="2" s="1"/>
  <c r="N2127" i="2"/>
  <c r="S2127" i="2" s="1"/>
  <c r="M2127" i="2"/>
  <c r="P2127" i="2" s="1"/>
  <c r="P2126" i="2"/>
  <c r="N2126" i="2"/>
  <c r="S2126" i="2" s="1"/>
  <c r="P2125" i="2"/>
  <c r="N2125" i="2"/>
  <c r="S2125" i="2" s="1"/>
  <c r="N2124" i="2"/>
  <c r="S2124" i="2" s="1"/>
  <c r="M2124" i="2"/>
  <c r="P2124" i="2" s="1"/>
  <c r="N2123" i="2"/>
  <c r="S2123" i="2" s="1"/>
  <c r="M2123" i="2"/>
  <c r="P2123" i="2" s="1"/>
  <c r="N2122" i="2"/>
  <c r="S2122" i="2" s="1"/>
  <c r="M2122" i="2"/>
  <c r="P2122" i="2" s="1"/>
  <c r="M2120" i="2"/>
  <c r="N2120" i="2"/>
  <c r="S2120" i="2" s="1"/>
  <c r="P2120" i="2"/>
  <c r="M2121" i="2"/>
  <c r="P2121" i="2" s="1"/>
  <c r="N2121" i="2"/>
  <c r="S2121" i="2" s="1"/>
  <c r="O248" i="5" l="1"/>
  <c r="R248" i="5" s="1"/>
  <c r="P248" i="5"/>
  <c r="O238" i="5"/>
  <c r="R238" i="5" s="1"/>
  <c r="S238" i="5" s="1"/>
  <c r="P238" i="5"/>
  <c r="O237" i="5"/>
  <c r="R237" i="5" s="1"/>
  <c r="S237" i="5" s="1"/>
  <c r="P237" i="5"/>
  <c r="M45" i="3" l="1"/>
  <c r="P45" i="3" s="1"/>
  <c r="M51" i="3"/>
  <c r="P51" i="3" s="1"/>
  <c r="M50" i="3"/>
  <c r="P50" i="3" s="1"/>
  <c r="M49" i="3"/>
  <c r="P49" i="3" s="1"/>
  <c r="M44" i="3"/>
  <c r="P44" i="3" s="1"/>
  <c r="M43" i="3"/>
  <c r="P43" i="3" s="1"/>
  <c r="P247" i="5" l="1"/>
  <c r="P246" i="5"/>
  <c r="P245" i="5"/>
  <c r="P244" i="5"/>
  <c r="P243" i="5"/>
  <c r="P242" i="5"/>
  <c r="P241" i="5"/>
  <c r="P240" i="5"/>
  <c r="M53" i="3" l="1"/>
  <c r="P53" i="3" s="1"/>
  <c r="M48" i="3"/>
  <c r="P48" i="3" s="1"/>
  <c r="M47" i="3"/>
  <c r="P47" i="3" s="1"/>
  <c r="M46" i="3"/>
  <c r="P46" i="3" s="1"/>
  <c r="M42" i="3" l="1"/>
  <c r="P42" i="3" s="1"/>
  <c r="R239" i="5" l="1"/>
  <c r="P239" i="5"/>
  <c r="R236" i="5"/>
  <c r="S236" i="5" s="1"/>
  <c r="P236" i="5"/>
  <c r="N2119" i="2" l="1"/>
  <c r="M2119" i="2"/>
  <c r="P2119" i="2" s="1"/>
  <c r="N2118" i="2"/>
  <c r="M2118" i="2"/>
  <c r="P2118" i="2" s="1"/>
  <c r="N2117" i="2"/>
  <c r="M2117" i="2"/>
  <c r="P2117" i="2" s="1"/>
  <c r="N2116" i="2"/>
  <c r="M2116" i="2"/>
  <c r="P2116" i="2" s="1"/>
  <c r="N2115" i="2"/>
  <c r="M2115" i="2"/>
  <c r="P2115" i="2" s="1"/>
  <c r="M40" i="3"/>
  <c r="P40" i="3" s="1"/>
  <c r="M38" i="3"/>
  <c r="P38" i="3" s="1"/>
  <c r="M36" i="3"/>
  <c r="P36" i="3" s="1"/>
  <c r="M18" i="3" l="1"/>
  <c r="P18" i="3" s="1"/>
  <c r="M35" i="3"/>
  <c r="P35" i="3" s="1"/>
  <c r="M34" i="3"/>
  <c r="P34" i="3" s="1"/>
  <c r="M33" i="3"/>
  <c r="P33" i="3" s="1"/>
  <c r="M32" i="3" l="1"/>
  <c r="P32" i="3" s="1"/>
  <c r="M17" i="3"/>
  <c r="P17" i="3" s="1"/>
  <c r="M12" i="3"/>
  <c r="P12" i="3" s="1"/>
  <c r="N2114" i="2"/>
  <c r="M2114" i="2"/>
  <c r="P2114" i="2" s="1"/>
  <c r="N2113" i="2"/>
  <c r="M2113" i="2"/>
  <c r="P2113" i="2" s="1"/>
  <c r="N2112" i="2"/>
  <c r="M2112" i="2"/>
  <c r="P2112" i="2" s="1"/>
  <c r="N2111" i="2"/>
  <c r="M2111" i="2"/>
  <c r="P2111" i="2" s="1"/>
  <c r="N2110" i="2"/>
  <c r="M2110" i="2"/>
  <c r="P2110" i="2" s="1"/>
  <c r="M16" i="3"/>
  <c r="P16" i="3" s="1"/>
  <c r="M14" i="3"/>
  <c r="P14" i="3" s="1"/>
  <c r="M13" i="3"/>
  <c r="P13" i="3" s="1"/>
  <c r="M2109" i="2" l="1"/>
  <c r="P2109" i="2" s="1"/>
  <c r="N2109" i="2"/>
  <c r="M2084" i="2" l="1"/>
  <c r="P2084" i="2" s="1"/>
  <c r="N2084" i="2"/>
  <c r="M2085" i="2"/>
  <c r="N2085" i="2"/>
  <c r="P2085" i="2"/>
  <c r="M2086" i="2"/>
  <c r="P2086" i="2" s="1"/>
  <c r="N2086" i="2"/>
  <c r="M2087" i="2"/>
  <c r="P2087" i="2" s="1"/>
  <c r="N2087" i="2"/>
  <c r="M2088" i="2"/>
  <c r="P2088" i="2" s="1"/>
  <c r="N2088" i="2"/>
  <c r="M2089" i="2"/>
  <c r="P2089" i="2" s="1"/>
  <c r="N2089" i="2"/>
  <c r="M2090" i="2"/>
  <c r="P2090" i="2" s="1"/>
  <c r="N2090" i="2"/>
  <c r="M2091" i="2"/>
  <c r="P2091" i="2" s="1"/>
  <c r="N2091" i="2"/>
  <c r="M2092" i="2"/>
  <c r="P2092" i="2" s="1"/>
  <c r="N2092" i="2"/>
  <c r="N2093" i="2"/>
  <c r="P2093" i="2"/>
  <c r="M2094" i="2"/>
  <c r="P2094" i="2" s="1"/>
  <c r="N2094" i="2"/>
  <c r="M2095" i="2"/>
  <c r="P2095" i="2" s="1"/>
  <c r="N2095" i="2"/>
  <c r="M2096" i="2"/>
  <c r="P2096" i="2" s="1"/>
  <c r="N2096" i="2"/>
  <c r="M2097" i="2"/>
  <c r="N2097" i="2"/>
  <c r="P2097" i="2"/>
  <c r="M2098" i="2"/>
  <c r="P2098" i="2" s="1"/>
  <c r="N2098" i="2"/>
  <c r="M2099" i="2"/>
  <c r="P2099" i="2" s="1"/>
  <c r="N2099" i="2"/>
  <c r="M2100" i="2"/>
  <c r="P2100" i="2" s="1"/>
  <c r="N2100" i="2"/>
  <c r="M2101" i="2"/>
  <c r="P2101" i="2" s="1"/>
  <c r="N2101" i="2"/>
  <c r="M2102" i="2"/>
  <c r="P2102" i="2" s="1"/>
  <c r="N2102" i="2"/>
  <c r="N2103" i="2"/>
  <c r="P2103" i="2"/>
  <c r="M2104" i="2"/>
  <c r="P2104" i="2" s="1"/>
  <c r="N2104" i="2"/>
  <c r="M2105" i="2"/>
  <c r="P2105" i="2" s="1"/>
  <c r="N2105" i="2"/>
  <c r="M2106" i="2"/>
  <c r="P2106" i="2" s="1"/>
  <c r="N2106" i="2"/>
  <c r="M2107" i="2"/>
  <c r="P2107" i="2" s="1"/>
  <c r="N2107" i="2"/>
  <c r="M2108" i="2"/>
  <c r="P2108" i="2" s="1"/>
  <c r="N2108" i="2"/>
  <c r="P235" i="5" l="1"/>
  <c r="O235" i="5"/>
  <c r="R235" i="5" s="1"/>
  <c r="P234" i="5"/>
  <c r="O234" i="5"/>
  <c r="R234" i="5" s="1"/>
  <c r="O225" i="5"/>
  <c r="R225" i="5" s="1"/>
  <c r="S225" i="5" s="1"/>
  <c r="P225" i="5"/>
  <c r="O226" i="5"/>
  <c r="R226" i="5" s="1"/>
  <c r="S226" i="5" s="1"/>
  <c r="P226" i="5"/>
  <c r="O227" i="5"/>
  <c r="P227" i="5"/>
  <c r="O228" i="5"/>
  <c r="P228" i="5"/>
  <c r="R228" i="5"/>
  <c r="S228" i="5" s="1"/>
  <c r="O229" i="5"/>
  <c r="P229" i="5"/>
  <c r="O230" i="5"/>
  <c r="R230" i="5" s="1"/>
  <c r="P230" i="5"/>
  <c r="O231" i="5"/>
  <c r="P231" i="5"/>
  <c r="R231" i="5"/>
  <c r="S231" i="5" s="1"/>
  <c r="O232" i="5"/>
  <c r="R232" i="5" s="1"/>
  <c r="S232" i="5" s="1"/>
  <c r="P232" i="5"/>
  <c r="O233" i="5"/>
  <c r="R233" i="5" s="1"/>
  <c r="S233" i="5" s="1"/>
  <c r="P233" i="5"/>
  <c r="S235" i="5" l="1"/>
  <c r="S234" i="5"/>
  <c r="M2073" i="2"/>
  <c r="P2073" i="2" s="1"/>
  <c r="N2073" i="2"/>
  <c r="M2074" i="2"/>
  <c r="P2074" i="2" s="1"/>
  <c r="N2074" i="2"/>
  <c r="M2075" i="2"/>
  <c r="P2075" i="2" s="1"/>
  <c r="N2075" i="2"/>
  <c r="M2076" i="2"/>
  <c r="P2076" i="2" s="1"/>
  <c r="N2076" i="2"/>
  <c r="M2077" i="2"/>
  <c r="P2077" i="2" s="1"/>
  <c r="N2077" i="2"/>
  <c r="M2078" i="2"/>
  <c r="P2078" i="2" s="1"/>
  <c r="N2078" i="2"/>
  <c r="N2079" i="2"/>
  <c r="P2079" i="2"/>
  <c r="N2080" i="2"/>
  <c r="P2080" i="2"/>
  <c r="M2081" i="2"/>
  <c r="P2081" i="2" s="1"/>
  <c r="N2081" i="2"/>
  <c r="M2082" i="2"/>
  <c r="P2082" i="2" s="1"/>
  <c r="N2082" i="2"/>
  <c r="M2083" i="2"/>
  <c r="P2083" i="2" s="1"/>
  <c r="N2083" i="2"/>
  <c r="P2072" i="2" l="1"/>
  <c r="N2072" i="2"/>
  <c r="P2071" i="2"/>
  <c r="N2071" i="2"/>
  <c r="M2065" i="2" l="1"/>
  <c r="P2065" i="2" s="1"/>
  <c r="M2064" i="2"/>
  <c r="P2064" i="2" s="1"/>
  <c r="M2063" i="2" l="1"/>
  <c r="P2063" i="2" s="1"/>
  <c r="M2060" i="2"/>
  <c r="P2060" i="2" s="1"/>
  <c r="N2060" i="2"/>
  <c r="M2061" i="2"/>
  <c r="P2061" i="2" s="1"/>
  <c r="N2061" i="2"/>
  <c r="M2062" i="2"/>
  <c r="P2062" i="2" s="1"/>
  <c r="N2062" i="2"/>
  <c r="M2059" i="2" l="1"/>
  <c r="P2059" i="2" s="1"/>
  <c r="M2058" i="2"/>
  <c r="P2058" i="2" s="1"/>
  <c r="M2057" i="2" l="1"/>
  <c r="P2057" i="2" s="1"/>
  <c r="N2057" i="2"/>
  <c r="M2056" i="2" l="1"/>
  <c r="P2056" i="2" s="1"/>
  <c r="N2056" i="2"/>
  <c r="S2056" i="2" s="1"/>
  <c r="M2053" i="2"/>
  <c r="P2053" i="2" s="1"/>
  <c r="N2053" i="2"/>
  <c r="S2053" i="2" s="1"/>
  <c r="M2054" i="2"/>
  <c r="P2054" i="2" s="1"/>
  <c r="N2054" i="2"/>
  <c r="S2054" i="2" s="1"/>
  <c r="M2051" i="2"/>
  <c r="P2051" i="2" s="1"/>
  <c r="N2051" i="2"/>
  <c r="S2051" i="2" s="1"/>
  <c r="M2052" i="2"/>
  <c r="P2052" i="2" s="1"/>
  <c r="N2052" i="2"/>
  <c r="S2052" i="2" s="1"/>
  <c r="M2049" i="2"/>
  <c r="P2049" i="2" s="1"/>
  <c r="N2049" i="2"/>
  <c r="S2049" i="2" s="1"/>
  <c r="M2050" i="2"/>
  <c r="P2050" i="2" s="1"/>
  <c r="N2050" i="2"/>
  <c r="S2050" i="2" s="1"/>
  <c r="M2047" i="2"/>
  <c r="P2047" i="2" s="1"/>
  <c r="N2047" i="2"/>
  <c r="S2047" i="2" s="1"/>
  <c r="M2048" i="2"/>
  <c r="P2048" i="2" s="1"/>
  <c r="N2048" i="2"/>
  <c r="S2048" i="2" s="1"/>
  <c r="M2045" i="2"/>
  <c r="P2045" i="2" s="1"/>
  <c r="N2045" i="2"/>
  <c r="S2045" i="2" s="1"/>
  <c r="M2046" i="2"/>
  <c r="P2046" i="2" s="1"/>
  <c r="N2046" i="2"/>
  <c r="S2046" i="2" s="1"/>
  <c r="O224" i="5" l="1"/>
  <c r="R224" i="5" s="1"/>
  <c r="P224" i="5"/>
  <c r="O223" i="5"/>
  <c r="R223" i="5" s="1"/>
  <c r="P223" i="5"/>
  <c r="O222" i="5"/>
  <c r="R222" i="5" s="1"/>
  <c r="P222" i="5"/>
  <c r="O221" i="5"/>
  <c r="R221" i="5" s="1"/>
  <c r="P221" i="5"/>
  <c r="O220" i="5"/>
  <c r="R220" i="5" s="1"/>
  <c r="P220" i="5"/>
  <c r="O219" i="5"/>
  <c r="R219" i="5" s="1"/>
  <c r="P219" i="5"/>
  <c r="O218" i="5"/>
  <c r="R218" i="5" s="1"/>
  <c r="P218" i="5"/>
  <c r="O217" i="5"/>
  <c r="P217" i="5"/>
  <c r="R217" i="5"/>
  <c r="O211" i="5"/>
  <c r="R211" i="5" s="1"/>
  <c r="P211" i="5"/>
  <c r="O216" i="5"/>
  <c r="R216" i="5" s="1"/>
  <c r="P216" i="5"/>
  <c r="O215" i="5"/>
  <c r="R215" i="5" s="1"/>
  <c r="P215" i="5"/>
  <c r="O214" i="5"/>
  <c r="R214" i="5" s="1"/>
  <c r="P214" i="5"/>
  <c r="O213" i="5"/>
  <c r="R213" i="5" s="1"/>
  <c r="P213" i="5"/>
  <c r="O212" i="5"/>
  <c r="R212" i="5" s="1"/>
  <c r="P212" i="5"/>
  <c r="O210" i="5"/>
  <c r="R210" i="5" s="1"/>
  <c r="P210" i="5"/>
  <c r="O209" i="5"/>
  <c r="R209" i="5" s="1"/>
  <c r="P209" i="5"/>
  <c r="O208" i="5"/>
  <c r="R208" i="5" s="1"/>
  <c r="P208" i="5"/>
  <c r="O207" i="5"/>
  <c r="R207" i="5" s="1"/>
  <c r="P207" i="5"/>
  <c r="O206" i="5"/>
  <c r="R206" i="5" s="1"/>
  <c r="P206" i="5"/>
  <c r="O205" i="5"/>
  <c r="R205" i="5" s="1"/>
  <c r="P205" i="5"/>
  <c r="O204" i="5"/>
  <c r="R204" i="5" s="1"/>
  <c r="P204" i="5"/>
  <c r="O203" i="5"/>
  <c r="R203" i="5" s="1"/>
  <c r="P203" i="5"/>
  <c r="O202" i="5"/>
  <c r="R202" i="5" s="1"/>
  <c r="P202" i="5"/>
  <c r="M2033" i="2" l="1"/>
  <c r="P2033" i="2" s="1"/>
  <c r="N2033" i="2"/>
  <c r="S2033" i="2" s="1"/>
  <c r="M2034" i="2"/>
  <c r="P2034" i="2" s="1"/>
  <c r="N2034" i="2"/>
  <c r="S2034" i="2" s="1"/>
  <c r="M2035" i="2"/>
  <c r="P2035" i="2" s="1"/>
  <c r="N2035" i="2"/>
  <c r="S2035" i="2" s="1"/>
  <c r="M2036" i="2"/>
  <c r="P2036" i="2" s="1"/>
  <c r="N2036" i="2"/>
  <c r="S2036" i="2" s="1"/>
  <c r="M2037" i="2"/>
  <c r="P2037" i="2" s="1"/>
  <c r="N2037" i="2"/>
  <c r="S2037" i="2" s="1"/>
  <c r="M2038" i="2"/>
  <c r="P2038" i="2" s="1"/>
  <c r="N2038" i="2"/>
  <c r="S2038" i="2" s="1"/>
  <c r="M2039" i="2"/>
  <c r="P2039" i="2" s="1"/>
  <c r="N2039" i="2"/>
  <c r="S2039" i="2" s="1"/>
  <c r="M2040" i="2"/>
  <c r="P2040" i="2" s="1"/>
  <c r="N2040" i="2"/>
  <c r="S2040" i="2" s="1"/>
  <c r="M2041" i="2"/>
  <c r="P2041" i="2" s="1"/>
  <c r="N2041" i="2"/>
  <c r="S2041" i="2" s="1"/>
  <c r="M2042" i="2"/>
  <c r="P2042" i="2" s="1"/>
  <c r="N2042" i="2"/>
  <c r="S2042" i="2" s="1"/>
  <c r="M2043" i="2"/>
  <c r="N2043" i="2"/>
  <c r="S2043" i="2" s="1"/>
  <c r="M2044" i="2"/>
  <c r="P2044" i="2" s="1"/>
  <c r="N2044" i="2"/>
  <c r="S2044" i="2" s="1"/>
  <c r="N2032" i="2"/>
  <c r="M2032" i="2"/>
  <c r="P2032" i="2" s="1"/>
  <c r="N2031" i="2"/>
  <c r="M2031" i="2"/>
  <c r="P2031" i="2" s="1"/>
  <c r="N2030" i="2"/>
  <c r="M2030" i="2"/>
  <c r="P2030" i="2" s="1"/>
  <c r="N2029" i="2"/>
  <c r="M2029" i="2"/>
  <c r="P2029" i="2" s="1"/>
  <c r="N2028" i="2"/>
  <c r="M2028" i="2"/>
  <c r="P2028" i="2" s="1"/>
  <c r="N2027" i="2"/>
  <c r="M2027" i="2"/>
  <c r="P2027" i="2" s="1"/>
  <c r="N2026" i="2"/>
  <c r="M2026" i="2"/>
  <c r="P2026" i="2" s="1"/>
  <c r="N2025" i="2"/>
  <c r="M2025" i="2"/>
  <c r="P2025" i="2" s="1"/>
  <c r="N2024" i="2"/>
  <c r="S2024" i="2" s="1"/>
  <c r="M2024" i="2"/>
  <c r="P2024" i="2" s="1"/>
  <c r="N2023" i="2"/>
  <c r="S2023" i="2" s="1"/>
  <c r="M2023" i="2"/>
  <c r="N2022" i="2"/>
  <c r="S2022" i="2" s="1"/>
  <c r="M2022" i="2"/>
  <c r="P2022" i="2" s="1"/>
  <c r="N2021" i="2"/>
  <c r="S2021" i="2" s="1"/>
  <c r="M2021" i="2"/>
  <c r="N2020" i="2"/>
  <c r="S2020" i="2" s="1"/>
  <c r="M2020" i="2"/>
  <c r="P2020" i="2" s="1"/>
  <c r="N2019" i="2"/>
  <c r="S2019" i="2" s="1"/>
  <c r="M2019" i="2"/>
  <c r="P2019" i="2" s="1"/>
  <c r="M1875" i="2" l="1"/>
  <c r="P1875" i="2" s="1"/>
  <c r="N1875" i="2"/>
  <c r="O201" i="5" l="1"/>
  <c r="R201" i="5" s="1"/>
  <c r="P201" i="5"/>
  <c r="O200" i="5"/>
  <c r="R200" i="5" s="1"/>
  <c r="P200" i="5"/>
  <c r="O199" i="5"/>
  <c r="R199" i="5" s="1"/>
  <c r="P199" i="5"/>
  <c r="O198" i="5"/>
  <c r="R198" i="5" s="1"/>
  <c r="P198" i="5"/>
  <c r="O197" i="5"/>
  <c r="R197" i="5" s="1"/>
  <c r="P197" i="5"/>
  <c r="O196" i="5"/>
  <c r="R196" i="5" s="1"/>
  <c r="P196" i="5"/>
  <c r="O195" i="5"/>
  <c r="P195" i="5"/>
  <c r="R195" i="5"/>
  <c r="O194" i="5"/>
  <c r="R194" i="5" s="1"/>
  <c r="P194" i="5"/>
  <c r="O193" i="5"/>
  <c r="R193" i="5" s="1"/>
  <c r="P193" i="5"/>
  <c r="O192" i="5"/>
  <c r="R192" i="5" s="1"/>
  <c r="P192" i="5"/>
  <c r="O191" i="5"/>
  <c r="R191" i="5" s="1"/>
  <c r="P191" i="5"/>
  <c r="O190" i="5"/>
  <c r="R190" i="5" s="1"/>
  <c r="P190" i="5"/>
  <c r="O189" i="5"/>
  <c r="R189" i="5" s="1"/>
  <c r="P189" i="5"/>
  <c r="O188" i="5"/>
  <c r="P188" i="5"/>
  <c r="O187" i="5"/>
  <c r="R187" i="5" s="1"/>
  <c r="P187" i="5"/>
  <c r="O186" i="5"/>
  <c r="R186" i="5" s="1"/>
  <c r="P186" i="5"/>
  <c r="O185" i="5"/>
  <c r="R185" i="5" s="1"/>
  <c r="P185" i="5"/>
  <c r="O184" i="5"/>
  <c r="R184" i="5" s="1"/>
  <c r="P184" i="5"/>
  <c r="O183" i="5"/>
  <c r="R183" i="5" s="1"/>
  <c r="P183" i="5"/>
  <c r="O182" i="5"/>
  <c r="R182" i="5" s="1"/>
  <c r="O181" i="5"/>
  <c r="R181" i="5" s="1"/>
  <c r="O180" i="5" l="1"/>
  <c r="R180" i="5" s="1"/>
  <c r="P180" i="5"/>
  <c r="O179" i="5"/>
  <c r="R179" i="5" s="1"/>
  <c r="P179" i="5"/>
  <c r="M1874" i="2" l="1"/>
  <c r="P1874" i="2" s="1"/>
  <c r="N1874" i="2"/>
  <c r="O178" i="5" l="1"/>
  <c r="P178" i="5"/>
  <c r="R178" i="5"/>
  <c r="O177" i="5"/>
  <c r="R177" i="5" s="1"/>
  <c r="P177" i="5"/>
  <c r="O176" i="5"/>
  <c r="R176" i="5" s="1"/>
  <c r="P176" i="5"/>
  <c r="O175" i="5"/>
  <c r="R175" i="5" s="1"/>
  <c r="P175" i="5"/>
  <c r="O174" i="5"/>
  <c r="R174" i="5" s="1"/>
  <c r="P174" i="5"/>
  <c r="O173" i="5"/>
  <c r="R173" i="5" s="1"/>
  <c r="P173" i="5"/>
  <c r="O172" i="5"/>
  <c r="R172" i="5" s="1"/>
  <c r="P172" i="5"/>
  <c r="O171" i="5"/>
  <c r="P171" i="5"/>
  <c r="R171" i="5"/>
  <c r="O170" i="5"/>
  <c r="R170" i="5" s="1"/>
  <c r="P170" i="5"/>
  <c r="O169" i="5"/>
  <c r="R169" i="5" s="1"/>
  <c r="P169" i="5"/>
  <c r="O168" i="5"/>
  <c r="P168" i="5"/>
  <c r="O167" i="5"/>
  <c r="R167" i="5" s="1"/>
  <c r="P167" i="5"/>
  <c r="O166" i="5"/>
  <c r="R166" i="5" s="1"/>
  <c r="P166" i="5"/>
  <c r="O165" i="5"/>
  <c r="R165" i="5" s="1"/>
  <c r="P165" i="5"/>
  <c r="O164" i="5"/>
  <c r="R164" i="5" s="1"/>
  <c r="P164" i="5"/>
  <c r="O163" i="5"/>
  <c r="R163" i="5" s="1"/>
  <c r="P163" i="5"/>
  <c r="O162" i="5"/>
  <c r="R162" i="5" s="1"/>
  <c r="P162" i="5"/>
  <c r="O161" i="5"/>
  <c r="R161" i="5" s="1"/>
  <c r="P161" i="5"/>
  <c r="O160" i="5"/>
  <c r="R160" i="5" s="1"/>
  <c r="P160" i="5"/>
  <c r="O159" i="5"/>
  <c r="R159" i="5" s="1"/>
  <c r="P159" i="5"/>
  <c r="O158" i="5"/>
  <c r="R158" i="5" s="1"/>
  <c r="P158" i="5"/>
  <c r="O157" i="5"/>
  <c r="R157" i="5" s="1"/>
  <c r="P157" i="5"/>
  <c r="O156" i="5"/>
  <c r="R156" i="5" s="1"/>
  <c r="P156" i="5"/>
  <c r="N2018" i="2" l="1"/>
  <c r="S2018" i="2" s="1"/>
  <c r="M2018" i="2"/>
  <c r="P2018" i="2" s="1"/>
  <c r="N2017" i="2"/>
  <c r="S2017" i="2" s="1"/>
  <c r="M2017" i="2"/>
  <c r="P2017" i="2" s="1"/>
  <c r="N2016" i="2"/>
  <c r="S2016" i="2" s="1"/>
  <c r="M2016" i="2"/>
  <c r="P2016" i="2" s="1"/>
  <c r="N2015" i="2"/>
  <c r="S2015" i="2" s="1"/>
  <c r="M2015" i="2"/>
  <c r="P2015" i="2" s="1"/>
  <c r="N2014" i="2"/>
  <c r="S2014" i="2" s="1"/>
  <c r="M2014" i="2"/>
  <c r="P2014" i="2" s="1"/>
  <c r="N2013" i="2"/>
  <c r="S2013" i="2" s="1"/>
  <c r="M2013" i="2"/>
  <c r="P2013" i="2" s="1"/>
  <c r="N2012" i="2"/>
  <c r="S2012" i="2" s="1"/>
  <c r="M2012" i="2"/>
  <c r="P2012" i="2" s="1"/>
  <c r="N2011" i="2"/>
  <c r="S2011" i="2" s="1"/>
  <c r="M2011" i="2"/>
  <c r="P2011" i="2" s="1"/>
  <c r="N2010" i="2"/>
  <c r="S2010" i="2" s="1"/>
  <c r="M2010" i="2"/>
  <c r="P2010" i="2" s="1"/>
  <c r="N2009" i="2"/>
  <c r="S2009" i="2" s="1"/>
  <c r="M2009" i="2"/>
  <c r="P2009" i="2" s="1"/>
  <c r="P1971" i="2"/>
  <c r="M2007" i="2"/>
  <c r="P2007" i="2" s="1"/>
  <c r="N2007" i="2"/>
  <c r="S2007" i="2" s="1"/>
  <c r="M2008" i="2"/>
  <c r="N2008" i="2"/>
  <c r="S2008" i="2" s="1"/>
  <c r="M2004" i="2" l="1"/>
  <c r="N2004" i="2"/>
  <c r="S2004" i="2" s="1"/>
  <c r="P2004" i="2"/>
  <c r="M2005" i="2"/>
  <c r="N2005" i="2"/>
  <c r="S2005" i="2" s="1"/>
  <c r="P2005" i="2"/>
  <c r="M2006" i="2"/>
  <c r="N2006" i="2"/>
  <c r="S2006" i="2" s="1"/>
  <c r="P2006" i="2"/>
  <c r="M2003" i="2"/>
  <c r="P2003" i="2" s="1"/>
  <c r="N2003" i="2"/>
  <c r="S2003" i="2" s="1"/>
  <c r="M2002" i="2" l="1"/>
  <c r="P2002" i="2" s="1"/>
  <c r="N2002" i="2"/>
  <c r="S2002" i="2" s="1"/>
  <c r="M2001" i="2"/>
  <c r="P2001" i="2" s="1"/>
  <c r="N2001" i="2"/>
  <c r="S2001" i="2" s="1"/>
  <c r="M1995" i="2"/>
  <c r="P1995" i="2" s="1"/>
  <c r="N1995" i="2"/>
  <c r="S1995" i="2" s="1"/>
  <c r="M1996" i="2"/>
  <c r="P1996" i="2" s="1"/>
  <c r="N1996" i="2"/>
  <c r="S1996" i="2" s="1"/>
  <c r="M1997" i="2"/>
  <c r="P1997" i="2" s="1"/>
  <c r="N1997" i="2"/>
  <c r="S1997" i="2" s="1"/>
  <c r="M1998" i="2"/>
  <c r="P1998" i="2" s="1"/>
  <c r="N1998" i="2"/>
  <c r="S1998" i="2" s="1"/>
  <c r="M1999" i="2"/>
  <c r="P1999" i="2" s="1"/>
  <c r="N1999" i="2"/>
  <c r="S1999" i="2" s="1"/>
  <c r="M2000" i="2"/>
  <c r="P2000" i="2" s="1"/>
  <c r="N2000" i="2"/>
  <c r="S2000" i="2" s="1"/>
  <c r="M1994" i="2"/>
  <c r="P1994" i="2" s="1"/>
  <c r="N1994" i="2"/>
  <c r="S1994" i="2" s="1"/>
  <c r="M1989" i="2"/>
  <c r="P1989" i="2" s="1"/>
  <c r="N1989" i="2"/>
  <c r="S1989" i="2" s="1"/>
  <c r="M1990" i="2"/>
  <c r="P1990" i="2" s="1"/>
  <c r="N1990" i="2"/>
  <c r="S1990" i="2" s="1"/>
  <c r="M1991" i="2"/>
  <c r="P1991" i="2" s="1"/>
  <c r="N1991" i="2"/>
  <c r="S1991" i="2" s="1"/>
  <c r="M1992" i="2"/>
  <c r="P1992" i="2" s="1"/>
  <c r="N1992" i="2"/>
  <c r="S1992" i="2" s="1"/>
  <c r="M1993" i="2"/>
  <c r="P1993" i="2" s="1"/>
  <c r="N1993" i="2"/>
  <c r="S1993" i="2" s="1"/>
  <c r="M1982" i="2"/>
  <c r="P1982" i="2" s="1"/>
  <c r="N1982" i="2"/>
  <c r="S1982" i="2" s="1"/>
  <c r="M1983" i="2"/>
  <c r="P1983" i="2" s="1"/>
  <c r="N1983" i="2"/>
  <c r="S1983" i="2" s="1"/>
  <c r="M1984" i="2"/>
  <c r="P1984" i="2" s="1"/>
  <c r="N1984" i="2"/>
  <c r="S1984" i="2" s="1"/>
  <c r="M1985" i="2"/>
  <c r="P1985" i="2" s="1"/>
  <c r="N1985" i="2"/>
  <c r="S1985" i="2" s="1"/>
  <c r="M1986" i="2"/>
  <c r="P1986" i="2" s="1"/>
  <c r="N1986" i="2"/>
  <c r="S1986" i="2" s="1"/>
  <c r="M1987" i="2"/>
  <c r="P1987" i="2" s="1"/>
  <c r="N1987" i="2"/>
  <c r="S1987" i="2" s="1"/>
  <c r="M1988" i="2"/>
  <c r="P1988" i="2" s="1"/>
  <c r="N1988" i="2"/>
  <c r="S1988" i="2" s="1"/>
  <c r="M1979" i="2"/>
  <c r="P1979" i="2" s="1"/>
  <c r="N1979" i="2"/>
  <c r="S1979" i="2" s="1"/>
  <c r="M1980" i="2"/>
  <c r="P1980" i="2" s="1"/>
  <c r="N1980" i="2"/>
  <c r="S1980" i="2" s="1"/>
  <c r="M1981" i="2"/>
  <c r="P1981" i="2" s="1"/>
  <c r="N1981" i="2"/>
  <c r="S1981" i="2" s="1"/>
  <c r="M1974" i="2"/>
  <c r="P1974" i="2" s="1"/>
  <c r="N1974" i="2"/>
  <c r="S1974" i="2" s="1"/>
  <c r="M1975" i="2"/>
  <c r="P1975" i="2" s="1"/>
  <c r="N1975" i="2"/>
  <c r="S1975" i="2" s="1"/>
  <c r="M1976" i="2"/>
  <c r="P1976" i="2" s="1"/>
  <c r="N1976" i="2"/>
  <c r="S1976" i="2" s="1"/>
  <c r="M1977" i="2"/>
  <c r="P1977" i="2" s="1"/>
  <c r="N1977" i="2"/>
  <c r="S1977" i="2" s="1"/>
  <c r="M1978" i="2"/>
  <c r="P1978" i="2" s="1"/>
  <c r="N1978" i="2"/>
  <c r="S1978" i="2" s="1"/>
  <c r="M1973" i="2"/>
  <c r="P1973" i="2" s="1"/>
  <c r="N1973" i="2"/>
  <c r="S1973" i="2" s="1"/>
  <c r="N1971" i="2"/>
  <c r="S1971" i="2" s="1"/>
  <c r="N1972" i="2"/>
  <c r="S1972" i="2" s="1"/>
  <c r="P1972" i="2"/>
  <c r="O155" i="5" l="1"/>
  <c r="R155" i="5" s="1"/>
  <c r="P155" i="5"/>
  <c r="O154" i="5"/>
  <c r="R154" i="5" s="1"/>
  <c r="P154" i="5"/>
  <c r="O153" i="5"/>
  <c r="R153" i="5" s="1"/>
  <c r="P153" i="5"/>
  <c r="O152" i="5"/>
  <c r="R152" i="5" s="1"/>
  <c r="P152" i="5"/>
  <c r="O151" i="5"/>
  <c r="P151" i="5"/>
  <c r="R151" i="5"/>
  <c r="O150" i="5"/>
  <c r="R150" i="5" s="1"/>
  <c r="P150" i="5"/>
  <c r="O149" i="5"/>
  <c r="R149" i="5" s="1"/>
  <c r="P149" i="5"/>
  <c r="O148" i="5"/>
  <c r="R148" i="5" s="1"/>
  <c r="P148" i="5"/>
  <c r="O147" i="5"/>
  <c r="R147" i="5" s="1"/>
  <c r="P147" i="5"/>
  <c r="O146" i="5"/>
  <c r="R146" i="5" s="1"/>
  <c r="P146" i="5"/>
  <c r="O145" i="5"/>
  <c r="R145" i="5" s="1"/>
  <c r="P145" i="5"/>
  <c r="M1970" i="2" l="1"/>
  <c r="P1970" i="2" s="1"/>
  <c r="N1970" i="2"/>
  <c r="S1970" i="2" s="1"/>
  <c r="M1969" i="2"/>
  <c r="P1969" i="2" s="1"/>
  <c r="N1969" i="2"/>
  <c r="S1969" i="2" s="1"/>
  <c r="M1966" i="2" l="1"/>
  <c r="P1966" i="2" s="1"/>
  <c r="N1966" i="2"/>
  <c r="S1966" i="2" s="1"/>
  <c r="M1967" i="2"/>
  <c r="P1967" i="2" s="1"/>
  <c r="N1967" i="2"/>
  <c r="S1967" i="2" s="1"/>
  <c r="M1968" i="2"/>
  <c r="P1968" i="2" s="1"/>
  <c r="N1968" i="2"/>
  <c r="S1968" i="2" s="1"/>
  <c r="M1964" i="2"/>
  <c r="P1964" i="2" s="1"/>
  <c r="N1964" i="2"/>
  <c r="S1964" i="2" s="1"/>
  <c r="M1965" i="2"/>
  <c r="P1965" i="2" s="1"/>
  <c r="N1965" i="2"/>
  <c r="S1965" i="2" s="1"/>
  <c r="M1963" i="2"/>
  <c r="N1963" i="2"/>
  <c r="S1963" i="2" s="1"/>
  <c r="M1960" i="2"/>
  <c r="N1960" i="2"/>
  <c r="S1960" i="2" s="1"/>
  <c r="M1961" i="2"/>
  <c r="P1961" i="2" s="1"/>
  <c r="N1961" i="2"/>
  <c r="S1961" i="2" s="1"/>
  <c r="M1962" i="2"/>
  <c r="P1962" i="2" s="1"/>
  <c r="N1962" i="2"/>
  <c r="S1962" i="2" s="1"/>
  <c r="M1958" i="2"/>
  <c r="P1958" i="2" s="1"/>
  <c r="N1958" i="2"/>
  <c r="S1958" i="2" s="1"/>
  <c r="M1959" i="2"/>
  <c r="P1959" i="2" s="1"/>
  <c r="N1959" i="2"/>
  <c r="S1959" i="2" s="1"/>
  <c r="M1954" i="2"/>
  <c r="P1954" i="2" s="1"/>
  <c r="N1954" i="2"/>
  <c r="S1954" i="2" s="1"/>
  <c r="M1955" i="2"/>
  <c r="P1955" i="2" s="1"/>
  <c r="N1955" i="2"/>
  <c r="S1955" i="2" s="1"/>
  <c r="M1956" i="2"/>
  <c r="P1956" i="2" s="1"/>
  <c r="N1956" i="2"/>
  <c r="S1956" i="2" s="1"/>
  <c r="M1957" i="2"/>
  <c r="P1957" i="2" s="1"/>
  <c r="N1957" i="2"/>
  <c r="S1957" i="2" s="1"/>
  <c r="M1953" i="2"/>
  <c r="P1953" i="2" s="1"/>
  <c r="N1953" i="2"/>
  <c r="S1953" i="2" s="1"/>
  <c r="M1951" i="2"/>
  <c r="P1951" i="2" s="1"/>
  <c r="N1951" i="2"/>
  <c r="S1951" i="2" s="1"/>
  <c r="M1952" i="2"/>
  <c r="P1952" i="2" s="1"/>
  <c r="N1952" i="2"/>
  <c r="S1952" i="2" s="1"/>
  <c r="M1946" i="2"/>
  <c r="P1946" i="2" s="1"/>
  <c r="N1946" i="2"/>
  <c r="S1946" i="2" s="1"/>
  <c r="M1947" i="2"/>
  <c r="P1947" i="2" s="1"/>
  <c r="N1947" i="2"/>
  <c r="S1947" i="2" s="1"/>
  <c r="M1948" i="2"/>
  <c r="P1948" i="2" s="1"/>
  <c r="N1948" i="2"/>
  <c r="S1948" i="2" s="1"/>
  <c r="M1949" i="2"/>
  <c r="P1949" i="2" s="1"/>
  <c r="N1949" i="2"/>
  <c r="S1949" i="2" s="1"/>
  <c r="M1950" i="2"/>
  <c r="P1950" i="2" s="1"/>
  <c r="N1950" i="2"/>
  <c r="S1950" i="2" s="1"/>
  <c r="M1945" i="2"/>
  <c r="P1945" i="2" s="1"/>
  <c r="N1945" i="2"/>
  <c r="S1945" i="2" s="1"/>
  <c r="M1943" i="2"/>
  <c r="P1943" i="2" s="1"/>
  <c r="N1943" i="2"/>
  <c r="S1943" i="2" s="1"/>
  <c r="M1944" i="2"/>
  <c r="P1944" i="2" s="1"/>
  <c r="N1944" i="2"/>
  <c r="S1944" i="2" s="1"/>
  <c r="M1942" i="2" l="1"/>
  <c r="P1942" i="2" s="1"/>
  <c r="N1942" i="2"/>
  <c r="S1942" i="2" s="1"/>
  <c r="M1941" i="2"/>
  <c r="P1941" i="2" s="1"/>
  <c r="N1941" i="2"/>
  <c r="S1941" i="2" s="1"/>
  <c r="M1940" i="2"/>
  <c r="P1940" i="2" s="1"/>
  <c r="N1940" i="2"/>
  <c r="S1940" i="2" s="1"/>
  <c r="O144" i="5" l="1"/>
  <c r="P144" i="5"/>
  <c r="R144" i="5"/>
  <c r="O143" i="5"/>
  <c r="P143" i="5"/>
  <c r="O142" i="5"/>
  <c r="R142" i="5" s="1"/>
  <c r="P142" i="5"/>
  <c r="O141" i="5"/>
  <c r="R141" i="5" s="1"/>
  <c r="P141" i="5"/>
  <c r="O140" i="5"/>
  <c r="R140" i="5" s="1"/>
  <c r="P140" i="5"/>
  <c r="O139" i="5"/>
  <c r="R139" i="5" s="1"/>
  <c r="P139" i="5"/>
  <c r="O138" i="5"/>
  <c r="R138" i="5" s="1"/>
  <c r="P138" i="5"/>
  <c r="O137" i="5"/>
  <c r="R137" i="5" s="1"/>
  <c r="P137" i="5"/>
  <c r="O136" i="5"/>
  <c r="R136" i="5" s="1"/>
  <c r="P136" i="5"/>
  <c r="O135" i="5"/>
  <c r="P135" i="5"/>
  <c r="R135" i="5"/>
  <c r="O134" i="5"/>
  <c r="R134" i="5" s="1"/>
  <c r="P134" i="5"/>
  <c r="O133" i="5"/>
  <c r="R133" i="5" s="1"/>
  <c r="P133" i="5"/>
  <c r="O132" i="5"/>
  <c r="R132" i="5" s="1"/>
  <c r="P132" i="5"/>
  <c r="O131" i="5"/>
  <c r="R131" i="5" s="1"/>
  <c r="P131" i="5"/>
  <c r="O130" i="5"/>
  <c r="R130" i="5" s="1"/>
  <c r="P130" i="5"/>
  <c r="O129" i="5"/>
  <c r="R129" i="5" s="1"/>
  <c r="P129" i="5"/>
  <c r="O128" i="5"/>
  <c r="P128" i="5"/>
  <c r="R128" i="5"/>
  <c r="O122" i="5"/>
  <c r="R122" i="5" s="1"/>
  <c r="P122" i="5"/>
  <c r="O127" i="5"/>
  <c r="R127" i="5" s="1"/>
  <c r="P127" i="5"/>
  <c r="O126" i="5"/>
  <c r="R126" i="5" s="1"/>
  <c r="P126" i="5"/>
  <c r="O125" i="5"/>
  <c r="P125" i="5"/>
  <c r="O124" i="5"/>
  <c r="R124" i="5" s="1"/>
  <c r="P124" i="5"/>
  <c r="O123" i="5"/>
  <c r="P123" i="5"/>
  <c r="O121" i="5"/>
  <c r="R121" i="5" s="1"/>
  <c r="P121" i="5"/>
  <c r="O120" i="5"/>
  <c r="P120" i="5"/>
  <c r="O119" i="5"/>
  <c r="R119" i="5" s="1"/>
  <c r="P119" i="5"/>
  <c r="O118" i="5"/>
  <c r="R118" i="5" s="1"/>
  <c r="P118" i="5"/>
  <c r="O117" i="5"/>
  <c r="R117" i="5" s="1"/>
  <c r="P117" i="5"/>
  <c r="N1" i="3" l="1"/>
  <c r="O116" i="5" l="1"/>
  <c r="R116" i="5" s="1"/>
  <c r="P116" i="5"/>
  <c r="O115" i="5"/>
  <c r="P115" i="5"/>
  <c r="R115" i="5"/>
  <c r="O114" i="5"/>
  <c r="P114" i="5"/>
  <c r="R114" i="5"/>
  <c r="O113" i="5"/>
  <c r="R113" i="5" s="1"/>
  <c r="P113" i="5"/>
  <c r="O112" i="5"/>
  <c r="P112" i="5"/>
  <c r="R112" i="5"/>
  <c r="O111" i="5"/>
  <c r="R111" i="5" s="1"/>
  <c r="P111" i="5"/>
  <c r="O110" i="5"/>
  <c r="R110" i="5" s="1"/>
  <c r="P110" i="5"/>
  <c r="O109" i="5"/>
  <c r="P109" i="5"/>
  <c r="O108" i="5"/>
  <c r="R108" i="5" s="1"/>
  <c r="P108" i="5"/>
  <c r="O107" i="5"/>
  <c r="R107" i="5" s="1"/>
  <c r="P107" i="5"/>
  <c r="O106" i="5"/>
  <c r="R106" i="5" s="1"/>
  <c r="P106" i="5"/>
  <c r="O105" i="5"/>
  <c r="R105" i="5" s="1"/>
  <c r="P105" i="5"/>
  <c r="O104" i="5"/>
  <c r="R104" i="5" s="1"/>
  <c r="P104" i="5"/>
  <c r="O103" i="5"/>
  <c r="R103" i="5" s="1"/>
  <c r="P103" i="5"/>
  <c r="O102" i="5"/>
  <c r="R102" i="5" s="1"/>
  <c r="P102" i="5"/>
  <c r="O101" i="5"/>
  <c r="R101" i="5" s="1"/>
  <c r="P101" i="5"/>
  <c r="O100" i="5"/>
  <c r="R100" i="5" s="1"/>
  <c r="P100" i="5"/>
  <c r="O99" i="5"/>
  <c r="R99" i="5" s="1"/>
  <c r="P99" i="5"/>
  <c r="O98" i="5"/>
  <c r="R98" i="5" s="1"/>
  <c r="P98" i="5"/>
  <c r="P97" i="5" l="1"/>
  <c r="O97" i="5" l="1"/>
  <c r="R97" i="5" s="1"/>
  <c r="N1933" i="2" l="1"/>
  <c r="S1933" i="2" s="1"/>
  <c r="P1933" i="2"/>
  <c r="N1934" i="2"/>
  <c r="S1934" i="2" s="1"/>
  <c r="P1934" i="2"/>
  <c r="M1935" i="2"/>
  <c r="P1935" i="2" s="1"/>
  <c r="N1935" i="2"/>
  <c r="S1935" i="2" s="1"/>
  <c r="M1936" i="2"/>
  <c r="P1936" i="2" s="1"/>
  <c r="N1936" i="2"/>
  <c r="S1936" i="2" s="1"/>
  <c r="M1937" i="2"/>
  <c r="P1937" i="2" s="1"/>
  <c r="N1937" i="2"/>
  <c r="S1937" i="2" s="1"/>
  <c r="M1938" i="2"/>
  <c r="P1938" i="2" s="1"/>
  <c r="N1938" i="2"/>
  <c r="S1938" i="2" s="1"/>
  <c r="M1939" i="2"/>
  <c r="P1939" i="2" s="1"/>
  <c r="N1939" i="2"/>
  <c r="S1939" i="2" s="1"/>
  <c r="N1922" i="2"/>
  <c r="S1922" i="2" s="1"/>
  <c r="P1922" i="2"/>
  <c r="M1923" i="2"/>
  <c r="P1923" i="2" s="1"/>
  <c r="N1923" i="2"/>
  <c r="S1923" i="2" s="1"/>
  <c r="M1924" i="2"/>
  <c r="P1924" i="2" s="1"/>
  <c r="N1924" i="2"/>
  <c r="S1924" i="2" s="1"/>
  <c r="M1925" i="2"/>
  <c r="P1925" i="2" s="1"/>
  <c r="N1925" i="2"/>
  <c r="S1925" i="2" s="1"/>
  <c r="M1926" i="2"/>
  <c r="P1926" i="2" s="1"/>
  <c r="N1926" i="2"/>
  <c r="S1926" i="2" s="1"/>
  <c r="M1927" i="2"/>
  <c r="P1927" i="2" s="1"/>
  <c r="N1927" i="2"/>
  <c r="S1927" i="2" s="1"/>
  <c r="M1928" i="2"/>
  <c r="P1928" i="2" s="1"/>
  <c r="N1928" i="2"/>
  <c r="S1928" i="2" s="1"/>
  <c r="M1929" i="2"/>
  <c r="P1929" i="2" s="1"/>
  <c r="N1929" i="2"/>
  <c r="S1929" i="2" s="1"/>
  <c r="M1930" i="2"/>
  <c r="P1930" i="2" s="1"/>
  <c r="N1930" i="2"/>
  <c r="S1930" i="2" s="1"/>
  <c r="M1931" i="2"/>
  <c r="P1931" i="2" s="1"/>
  <c r="N1931" i="2"/>
  <c r="S1931" i="2" s="1"/>
  <c r="M1932" i="2"/>
  <c r="P1932" i="2" s="1"/>
  <c r="N1932" i="2"/>
  <c r="S1932" i="2" s="1"/>
  <c r="N1915" i="2"/>
  <c r="S1915" i="2" s="1"/>
  <c r="P1915" i="2"/>
  <c r="N1916" i="2"/>
  <c r="S1916" i="2" s="1"/>
  <c r="P1916" i="2"/>
  <c r="M1917" i="2"/>
  <c r="P1917" i="2" s="1"/>
  <c r="N1917" i="2"/>
  <c r="S1917" i="2" s="1"/>
  <c r="M1918" i="2"/>
  <c r="P1918" i="2" s="1"/>
  <c r="N1918" i="2"/>
  <c r="S1918" i="2" s="1"/>
  <c r="M1919" i="2"/>
  <c r="P1919" i="2" s="1"/>
  <c r="N1919" i="2"/>
  <c r="S1919" i="2" s="1"/>
  <c r="M1920" i="2"/>
  <c r="P1920" i="2" s="1"/>
  <c r="N1920" i="2"/>
  <c r="S1920" i="2" s="1"/>
  <c r="M1921" i="2"/>
  <c r="P1921" i="2" s="1"/>
  <c r="N1921" i="2"/>
  <c r="S1921" i="2" s="1"/>
  <c r="M1907" i="2"/>
  <c r="P1907" i="2" s="1"/>
  <c r="N1907" i="2"/>
  <c r="S1907" i="2" s="1"/>
  <c r="N1908" i="2"/>
  <c r="S1908" i="2" s="1"/>
  <c r="P1908" i="2"/>
  <c r="N1909" i="2"/>
  <c r="S1909" i="2" s="1"/>
  <c r="P1909" i="2"/>
  <c r="N1910" i="2"/>
  <c r="S1910" i="2" s="1"/>
  <c r="P1910" i="2"/>
  <c r="M1911" i="2"/>
  <c r="P1911" i="2" s="1"/>
  <c r="N1911" i="2"/>
  <c r="S1911" i="2" s="1"/>
  <c r="M1912" i="2"/>
  <c r="P1912" i="2" s="1"/>
  <c r="N1912" i="2"/>
  <c r="S1912" i="2" s="1"/>
  <c r="M1913" i="2"/>
  <c r="P1913" i="2" s="1"/>
  <c r="N1913" i="2"/>
  <c r="S1913" i="2" s="1"/>
  <c r="M1914" i="2"/>
  <c r="P1914" i="2" s="1"/>
  <c r="N1914" i="2"/>
  <c r="S1914" i="2" s="1"/>
  <c r="N1903" i="2"/>
  <c r="S1903" i="2" s="1"/>
  <c r="P1903" i="2"/>
  <c r="N1904" i="2"/>
  <c r="S1904" i="2" s="1"/>
  <c r="P1904" i="2"/>
  <c r="M1905" i="2"/>
  <c r="P1905" i="2" s="1"/>
  <c r="N1905" i="2"/>
  <c r="S1905" i="2" s="1"/>
  <c r="M1906" i="2"/>
  <c r="P1906" i="2" s="1"/>
  <c r="N1906" i="2"/>
  <c r="S1906" i="2" s="1"/>
  <c r="S1882" i="2"/>
  <c r="M1901" i="2"/>
  <c r="P1901" i="2" s="1"/>
  <c r="N1901" i="2"/>
  <c r="S1901" i="2" s="1"/>
  <c r="M1902" i="2"/>
  <c r="P1902" i="2" s="1"/>
  <c r="N1902" i="2"/>
  <c r="S1902" i="2" s="1"/>
  <c r="N1899" i="2"/>
  <c r="S1899" i="2" s="1"/>
  <c r="P1899" i="2"/>
  <c r="N1900" i="2"/>
  <c r="S1900" i="2" s="1"/>
  <c r="P1900" i="2"/>
  <c r="N1897" i="2"/>
  <c r="S1897" i="2" s="1"/>
  <c r="P1897" i="2"/>
  <c r="N1898" i="2"/>
  <c r="S1898" i="2" s="1"/>
  <c r="P1898" i="2"/>
  <c r="N1895" i="2"/>
  <c r="S1895" i="2" s="1"/>
  <c r="P1895" i="2"/>
  <c r="M1896" i="2"/>
  <c r="P1896" i="2" s="1"/>
  <c r="N1896" i="2"/>
  <c r="S1896" i="2" s="1"/>
  <c r="N1893" i="2"/>
  <c r="S1893" i="2" s="1"/>
  <c r="P1893" i="2"/>
  <c r="N1894" i="2"/>
  <c r="S1894" i="2" s="1"/>
  <c r="P1894" i="2"/>
  <c r="N1891" i="2"/>
  <c r="S1891" i="2" s="1"/>
  <c r="P1891" i="2"/>
  <c r="N1892" i="2"/>
  <c r="S1892" i="2" s="1"/>
  <c r="P1892" i="2"/>
  <c r="N1889" i="2"/>
  <c r="S1889" i="2" s="1"/>
  <c r="P1889" i="2"/>
  <c r="N1890" i="2"/>
  <c r="S1890" i="2" s="1"/>
  <c r="P1890" i="2"/>
  <c r="N1885" i="2"/>
  <c r="S1885" i="2" s="1"/>
  <c r="P1885" i="2"/>
  <c r="N1886" i="2"/>
  <c r="S1886" i="2" s="1"/>
  <c r="P1886" i="2"/>
  <c r="N1888" i="2"/>
  <c r="S1888" i="2" s="1"/>
  <c r="P1888" i="2"/>
  <c r="M1881" i="2"/>
  <c r="P1881" i="2" s="1"/>
  <c r="N1881" i="2"/>
  <c r="S1881" i="2" s="1"/>
  <c r="N1883" i="2"/>
  <c r="S1883" i="2" s="1"/>
  <c r="P1883" i="2"/>
  <c r="P1880" i="2"/>
  <c r="N1880" i="2"/>
  <c r="S1880" i="2" s="1"/>
  <c r="M1880" i="2"/>
  <c r="P1879" i="2"/>
  <c r="N1879" i="2"/>
  <c r="S1879" i="2" s="1"/>
  <c r="M1879" i="2"/>
  <c r="P1878" i="2"/>
  <c r="N1878" i="2"/>
  <c r="S1878" i="2" s="1"/>
  <c r="M1878" i="2"/>
  <c r="P1877" i="2"/>
  <c r="N1877" i="2"/>
  <c r="S1877" i="2" s="1"/>
  <c r="M1877" i="2"/>
  <c r="P1876" i="2"/>
  <c r="N1876" i="2"/>
  <c r="S1876" i="2" s="1"/>
  <c r="M1876" i="2"/>
  <c r="O96" i="5" l="1"/>
  <c r="P96" i="5"/>
  <c r="R96" i="5"/>
  <c r="O92" i="5"/>
  <c r="R92" i="5" s="1"/>
  <c r="P92" i="5"/>
  <c r="O94" i="5"/>
  <c r="R94" i="5" s="1"/>
  <c r="P94" i="5"/>
  <c r="O93" i="5"/>
  <c r="R93" i="5" s="1"/>
  <c r="P93" i="5"/>
  <c r="O90" i="5"/>
  <c r="R90" i="5" s="1"/>
  <c r="P90" i="5"/>
  <c r="O95" i="5"/>
  <c r="R95" i="5" s="1"/>
  <c r="P95" i="5"/>
  <c r="O91" i="5"/>
  <c r="R91" i="5" s="1"/>
  <c r="P91" i="5"/>
  <c r="O88" i="5"/>
  <c r="R88" i="5" s="1"/>
  <c r="P88" i="5"/>
  <c r="O89" i="5"/>
  <c r="R89" i="5" s="1"/>
  <c r="P89" i="5"/>
  <c r="O87" i="5"/>
  <c r="R87" i="5" s="1"/>
  <c r="P87" i="5"/>
  <c r="O86" i="5"/>
  <c r="R86" i="5" s="1"/>
  <c r="P86" i="5"/>
  <c r="O85" i="5"/>
  <c r="R85" i="5" s="1"/>
  <c r="P85" i="5"/>
  <c r="O84" i="5"/>
  <c r="R84" i="5" s="1"/>
  <c r="P84" i="5"/>
  <c r="O83" i="5"/>
  <c r="R83" i="5" s="1"/>
  <c r="P83" i="5"/>
  <c r="O82" i="5"/>
  <c r="R82" i="5" s="1"/>
  <c r="P82" i="5"/>
  <c r="O81" i="5"/>
  <c r="R81" i="5" s="1"/>
  <c r="P81" i="5"/>
  <c r="O80" i="5"/>
  <c r="R80" i="5" s="1"/>
  <c r="P80" i="5"/>
  <c r="O79" i="5"/>
  <c r="R79" i="5" s="1"/>
  <c r="P79" i="5"/>
  <c r="M1873" i="2" l="1"/>
  <c r="P1873" i="2" s="1"/>
  <c r="N1873" i="2"/>
  <c r="M1872" i="2"/>
  <c r="P1872" i="2" s="1"/>
  <c r="N1872" i="2"/>
  <c r="M1871" i="2"/>
  <c r="P1871" i="2" s="1"/>
  <c r="N1871" i="2"/>
  <c r="N8" i="3"/>
  <c r="N9" i="3"/>
  <c r="M8" i="3"/>
  <c r="M9" i="3"/>
  <c r="P9" i="3" s="1"/>
  <c r="O78" i="5" l="1"/>
  <c r="R78" i="5" s="1"/>
  <c r="P78" i="5"/>
  <c r="O77" i="5" l="1"/>
  <c r="R77" i="5" s="1"/>
  <c r="P77" i="5"/>
  <c r="O56" i="5"/>
  <c r="P56" i="5"/>
  <c r="R56" i="5"/>
  <c r="O55" i="5"/>
  <c r="R55" i="5" s="1"/>
  <c r="P55" i="5"/>
  <c r="O76" i="5"/>
  <c r="R76" i="5" s="1"/>
  <c r="P76" i="5"/>
  <c r="O75" i="5"/>
  <c r="R75" i="5" s="1"/>
  <c r="P75" i="5"/>
  <c r="O74" i="5"/>
  <c r="R74" i="5" s="1"/>
  <c r="P74" i="5"/>
  <c r="O70" i="5"/>
  <c r="R70" i="5" s="1"/>
  <c r="P70" i="5"/>
  <c r="O72" i="5"/>
  <c r="R72" i="5" s="1"/>
  <c r="P72" i="5"/>
  <c r="O73" i="5"/>
  <c r="R73" i="5" s="1"/>
  <c r="P73" i="5"/>
  <c r="O71" i="5"/>
  <c r="R71" i="5" s="1"/>
  <c r="P71" i="5"/>
  <c r="O69" i="5"/>
  <c r="R69" i="5" s="1"/>
  <c r="P69" i="5"/>
  <c r="O68" i="5"/>
  <c r="R68" i="5" s="1"/>
  <c r="P68" i="5"/>
  <c r="O67" i="5"/>
  <c r="R67" i="5" s="1"/>
  <c r="P67" i="5"/>
  <c r="O66" i="5"/>
  <c r="R66" i="5" s="1"/>
  <c r="P66" i="5"/>
  <c r="O63" i="5"/>
  <c r="R63" i="5" s="1"/>
  <c r="P63" i="5"/>
  <c r="O65" i="5"/>
  <c r="R65" i="5" s="1"/>
  <c r="P65" i="5"/>
  <c r="O64" i="5"/>
  <c r="R64" i="5" s="1"/>
  <c r="P64" i="5"/>
  <c r="O62" i="5"/>
  <c r="R62" i="5" s="1"/>
  <c r="P62" i="5"/>
  <c r="O61" i="5"/>
  <c r="P61" i="5"/>
  <c r="R61" i="5"/>
  <c r="O60" i="5"/>
  <c r="R60" i="5" s="1"/>
  <c r="P60" i="5"/>
  <c r="O59" i="5"/>
  <c r="R59" i="5" s="1"/>
  <c r="P59" i="5"/>
  <c r="O57" i="5"/>
  <c r="R57" i="5" s="1"/>
  <c r="P57" i="5"/>
  <c r="O58" i="5"/>
  <c r="R58" i="5" s="1"/>
  <c r="P58" i="5"/>
  <c r="O54" i="5"/>
  <c r="R54" i="5" s="1"/>
  <c r="P54" i="5"/>
  <c r="O53" i="5"/>
  <c r="R53" i="5" s="1"/>
  <c r="P53" i="5"/>
  <c r="O52" i="5"/>
  <c r="R52" i="5" s="1"/>
  <c r="P52" i="5"/>
  <c r="O49" i="5"/>
  <c r="R49" i="5" s="1"/>
  <c r="P49" i="5"/>
  <c r="O51" i="5"/>
  <c r="R51" i="5" s="1"/>
  <c r="P51" i="5"/>
  <c r="O50" i="5"/>
  <c r="P50" i="5"/>
  <c r="R50" i="5"/>
  <c r="O48" i="5"/>
  <c r="R48" i="5" s="1"/>
  <c r="P48" i="5"/>
  <c r="N1859" i="2" l="1"/>
  <c r="S1859" i="2" s="1"/>
  <c r="M1868" i="2"/>
  <c r="P1868" i="2" s="1"/>
  <c r="N1868" i="2"/>
  <c r="S1868" i="2" s="1"/>
  <c r="M1869" i="2"/>
  <c r="P1869" i="2" s="1"/>
  <c r="N1869" i="2"/>
  <c r="S1869" i="2" s="1"/>
  <c r="M1870" i="2"/>
  <c r="P1870" i="2" s="1"/>
  <c r="N1870" i="2"/>
  <c r="S1870" i="2" s="1"/>
  <c r="M1865" i="2"/>
  <c r="P1865" i="2" s="1"/>
  <c r="N1865" i="2"/>
  <c r="S1865" i="2" s="1"/>
  <c r="M1866" i="2"/>
  <c r="P1866" i="2" s="1"/>
  <c r="N1866" i="2"/>
  <c r="S1866" i="2" s="1"/>
  <c r="M1867" i="2"/>
  <c r="P1867" i="2" s="1"/>
  <c r="N1867" i="2"/>
  <c r="S1867" i="2" s="1"/>
  <c r="M1863" i="2"/>
  <c r="P1863" i="2" s="1"/>
  <c r="N1863" i="2"/>
  <c r="S1863" i="2" s="1"/>
  <c r="M1864" i="2"/>
  <c r="P1864" i="2" s="1"/>
  <c r="N1864" i="2"/>
  <c r="S1864" i="2" s="1"/>
  <c r="N1862" i="2"/>
  <c r="S1862" i="2" s="1"/>
  <c r="P1862" i="2"/>
  <c r="P1859" i="2"/>
  <c r="N1860" i="2"/>
  <c r="S1860" i="2" s="1"/>
  <c r="P1860" i="2"/>
  <c r="N1853" i="2"/>
  <c r="S1853" i="2" s="1"/>
  <c r="P1853" i="2"/>
  <c r="N1855" i="2"/>
  <c r="S1855" i="2" s="1"/>
  <c r="P1855" i="2"/>
  <c r="N1856" i="2"/>
  <c r="S1856" i="2" s="1"/>
  <c r="P1856" i="2"/>
  <c r="N1857" i="2"/>
  <c r="S1857" i="2" s="1"/>
  <c r="P1857" i="2"/>
  <c r="N1858" i="2"/>
  <c r="S1858" i="2" s="1"/>
  <c r="P1858" i="2"/>
  <c r="M1850" i="2"/>
  <c r="P1850" i="2" s="1"/>
  <c r="N1850" i="2"/>
  <c r="S1850" i="2" s="1"/>
  <c r="M1851" i="2"/>
  <c r="P1851" i="2" s="1"/>
  <c r="N1851" i="2"/>
  <c r="S1851" i="2" s="1"/>
  <c r="N1852" i="2"/>
  <c r="S1852" i="2" s="1"/>
  <c r="P1852" i="2"/>
  <c r="M1849" i="2"/>
  <c r="P1849" i="2" s="1"/>
  <c r="N1849" i="2"/>
  <c r="S1849" i="2" s="1"/>
  <c r="N1848" i="2" l="1"/>
  <c r="P1848" i="2"/>
  <c r="N1842" i="2"/>
  <c r="P1842" i="2"/>
  <c r="N1843" i="2"/>
  <c r="P1843" i="2"/>
  <c r="N1844" i="2"/>
  <c r="P1844" i="2"/>
  <c r="N1845" i="2"/>
  <c r="P1845" i="2"/>
  <c r="N1846" i="2"/>
  <c r="P1846" i="2"/>
  <c r="N1847" i="2"/>
  <c r="P1847" i="2"/>
  <c r="M1838" i="2"/>
  <c r="P1838" i="2" s="1"/>
  <c r="N1838" i="2"/>
  <c r="M1839" i="2"/>
  <c r="P1839" i="2" s="1"/>
  <c r="N1839" i="2"/>
  <c r="N1840" i="2"/>
  <c r="P1840" i="2"/>
  <c r="N1841" i="2"/>
  <c r="M1834" i="2"/>
  <c r="P1834" i="2" s="1"/>
  <c r="N1834" i="2"/>
  <c r="M1835" i="2"/>
  <c r="P1835" i="2" s="1"/>
  <c r="N1835" i="2"/>
  <c r="M1836" i="2"/>
  <c r="P1836" i="2" s="1"/>
  <c r="N1836" i="2"/>
  <c r="M1837" i="2"/>
  <c r="P1837" i="2" s="1"/>
  <c r="N1837" i="2"/>
  <c r="M1833" i="2"/>
  <c r="P1833" i="2" s="1"/>
  <c r="N1833" i="2"/>
  <c r="M1814" i="2" l="1"/>
  <c r="N1814" i="2"/>
  <c r="P1814" i="2"/>
  <c r="M1815" i="2"/>
  <c r="N1815" i="2"/>
  <c r="P1815" i="2"/>
  <c r="M1816" i="2"/>
  <c r="N1816" i="2"/>
  <c r="P1816" i="2"/>
  <c r="M1750" i="2" l="1"/>
  <c r="N1750" i="2"/>
  <c r="M1743" i="2"/>
  <c r="N1743" i="2"/>
  <c r="M1744" i="2"/>
  <c r="P1744" i="2" s="1"/>
  <c r="N1744" i="2"/>
  <c r="P6" i="3" l="1"/>
  <c r="P7" i="3"/>
  <c r="N7" i="3"/>
  <c r="N6" i="3"/>
  <c r="M1763" i="2" l="1"/>
  <c r="P1763" i="2" s="1"/>
  <c r="N1763" i="2"/>
  <c r="M1764" i="2"/>
  <c r="P1764" i="2" s="1"/>
  <c r="N1764" i="2"/>
  <c r="M1765" i="2"/>
  <c r="P1765" i="2" s="1"/>
  <c r="N1765" i="2"/>
  <c r="M1766" i="2"/>
  <c r="P1766" i="2" s="1"/>
  <c r="N1766" i="2"/>
  <c r="M1767" i="2"/>
  <c r="P1767" i="2" s="1"/>
  <c r="N1767" i="2"/>
  <c r="M1768" i="2"/>
  <c r="P1768" i="2" s="1"/>
  <c r="N1768" i="2"/>
  <c r="M1769" i="2"/>
  <c r="N1769" i="2"/>
  <c r="M1770" i="2"/>
  <c r="P1770" i="2" s="1"/>
  <c r="N1770" i="2"/>
  <c r="M1771" i="2"/>
  <c r="P1771" i="2" s="1"/>
  <c r="N1771" i="2"/>
  <c r="M1772" i="2"/>
  <c r="P1772" i="2" s="1"/>
  <c r="N1772" i="2"/>
  <c r="M1773" i="2"/>
  <c r="P1773" i="2" s="1"/>
  <c r="N1773" i="2"/>
  <c r="M1774" i="2"/>
  <c r="P1774" i="2" s="1"/>
  <c r="N1774" i="2"/>
  <c r="M1775" i="2"/>
  <c r="P1775" i="2" s="1"/>
  <c r="N1775" i="2"/>
  <c r="M1776" i="2"/>
  <c r="P1776" i="2" s="1"/>
  <c r="N1776" i="2"/>
  <c r="M1777" i="2"/>
  <c r="P1777" i="2" s="1"/>
  <c r="N1777" i="2"/>
  <c r="M1778" i="2"/>
  <c r="P1778" i="2" s="1"/>
  <c r="N1778" i="2"/>
  <c r="M1779" i="2"/>
  <c r="P1779" i="2" s="1"/>
  <c r="N1779" i="2"/>
  <c r="M1780" i="2"/>
  <c r="P1780" i="2" s="1"/>
  <c r="N1780" i="2"/>
  <c r="M1781" i="2"/>
  <c r="P1781" i="2" s="1"/>
  <c r="N1781" i="2"/>
  <c r="M1782" i="2"/>
  <c r="P1782" i="2" s="1"/>
  <c r="N1782" i="2"/>
  <c r="M1783" i="2"/>
  <c r="P1783" i="2" s="1"/>
  <c r="N1783" i="2"/>
  <c r="M1784" i="2"/>
  <c r="P1784" i="2" s="1"/>
  <c r="N1784" i="2"/>
  <c r="M1785" i="2"/>
  <c r="P1785" i="2" s="1"/>
  <c r="N1785" i="2"/>
  <c r="M1786" i="2"/>
  <c r="P1786" i="2" s="1"/>
  <c r="N1786" i="2"/>
  <c r="M1787" i="2"/>
  <c r="P1787" i="2" s="1"/>
  <c r="N1787" i="2"/>
  <c r="M1788" i="2"/>
  <c r="P1788" i="2" s="1"/>
  <c r="N1788" i="2"/>
  <c r="M1789" i="2"/>
  <c r="P1789" i="2" s="1"/>
  <c r="N1789" i="2"/>
  <c r="M1790" i="2"/>
  <c r="P1790" i="2" s="1"/>
  <c r="N1790" i="2"/>
  <c r="M1791" i="2"/>
  <c r="P1791" i="2" s="1"/>
  <c r="N1791" i="2"/>
  <c r="M1792" i="2"/>
  <c r="P1792" i="2" s="1"/>
  <c r="N1792" i="2"/>
  <c r="P1762" i="2"/>
  <c r="N1762" i="2"/>
  <c r="P1761" i="2"/>
  <c r="N1761" i="2"/>
  <c r="P1760" i="2"/>
  <c r="N1760" i="2"/>
  <c r="N1759" i="2"/>
  <c r="M1759" i="2"/>
  <c r="P1759" i="2" s="1"/>
  <c r="N1758" i="2"/>
  <c r="M1758" i="2"/>
  <c r="P1758" i="2" s="1"/>
  <c r="P1757" i="2"/>
  <c r="N1757" i="2"/>
  <c r="P1756" i="2"/>
  <c r="N1756" i="2"/>
  <c r="P1755" i="2"/>
  <c r="N1755" i="2"/>
  <c r="N1754" i="2"/>
  <c r="M1754" i="2"/>
  <c r="P1754" i="2" s="1"/>
  <c r="P1753" i="2"/>
  <c r="N1753" i="2"/>
  <c r="P1752" i="2"/>
  <c r="N1752" i="2"/>
  <c r="N1751" i="2"/>
  <c r="M1751" i="2"/>
  <c r="P1751" i="2" s="1"/>
  <c r="N1749" i="2"/>
  <c r="M1749" i="2"/>
  <c r="P1749" i="2" s="1"/>
  <c r="N1748" i="2"/>
  <c r="M1748" i="2"/>
  <c r="P1748" i="2" s="1"/>
  <c r="O1747" i="2"/>
  <c r="N1747" i="2"/>
  <c r="M1747" i="2"/>
  <c r="O1746" i="2"/>
  <c r="N1746" i="2"/>
  <c r="M1746" i="2"/>
  <c r="N1745" i="2"/>
  <c r="M1745" i="2"/>
  <c r="P1745" i="2" s="1"/>
  <c r="N1742" i="2"/>
  <c r="M1742" i="2"/>
  <c r="P1742" i="2" s="1"/>
  <c r="N1741" i="2"/>
  <c r="M1741" i="2"/>
  <c r="P1741" i="2" s="1"/>
  <c r="N1740" i="2"/>
  <c r="M1740" i="2"/>
  <c r="P1740" i="2" s="1"/>
  <c r="M1727" i="2"/>
  <c r="P1727" i="2" s="1"/>
  <c r="N1727" i="2"/>
  <c r="S1727" i="2" s="1"/>
  <c r="M1728" i="2"/>
  <c r="P1728" i="2" s="1"/>
  <c r="N1728" i="2"/>
  <c r="S1728" i="2" s="1"/>
  <c r="M1729" i="2"/>
  <c r="P1729" i="2" s="1"/>
  <c r="N1729" i="2"/>
  <c r="M1730" i="2"/>
  <c r="P1730" i="2" s="1"/>
  <c r="N1730" i="2"/>
  <c r="M1731" i="2"/>
  <c r="P1731" i="2" s="1"/>
  <c r="N1731" i="2"/>
  <c r="M1732" i="2"/>
  <c r="P1732" i="2" s="1"/>
  <c r="N1732" i="2"/>
  <c r="M1733" i="2"/>
  <c r="P1733" i="2" s="1"/>
  <c r="N1733" i="2"/>
  <c r="M1734" i="2"/>
  <c r="P1734" i="2" s="1"/>
  <c r="N1734" i="2"/>
  <c r="M1735" i="2"/>
  <c r="P1735" i="2" s="1"/>
  <c r="N1735" i="2"/>
  <c r="M1736" i="2"/>
  <c r="P1736" i="2" s="1"/>
  <c r="N1736" i="2"/>
  <c r="M1737" i="2"/>
  <c r="P1737" i="2" s="1"/>
  <c r="N1737" i="2"/>
  <c r="M1738" i="2"/>
  <c r="P1738" i="2" s="1"/>
  <c r="N1738" i="2"/>
  <c r="M1739" i="2"/>
  <c r="P1739" i="2" s="1"/>
  <c r="N1739" i="2"/>
  <c r="M1726" i="2"/>
  <c r="P1726" i="2" s="1"/>
  <c r="N1726" i="2"/>
  <c r="M1721" i="2"/>
  <c r="N1721" i="2"/>
  <c r="P1721" i="2"/>
  <c r="M1722" i="2"/>
  <c r="N1722" i="2"/>
  <c r="P1722" i="2"/>
  <c r="M1723" i="2"/>
  <c r="N1723" i="2"/>
  <c r="P1723" i="2"/>
  <c r="M1724" i="2"/>
  <c r="P1724" i="2" s="1"/>
  <c r="N1724" i="2"/>
  <c r="M1725" i="2"/>
  <c r="P1725" i="2" s="1"/>
  <c r="N1725" i="2"/>
  <c r="P1747" i="2" l="1"/>
  <c r="P1746" i="2"/>
  <c r="M3" i="3" l="1"/>
  <c r="P3" i="3" s="1"/>
  <c r="N3" i="3"/>
  <c r="M4" i="3"/>
  <c r="P4" i="3" s="1"/>
  <c r="N4" i="3"/>
  <c r="M5" i="3"/>
  <c r="P5" i="3" s="1"/>
  <c r="N5" i="3"/>
  <c r="N1720" i="2" l="1"/>
  <c r="M1720" i="2"/>
  <c r="P1720" i="2" s="1"/>
  <c r="N1719" i="2"/>
  <c r="M1719" i="2"/>
  <c r="P1719" i="2" s="1"/>
  <c r="N1718" i="2"/>
  <c r="M1718" i="2"/>
  <c r="P1718" i="2" s="1"/>
  <c r="N1717" i="2"/>
  <c r="M1717" i="2"/>
  <c r="P1717" i="2" s="1"/>
  <c r="N1716" i="2"/>
  <c r="M1716" i="2"/>
  <c r="P1716" i="2" s="1"/>
  <c r="N1715" i="2"/>
  <c r="M1715" i="2"/>
  <c r="P1715" i="2" s="1"/>
  <c r="N1714" i="2"/>
  <c r="M1714" i="2"/>
  <c r="P1714" i="2" s="1"/>
  <c r="N1713" i="2"/>
  <c r="M1713" i="2"/>
  <c r="P1713" i="2" s="1"/>
  <c r="N1712" i="2"/>
  <c r="M1712" i="2"/>
  <c r="P1712" i="2" s="1"/>
  <c r="N1711" i="2"/>
  <c r="M1711" i="2"/>
  <c r="P1711" i="2" s="1"/>
  <c r="N1710" i="2"/>
  <c r="M1710" i="2"/>
  <c r="P1710" i="2" s="1"/>
  <c r="N1709" i="2"/>
  <c r="M1709" i="2"/>
  <c r="P1709" i="2" s="1"/>
  <c r="N1708" i="2"/>
  <c r="M1708" i="2"/>
  <c r="P1708" i="2" s="1"/>
  <c r="N1707" i="2"/>
  <c r="M1707" i="2"/>
  <c r="P1707" i="2" s="1"/>
  <c r="N1706" i="2"/>
  <c r="M1706" i="2"/>
  <c r="P1706" i="2" s="1"/>
  <c r="N1705" i="2"/>
  <c r="M1705" i="2"/>
  <c r="P1705" i="2" s="1"/>
  <c r="N1704" i="2"/>
  <c r="M1704" i="2"/>
  <c r="P1704" i="2" s="1"/>
  <c r="N1703" i="2"/>
  <c r="M1703" i="2"/>
  <c r="N1702" i="2"/>
  <c r="M1702" i="2"/>
  <c r="P1702" i="2" s="1"/>
  <c r="N1701" i="2"/>
  <c r="M1701" i="2"/>
  <c r="P1701" i="2" s="1"/>
  <c r="N1700" i="2"/>
  <c r="M1700" i="2"/>
  <c r="P1700" i="2" s="1"/>
  <c r="N1699" i="2"/>
  <c r="M1699" i="2"/>
  <c r="P1699" i="2" s="1"/>
  <c r="N1698" i="2"/>
  <c r="M1698" i="2"/>
  <c r="P1698" i="2" s="1"/>
  <c r="N1697" i="2"/>
  <c r="M1697" i="2"/>
  <c r="P1697" i="2" s="1"/>
  <c r="N1696" i="2"/>
  <c r="M1696" i="2"/>
  <c r="P1696" i="2" s="1"/>
  <c r="N1695" i="2"/>
  <c r="M1695" i="2"/>
  <c r="P1695" i="2" s="1"/>
  <c r="N1694" i="2"/>
  <c r="M1694" i="2"/>
  <c r="P1694" i="2" s="1"/>
  <c r="N1693" i="2"/>
  <c r="M1693" i="2"/>
  <c r="P1693" i="2" s="1"/>
  <c r="N1692" i="2"/>
  <c r="M1692" i="2"/>
  <c r="P1692" i="2" s="1"/>
  <c r="N1691" i="2"/>
  <c r="M1691" i="2"/>
  <c r="P1691" i="2" s="1"/>
  <c r="N1690" i="2"/>
  <c r="M1690" i="2"/>
  <c r="P1690" i="2" s="1"/>
  <c r="N1689" i="2"/>
  <c r="M1689" i="2"/>
  <c r="P1689" i="2" s="1"/>
  <c r="N1688" i="2"/>
  <c r="M1688" i="2"/>
  <c r="P1688" i="2" s="1"/>
  <c r="N1687" i="2"/>
  <c r="M1687" i="2"/>
  <c r="P1687" i="2" s="1"/>
  <c r="M1667" i="2" l="1"/>
  <c r="P1667" i="2" s="1"/>
  <c r="N1667" i="2"/>
  <c r="S1667" i="2" s="1"/>
  <c r="M1668" i="2"/>
  <c r="N1668" i="2"/>
  <c r="S1668" i="2" s="1"/>
  <c r="M1669" i="2"/>
  <c r="P1669" i="2" s="1"/>
  <c r="N1669" i="2"/>
  <c r="S1669" i="2" s="1"/>
  <c r="M1664" i="2"/>
  <c r="P1664" i="2" s="1"/>
  <c r="N1664" i="2"/>
  <c r="S1664" i="2" s="1"/>
  <c r="M1665" i="2"/>
  <c r="P1665" i="2" s="1"/>
  <c r="N1665" i="2"/>
  <c r="S1665" i="2" s="1"/>
  <c r="M1666" i="2"/>
  <c r="P1666" i="2" s="1"/>
  <c r="N1666" i="2"/>
  <c r="S1666" i="2" s="1"/>
  <c r="M1659" i="2"/>
  <c r="P1659" i="2" s="1"/>
  <c r="N1659" i="2"/>
  <c r="S1659" i="2" s="1"/>
  <c r="M1660" i="2"/>
  <c r="P1660" i="2" s="1"/>
  <c r="N1660" i="2"/>
  <c r="S1660" i="2" s="1"/>
  <c r="M1661" i="2"/>
  <c r="P1661" i="2" s="1"/>
  <c r="N1661" i="2"/>
  <c r="S1661" i="2" s="1"/>
  <c r="M1662" i="2"/>
  <c r="P1662" i="2" s="1"/>
  <c r="N1662" i="2"/>
  <c r="S1662" i="2" s="1"/>
  <c r="M1663" i="2"/>
  <c r="P1663" i="2" s="1"/>
  <c r="N1663" i="2"/>
  <c r="S1663" i="2" s="1"/>
  <c r="M1655" i="2"/>
  <c r="P1655" i="2" s="1"/>
  <c r="N1655" i="2"/>
  <c r="S1655" i="2" s="1"/>
  <c r="M1656" i="2"/>
  <c r="P1656" i="2" s="1"/>
  <c r="N1656" i="2"/>
  <c r="S1656" i="2" s="1"/>
  <c r="M1657" i="2"/>
  <c r="P1657" i="2" s="1"/>
  <c r="N1657" i="2"/>
  <c r="S1657" i="2" s="1"/>
  <c r="M1658" i="2"/>
  <c r="P1658" i="2" s="1"/>
  <c r="N1658" i="2"/>
  <c r="S1658" i="2" s="1"/>
  <c r="M1649" i="2"/>
  <c r="P1649" i="2" s="1"/>
  <c r="N1649" i="2"/>
  <c r="S1649" i="2" s="1"/>
  <c r="M1650" i="2"/>
  <c r="P1650" i="2" s="1"/>
  <c r="N1650" i="2"/>
  <c r="S1650" i="2" s="1"/>
  <c r="M1651" i="2"/>
  <c r="P1651" i="2" s="1"/>
  <c r="N1651" i="2"/>
  <c r="S1651" i="2" s="1"/>
  <c r="M1652" i="2"/>
  <c r="P1652" i="2" s="1"/>
  <c r="N1652" i="2"/>
  <c r="S1652" i="2" s="1"/>
  <c r="M1653" i="2"/>
  <c r="P1653" i="2" s="1"/>
  <c r="N1653" i="2"/>
  <c r="S1653" i="2" s="1"/>
  <c r="M1654" i="2"/>
  <c r="P1654" i="2" s="1"/>
  <c r="N1654" i="2"/>
  <c r="S1654" i="2" s="1"/>
  <c r="M1639" i="2"/>
  <c r="P1639" i="2" s="1"/>
  <c r="N1639" i="2"/>
  <c r="S1639" i="2" s="1"/>
  <c r="M1640" i="2"/>
  <c r="P1640" i="2" s="1"/>
  <c r="N1640" i="2"/>
  <c r="S1640" i="2" s="1"/>
  <c r="M1641" i="2"/>
  <c r="P1641" i="2" s="1"/>
  <c r="N1641" i="2"/>
  <c r="S1641" i="2" s="1"/>
  <c r="M1642" i="2"/>
  <c r="P1642" i="2" s="1"/>
  <c r="N1642" i="2"/>
  <c r="S1642" i="2" s="1"/>
  <c r="M1643" i="2"/>
  <c r="P1643" i="2" s="1"/>
  <c r="N1643" i="2"/>
  <c r="S1643" i="2" s="1"/>
  <c r="M1644" i="2"/>
  <c r="P1644" i="2" s="1"/>
  <c r="N1644" i="2"/>
  <c r="S1644" i="2" s="1"/>
  <c r="M1645" i="2"/>
  <c r="P1645" i="2" s="1"/>
  <c r="N1645" i="2"/>
  <c r="S1645" i="2" s="1"/>
  <c r="M1646" i="2"/>
  <c r="P1646" i="2" s="1"/>
  <c r="N1646" i="2"/>
  <c r="S1646" i="2" s="1"/>
  <c r="M1647" i="2"/>
  <c r="P1647" i="2" s="1"/>
  <c r="N1647" i="2"/>
  <c r="S1647" i="2" s="1"/>
  <c r="M1648" i="2"/>
  <c r="P1648" i="2" s="1"/>
  <c r="N1648" i="2"/>
  <c r="S1648" i="2" s="1"/>
  <c r="M1634" i="2"/>
  <c r="P1634" i="2" s="1"/>
  <c r="N1634" i="2"/>
  <c r="S1634" i="2" s="1"/>
  <c r="M1635" i="2"/>
  <c r="N1635" i="2"/>
  <c r="S1635" i="2" s="1"/>
  <c r="M1636" i="2"/>
  <c r="P1636" i="2" s="1"/>
  <c r="N1636" i="2"/>
  <c r="S1636" i="2" s="1"/>
  <c r="M1637" i="2"/>
  <c r="P1637" i="2" s="1"/>
  <c r="N1637" i="2"/>
  <c r="S1637" i="2" s="1"/>
  <c r="M1638" i="2"/>
  <c r="P1638" i="2" s="1"/>
  <c r="N1638" i="2"/>
  <c r="S1638" i="2" s="1"/>
  <c r="M1626" i="2"/>
  <c r="P1626" i="2" s="1"/>
  <c r="N1626" i="2"/>
  <c r="S1626" i="2" s="1"/>
  <c r="M1627" i="2"/>
  <c r="P1627" i="2" s="1"/>
  <c r="N1627" i="2"/>
  <c r="S1627" i="2" s="1"/>
  <c r="M1628" i="2"/>
  <c r="P1628" i="2" s="1"/>
  <c r="N1628" i="2"/>
  <c r="S1628" i="2" s="1"/>
  <c r="M1629" i="2"/>
  <c r="P1629" i="2" s="1"/>
  <c r="N1629" i="2"/>
  <c r="S1629" i="2" s="1"/>
  <c r="M1630" i="2"/>
  <c r="P1630" i="2" s="1"/>
  <c r="N1630" i="2"/>
  <c r="S1630" i="2" s="1"/>
  <c r="M1631" i="2"/>
  <c r="P1631" i="2" s="1"/>
  <c r="N1631" i="2"/>
  <c r="S1631" i="2" s="1"/>
  <c r="M1632" i="2"/>
  <c r="P1632" i="2" s="1"/>
  <c r="N1632" i="2"/>
  <c r="S1632" i="2" s="1"/>
  <c r="M1633" i="2"/>
  <c r="P1633" i="2" s="1"/>
  <c r="N1633" i="2"/>
  <c r="S1633" i="2" s="1"/>
  <c r="M1624" i="2"/>
  <c r="P1624" i="2" s="1"/>
  <c r="N1624" i="2"/>
  <c r="S1624" i="2" s="1"/>
  <c r="M1625" i="2"/>
  <c r="P1625" i="2" s="1"/>
  <c r="N1625" i="2"/>
  <c r="S1625" i="2" s="1"/>
  <c r="M1618" i="2"/>
  <c r="P1618" i="2" s="1"/>
  <c r="N1618" i="2"/>
  <c r="S1618" i="2" s="1"/>
  <c r="M1619" i="2"/>
  <c r="P1619" i="2" s="1"/>
  <c r="N1619" i="2"/>
  <c r="S1619" i="2" s="1"/>
  <c r="M1620" i="2"/>
  <c r="P1620" i="2" s="1"/>
  <c r="N1620" i="2"/>
  <c r="S1620" i="2" s="1"/>
  <c r="M1621" i="2"/>
  <c r="P1621" i="2" s="1"/>
  <c r="N1621" i="2"/>
  <c r="S1621" i="2" s="1"/>
  <c r="M1622" i="2"/>
  <c r="P1622" i="2" s="1"/>
  <c r="N1622" i="2"/>
  <c r="S1622" i="2" s="1"/>
  <c r="M1623" i="2"/>
  <c r="P1623" i="2" s="1"/>
  <c r="N1623" i="2"/>
  <c r="S1623" i="2" s="1"/>
  <c r="M1614" i="2"/>
  <c r="P1614" i="2" s="1"/>
  <c r="N1614" i="2"/>
  <c r="S1614" i="2" s="1"/>
  <c r="M1615" i="2"/>
  <c r="P1615" i="2" s="1"/>
  <c r="N1615" i="2"/>
  <c r="S1615" i="2" s="1"/>
  <c r="M1616" i="2"/>
  <c r="P1616" i="2" s="1"/>
  <c r="N1616" i="2"/>
  <c r="S1616" i="2" s="1"/>
  <c r="M1617" i="2"/>
  <c r="P1617" i="2" s="1"/>
  <c r="N1617" i="2"/>
  <c r="S1617" i="2" s="1"/>
  <c r="M1612" i="2"/>
  <c r="P1612" i="2" s="1"/>
  <c r="N1612" i="2"/>
  <c r="S1612" i="2" s="1"/>
  <c r="M1613" i="2"/>
  <c r="P1613" i="2" s="1"/>
  <c r="N1613" i="2"/>
  <c r="S1613" i="2" s="1"/>
  <c r="M1605" i="2"/>
  <c r="P1605" i="2" s="1"/>
  <c r="N1605" i="2"/>
  <c r="S1605" i="2" s="1"/>
  <c r="M1606" i="2"/>
  <c r="P1606" i="2" s="1"/>
  <c r="N1606" i="2"/>
  <c r="S1606" i="2" s="1"/>
  <c r="M1607" i="2"/>
  <c r="P1607" i="2" s="1"/>
  <c r="N1607" i="2"/>
  <c r="S1607" i="2" s="1"/>
  <c r="M1608" i="2"/>
  <c r="P1608" i="2" s="1"/>
  <c r="N1608" i="2"/>
  <c r="S1608" i="2" s="1"/>
  <c r="M1609" i="2"/>
  <c r="P1609" i="2" s="1"/>
  <c r="N1609" i="2"/>
  <c r="S1609" i="2" s="1"/>
  <c r="M1610" i="2"/>
  <c r="P1610" i="2" s="1"/>
  <c r="N1610" i="2"/>
  <c r="S1610" i="2" s="1"/>
  <c r="M1611" i="2"/>
  <c r="P1611" i="2" s="1"/>
  <c r="N1611" i="2"/>
  <c r="S1611" i="2" s="1"/>
  <c r="M1601" i="2"/>
  <c r="P1601" i="2" s="1"/>
  <c r="N1601" i="2"/>
  <c r="S1601" i="2" s="1"/>
  <c r="M1602" i="2"/>
  <c r="P1602" i="2" s="1"/>
  <c r="N1602" i="2"/>
  <c r="S1602" i="2" s="1"/>
  <c r="M1603" i="2"/>
  <c r="P1603" i="2" s="1"/>
  <c r="N1603" i="2"/>
  <c r="S1603" i="2" s="1"/>
  <c r="M1604" i="2"/>
  <c r="P1604" i="2" s="1"/>
  <c r="N1604" i="2"/>
  <c r="S1604" i="2" s="1"/>
  <c r="M1597" i="2"/>
  <c r="P1597" i="2" s="1"/>
  <c r="N1597" i="2"/>
  <c r="S1597" i="2" s="1"/>
  <c r="M1598" i="2"/>
  <c r="P1598" i="2" s="1"/>
  <c r="N1598" i="2"/>
  <c r="S1598" i="2" s="1"/>
  <c r="M1599" i="2"/>
  <c r="P1599" i="2" s="1"/>
  <c r="N1599" i="2"/>
  <c r="S1599" i="2" s="1"/>
  <c r="M1600" i="2"/>
  <c r="N1600" i="2"/>
  <c r="S1600" i="2" s="1"/>
  <c r="P1600" i="2"/>
  <c r="M1591" i="2"/>
  <c r="P1591" i="2" s="1"/>
  <c r="N1591" i="2"/>
  <c r="S1591" i="2" s="1"/>
  <c r="M1592" i="2"/>
  <c r="P1592" i="2" s="1"/>
  <c r="N1592" i="2"/>
  <c r="S1592" i="2" s="1"/>
  <c r="M1593" i="2"/>
  <c r="P1593" i="2" s="1"/>
  <c r="N1593" i="2"/>
  <c r="S1593" i="2" s="1"/>
  <c r="M1594" i="2"/>
  <c r="P1594" i="2" s="1"/>
  <c r="N1594" i="2"/>
  <c r="S1594" i="2" s="1"/>
  <c r="M1595" i="2"/>
  <c r="P1595" i="2" s="1"/>
  <c r="N1595" i="2"/>
  <c r="S1595" i="2" s="1"/>
  <c r="M1596" i="2"/>
  <c r="P1596" i="2" s="1"/>
  <c r="N1596" i="2"/>
  <c r="S1596" i="2" s="1"/>
  <c r="M1563" i="2" l="1"/>
  <c r="P1563" i="2" s="1"/>
  <c r="N1563" i="2"/>
  <c r="S1563" i="2" s="1"/>
  <c r="M1564" i="2"/>
  <c r="P1564" i="2" s="1"/>
  <c r="N1564" i="2"/>
  <c r="S1564" i="2" s="1"/>
  <c r="M1565" i="2"/>
  <c r="P1565" i="2" s="1"/>
  <c r="N1565" i="2"/>
  <c r="S1565" i="2" s="1"/>
  <c r="M1566" i="2"/>
  <c r="P1566" i="2" s="1"/>
  <c r="N1566" i="2"/>
  <c r="S1566" i="2" s="1"/>
  <c r="M1567" i="2"/>
  <c r="P1567" i="2" s="1"/>
  <c r="N1567" i="2"/>
  <c r="S1567" i="2" s="1"/>
  <c r="M1568" i="2"/>
  <c r="P1568" i="2" s="1"/>
  <c r="N1568" i="2"/>
  <c r="S1568" i="2" s="1"/>
  <c r="M1569" i="2"/>
  <c r="P1569" i="2" s="1"/>
  <c r="N1569" i="2"/>
  <c r="S1569" i="2" s="1"/>
  <c r="M1570" i="2"/>
  <c r="P1570" i="2" s="1"/>
  <c r="N1570" i="2"/>
  <c r="S1570" i="2" s="1"/>
  <c r="M1571" i="2"/>
  <c r="P1571" i="2" s="1"/>
  <c r="N1571" i="2"/>
  <c r="S1571" i="2" s="1"/>
  <c r="M1572" i="2"/>
  <c r="P1572" i="2" s="1"/>
  <c r="N1572" i="2"/>
  <c r="S1572" i="2" s="1"/>
  <c r="M1573" i="2"/>
  <c r="P1573" i="2" s="1"/>
  <c r="N1573" i="2"/>
  <c r="S1573" i="2" s="1"/>
  <c r="M1574" i="2"/>
  <c r="P1574" i="2" s="1"/>
  <c r="N1574" i="2"/>
  <c r="S1574" i="2" s="1"/>
  <c r="M1575" i="2"/>
  <c r="P1575" i="2" s="1"/>
  <c r="N1575" i="2"/>
  <c r="S1575" i="2" s="1"/>
  <c r="M1576" i="2"/>
  <c r="P1576" i="2" s="1"/>
  <c r="N1576" i="2"/>
  <c r="S1576" i="2" s="1"/>
  <c r="M1577" i="2"/>
  <c r="P1577" i="2" s="1"/>
  <c r="N1577" i="2"/>
  <c r="S1577" i="2" s="1"/>
  <c r="M1578" i="2"/>
  <c r="P1578" i="2" s="1"/>
  <c r="N1578" i="2"/>
  <c r="S1578" i="2" s="1"/>
  <c r="M1579" i="2"/>
  <c r="P1579" i="2" s="1"/>
  <c r="N1579" i="2"/>
  <c r="S1579" i="2" s="1"/>
  <c r="M1580" i="2"/>
  <c r="P1580" i="2" s="1"/>
  <c r="N1580" i="2"/>
  <c r="S1580" i="2" s="1"/>
  <c r="M1581" i="2"/>
  <c r="P1581" i="2" s="1"/>
  <c r="N1581" i="2"/>
  <c r="S1581" i="2" s="1"/>
  <c r="M1582" i="2"/>
  <c r="P1582" i="2" s="1"/>
  <c r="N1582" i="2"/>
  <c r="S1582" i="2" s="1"/>
  <c r="M1583" i="2"/>
  <c r="P1583" i="2" s="1"/>
  <c r="N1583" i="2"/>
  <c r="S1583" i="2" s="1"/>
  <c r="M1584" i="2"/>
  <c r="P1584" i="2" s="1"/>
  <c r="N1584" i="2"/>
  <c r="S1584" i="2" s="1"/>
  <c r="M1585" i="2"/>
  <c r="P1585" i="2" s="1"/>
  <c r="N1585" i="2"/>
  <c r="S1585" i="2" s="1"/>
  <c r="M1586" i="2"/>
  <c r="P1586" i="2" s="1"/>
  <c r="N1586" i="2"/>
  <c r="S1586" i="2" s="1"/>
  <c r="M1587" i="2"/>
  <c r="P1587" i="2" s="1"/>
  <c r="N1587" i="2"/>
  <c r="S1587" i="2" s="1"/>
  <c r="M1588" i="2"/>
  <c r="P1588" i="2" s="1"/>
  <c r="N1588" i="2"/>
  <c r="S1588" i="2" s="1"/>
  <c r="M1589" i="2"/>
  <c r="P1589" i="2" s="1"/>
  <c r="N1589" i="2"/>
  <c r="S1589" i="2" s="1"/>
  <c r="M1590" i="2"/>
  <c r="P1590" i="2" s="1"/>
  <c r="N1590" i="2"/>
  <c r="S1590" i="2" s="1"/>
  <c r="M1562" i="2" l="1"/>
  <c r="P1562" i="2" s="1"/>
  <c r="N1562" i="2"/>
  <c r="S1562" i="2" s="1"/>
  <c r="M1561" i="2"/>
  <c r="P1561" i="2" s="1"/>
  <c r="N1561" i="2"/>
  <c r="S1561" i="2" s="1"/>
  <c r="N1560" i="2" l="1"/>
  <c r="S1560" i="2" s="1"/>
  <c r="M1560" i="2"/>
  <c r="P1560" i="2" s="1"/>
  <c r="N1559" i="2"/>
  <c r="S1559" i="2" s="1"/>
  <c r="M1559" i="2"/>
  <c r="P1559" i="2" s="1"/>
  <c r="N1558" i="2"/>
  <c r="S1558" i="2" s="1"/>
  <c r="M1558" i="2"/>
  <c r="P1558" i="2" s="1"/>
  <c r="N1557" i="2"/>
  <c r="S1557" i="2" s="1"/>
  <c r="M1557" i="2"/>
  <c r="P1557" i="2" s="1"/>
  <c r="N1556" i="2"/>
  <c r="S1556" i="2" s="1"/>
  <c r="M1556" i="2"/>
  <c r="P1556" i="2" s="1"/>
  <c r="N1555" i="2"/>
  <c r="S1555" i="2" s="1"/>
  <c r="M1555" i="2"/>
  <c r="P1555" i="2" s="1"/>
  <c r="N1554" i="2"/>
  <c r="S1554" i="2" s="1"/>
  <c r="M1554" i="2"/>
  <c r="P1554" i="2" s="1"/>
  <c r="N1553" i="2"/>
  <c r="S1553" i="2" s="1"/>
  <c r="M1553" i="2"/>
  <c r="P1553" i="2" s="1"/>
  <c r="N1552" i="2"/>
  <c r="S1552" i="2" s="1"/>
  <c r="M1552" i="2"/>
  <c r="P1552" i="2" s="1"/>
  <c r="N1551" i="2"/>
  <c r="S1551" i="2" s="1"/>
  <c r="M1551" i="2"/>
  <c r="P1551" i="2" s="1"/>
  <c r="N1550" i="2"/>
  <c r="S1550" i="2" s="1"/>
  <c r="M1550" i="2"/>
  <c r="P1550" i="2" s="1"/>
  <c r="N1549" i="2"/>
  <c r="S1549" i="2" s="1"/>
  <c r="M1549" i="2"/>
  <c r="P1549" i="2" s="1"/>
  <c r="N1548" i="2"/>
  <c r="S1548" i="2" s="1"/>
  <c r="M1548" i="2"/>
  <c r="N1547" i="2"/>
  <c r="S1547" i="2" s="1"/>
  <c r="M1547" i="2"/>
  <c r="P1547" i="2" s="1"/>
  <c r="N1546" i="2"/>
  <c r="S1546" i="2" s="1"/>
  <c r="M1546" i="2"/>
  <c r="P1546" i="2" s="1"/>
  <c r="N1545" i="2"/>
  <c r="S1545" i="2" s="1"/>
  <c r="M1545" i="2"/>
  <c r="P1545" i="2" s="1"/>
  <c r="N1544" i="2"/>
  <c r="S1544" i="2" s="1"/>
  <c r="M1544" i="2"/>
  <c r="P1544" i="2" s="1"/>
  <c r="N1543" i="2"/>
  <c r="S1543" i="2" s="1"/>
  <c r="M1543" i="2"/>
  <c r="P1543" i="2" s="1"/>
  <c r="N1542" i="2"/>
  <c r="S1542" i="2" s="1"/>
  <c r="M1542" i="2"/>
  <c r="P1542" i="2" s="1"/>
  <c r="N1541" i="2"/>
  <c r="S1541" i="2" s="1"/>
  <c r="M1541" i="2"/>
  <c r="P1541" i="2" s="1"/>
  <c r="N1540" i="2"/>
  <c r="S1540" i="2" s="1"/>
  <c r="M1540" i="2"/>
  <c r="P1540" i="2" s="1"/>
  <c r="N1539" i="2"/>
  <c r="S1539" i="2" s="1"/>
  <c r="M1539" i="2"/>
  <c r="P1539" i="2" s="1"/>
  <c r="M1321" i="2" l="1"/>
  <c r="P1321" i="2" s="1"/>
  <c r="N1321" i="2"/>
  <c r="M1322" i="2"/>
  <c r="P1322" i="2" s="1"/>
  <c r="N1322" i="2"/>
  <c r="M1536" i="2" l="1"/>
  <c r="P1536" i="2" s="1"/>
  <c r="N1536" i="2"/>
  <c r="S1536" i="2" s="1"/>
  <c r="M1537" i="2"/>
  <c r="P1537" i="2" s="1"/>
  <c r="N1537" i="2"/>
  <c r="S1537" i="2" s="1"/>
  <c r="M1538" i="2"/>
  <c r="P1538" i="2" s="1"/>
  <c r="N1538" i="2"/>
  <c r="S1538" i="2" s="1"/>
  <c r="M1530" i="2"/>
  <c r="P1530" i="2" s="1"/>
  <c r="N1530" i="2"/>
  <c r="S1530" i="2" s="1"/>
  <c r="M1531" i="2"/>
  <c r="P1531" i="2" s="1"/>
  <c r="N1531" i="2"/>
  <c r="S1531" i="2" s="1"/>
  <c r="M1532" i="2"/>
  <c r="P1532" i="2" s="1"/>
  <c r="N1532" i="2"/>
  <c r="S1532" i="2" s="1"/>
  <c r="M1533" i="2"/>
  <c r="P1533" i="2" s="1"/>
  <c r="N1533" i="2"/>
  <c r="S1533" i="2" s="1"/>
  <c r="M1534" i="2"/>
  <c r="P1534" i="2" s="1"/>
  <c r="N1534" i="2"/>
  <c r="S1534" i="2" s="1"/>
  <c r="M1535" i="2"/>
  <c r="P1535" i="2" s="1"/>
  <c r="N1535" i="2"/>
  <c r="S1535" i="2" s="1"/>
  <c r="M1524" i="2"/>
  <c r="P1524" i="2" s="1"/>
  <c r="N1524" i="2"/>
  <c r="S1524" i="2" s="1"/>
  <c r="M1525" i="2"/>
  <c r="P1525" i="2" s="1"/>
  <c r="N1525" i="2"/>
  <c r="S1525" i="2" s="1"/>
  <c r="M1526" i="2"/>
  <c r="P1526" i="2" s="1"/>
  <c r="N1526" i="2"/>
  <c r="S1526" i="2" s="1"/>
  <c r="M1527" i="2"/>
  <c r="P1527" i="2" s="1"/>
  <c r="N1527" i="2"/>
  <c r="S1527" i="2" s="1"/>
  <c r="M1528" i="2"/>
  <c r="P1528" i="2" s="1"/>
  <c r="N1528" i="2"/>
  <c r="S1528" i="2" s="1"/>
  <c r="M1529" i="2"/>
  <c r="P1529" i="2" s="1"/>
  <c r="N1529" i="2"/>
  <c r="S1529" i="2" s="1"/>
  <c r="M1518" i="2"/>
  <c r="P1518" i="2" s="1"/>
  <c r="N1518" i="2"/>
  <c r="S1518" i="2" s="1"/>
  <c r="M1519" i="2"/>
  <c r="P1519" i="2" s="1"/>
  <c r="N1519" i="2"/>
  <c r="S1519" i="2" s="1"/>
  <c r="M1520" i="2"/>
  <c r="P1520" i="2" s="1"/>
  <c r="N1520" i="2"/>
  <c r="S1520" i="2" s="1"/>
  <c r="M1521" i="2"/>
  <c r="P1521" i="2" s="1"/>
  <c r="N1521" i="2"/>
  <c r="S1521" i="2" s="1"/>
  <c r="M1522" i="2"/>
  <c r="P1522" i="2" s="1"/>
  <c r="N1522" i="2"/>
  <c r="S1522" i="2" s="1"/>
  <c r="M1523" i="2"/>
  <c r="P1523" i="2" s="1"/>
  <c r="N1523" i="2"/>
  <c r="S1523" i="2" s="1"/>
  <c r="M1514" i="2"/>
  <c r="P1514" i="2" s="1"/>
  <c r="N1514" i="2"/>
  <c r="S1514" i="2" s="1"/>
  <c r="M1515" i="2"/>
  <c r="P1515" i="2" s="1"/>
  <c r="N1515" i="2"/>
  <c r="S1515" i="2" s="1"/>
  <c r="M1516" i="2"/>
  <c r="P1516" i="2" s="1"/>
  <c r="N1516" i="2"/>
  <c r="S1516" i="2" s="1"/>
  <c r="M1517" i="2"/>
  <c r="P1517" i="2" s="1"/>
  <c r="N1517" i="2"/>
  <c r="S1517" i="2" s="1"/>
  <c r="M1512" i="2"/>
  <c r="P1512" i="2" s="1"/>
  <c r="N1512" i="2"/>
  <c r="S1512" i="2" s="1"/>
  <c r="M1513" i="2"/>
  <c r="P1513" i="2" s="1"/>
  <c r="N1513" i="2"/>
  <c r="S1513" i="2" s="1"/>
  <c r="M1509" i="2" l="1"/>
  <c r="P1509" i="2" s="1"/>
  <c r="N1509" i="2"/>
  <c r="S1509" i="2" s="1"/>
  <c r="M1510" i="2"/>
  <c r="P1510" i="2" s="1"/>
  <c r="N1510" i="2"/>
  <c r="S1510" i="2" s="1"/>
  <c r="M1511" i="2"/>
  <c r="P1511" i="2" s="1"/>
  <c r="N1511" i="2"/>
  <c r="S1511" i="2" s="1"/>
  <c r="M1507" i="2"/>
  <c r="P1507" i="2" s="1"/>
  <c r="N1507" i="2"/>
  <c r="S1507" i="2" s="1"/>
  <c r="M1508" i="2"/>
  <c r="P1508" i="2" s="1"/>
  <c r="N1508" i="2"/>
  <c r="S1508" i="2" s="1"/>
  <c r="M1506" i="2"/>
  <c r="P1506" i="2" s="1"/>
  <c r="N1506" i="2"/>
  <c r="S1506" i="2" s="1"/>
  <c r="M1505" i="2"/>
  <c r="P1505" i="2" s="1"/>
  <c r="N1505" i="2"/>
  <c r="S1505" i="2" s="1"/>
  <c r="M1504" i="2"/>
  <c r="P1504" i="2" s="1"/>
  <c r="N1504" i="2"/>
  <c r="S1504" i="2" s="1"/>
  <c r="M1503" i="2"/>
  <c r="P1503" i="2" s="1"/>
  <c r="N1503" i="2"/>
  <c r="S1503" i="2" s="1"/>
  <c r="M1501" i="2"/>
  <c r="P1501" i="2" s="1"/>
  <c r="N1501" i="2"/>
  <c r="S1501" i="2" s="1"/>
  <c r="M1502" i="2"/>
  <c r="P1502" i="2" s="1"/>
  <c r="N1502" i="2"/>
  <c r="S1502" i="2" s="1"/>
  <c r="M1499" i="2"/>
  <c r="P1499" i="2" s="1"/>
  <c r="N1499" i="2"/>
  <c r="S1499" i="2" s="1"/>
  <c r="M1500" i="2"/>
  <c r="P1500" i="2" s="1"/>
  <c r="N1500" i="2"/>
  <c r="S1500" i="2" s="1"/>
  <c r="M1496" i="2"/>
  <c r="P1496" i="2" s="1"/>
  <c r="N1496" i="2"/>
  <c r="S1496" i="2" s="1"/>
  <c r="M1497" i="2"/>
  <c r="P1497" i="2" s="1"/>
  <c r="N1497" i="2"/>
  <c r="S1497" i="2" s="1"/>
  <c r="M1498" i="2"/>
  <c r="P1498" i="2" s="1"/>
  <c r="N1498" i="2"/>
  <c r="S1498" i="2" s="1"/>
  <c r="M1495" i="2"/>
  <c r="P1495" i="2" s="1"/>
  <c r="N1495" i="2"/>
  <c r="S1495" i="2" s="1"/>
  <c r="M1493" i="2"/>
  <c r="P1493" i="2" s="1"/>
  <c r="N1493" i="2"/>
  <c r="S1493" i="2" s="1"/>
  <c r="M1494" i="2"/>
  <c r="P1494" i="2" s="1"/>
  <c r="N1494" i="2"/>
  <c r="S1494" i="2" s="1"/>
  <c r="M1492" i="2"/>
  <c r="P1492" i="2" s="1"/>
  <c r="N1492" i="2"/>
  <c r="S1492" i="2" s="1"/>
  <c r="M1491" i="2"/>
  <c r="P1491" i="2" s="1"/>
  <c r="N1491" i="2"/>
  <c r="S1491" i="2" s="1"/>
  <c r="M1487" i="2" l="1"/>
  <c r="P1487" i="2" s="1"/>
  <c r="N1487" i="2"/>
  <c r="S1487" i="2" s="1"/>
  <c r="M1488" i="2"/>
  <c r="P1488" i="2" s="1"/>
  <c r="N1488" i="2"/>
  <c r="S1488" i="2" s="1"/>
  <c r="M1489" i="2"/>
  <c r="P1489" i="2" s="1"/>
  <c r="N1489" i="2"/>
  <c r="S1489" i="2" s="1"/>
  <c r="M1490" i="2"/>
  <c r="P1490" i="2" s="1"/>
  <c r="N1490" i="2"/>
  <c r="S1490" i="2" s="1"/>
  <c r="M1482" i="2"/>
  <c r="P1482" i="2" s="1"/>
  <c r="N1482" i="2"/>
  <c r="S1482" i="2" s="1"/>
  <c r="M1483" i="2"/>
  <c r="P1483" i="2" s="1"/>
  <c r="N1483" i="2"/>
  <c r="S1483" i="2" s="1"/>
  <c r="M1484" i="2"/>
  <c r="P1484" i="2" s="1"/>
  <c r="N1484" i="2"/>
  <c r="S1484" i="2" s="1"/>
  <c r="M1485" i="2"/>
  <c r="P1485" i="2" s="1"/>
  <c r="N1485" i="2"/>
  <c r="S1485" i="2" s="1"/>
  <c r="M1486" i="2"/>
  <c r="P1486" i="2" s="1"/>
  <c r="N1486" i="2"/>
  <c r="S1486" i="2" s="1"/>
  <c r="M1480" i="2"/>
  <c r="P1480" i="2" s="1"/>
  <c r="N1480" i="2"/>
  <c r="S1480" i="2" s="1"/>
  <c r="M1481" i="2"/>
  <c r="P1481" i="2" s="1"/>
  <c r="N1481" i="2"/>
  <c r="S1481" i="2" s="1"/>
  <c r="M1479" i="2"/>
  <c r="P1479" i="2" s="1"/>
  <c r="N1479" i="2"/>
  <c r="S1479" i="2" s="1"/>
  <c r="M1475" i="2"/>
  <c r="P1475" i="2" s="1"/>
  <c r="N1475" i="2"/>
  <c r="S1475" i="2" s="1"/>
  <c r="M1476" i="2"/>
  <c r="P1476" i="2" s="1"/>
  <c r="N1476" i="2"/>
  <c r="S1476" i="2" s="1"/>
  <c r="M1477" i="2"/>
  <c r="P1477" i="2" s="1"/>
  <c r="N1477" i="2"/>
  <c r="S1477" i="2" s="1"/>
  <c r="M1478" i="2"/>
  <c r="P1478" i="2" s="1"/>
  <c r="N1478" i="2"/>
  <c r="S1478" i="2" s="1"/>
  <c r="M1471" i="2"/>
  <c r="P1471" i="2" s="1"/>
  <c r="N1471" i="2"/>
  <c r="S1471" i="2" s="1"/>
  <c r="M1472" i="2"/>
  <c r="P1472" i="2" s="1"/>
  <c r="N1472" i="2"/>
  <c r="S1472" i="2" s="1"/>
  <c r="M1473" i="2"/>
  <c r="P1473" i="2" s="1"/>
  <c r="N1473" i="2"/>
  <c r="S1473" i="2" s="1"/>
  <c r="M1474" i="2"/>
  <c r="P1474" i="2" s="1"/>
  <c r="N1474" i="2"/>
  <c r="S1474" i="2" s="1"/>
  <c r="M1468" i="2"/>
  <c r="P1468" i="2" s="1"/>
  <c r="N1468" i="2"/>
  <c r="S1468" i="2" s="1"/>
  <c r="M1469" i="2"/>
  <c r="P1469" i="2" s="1"/>
  <c r="N1469" i="2"/>
  <c r="S1469" i="2" s="1"/>
  <c r="M1470" i="2"/>
  <c r="P1470" i="2" s="1"/>
  <c r="N1470" i="2"/>
  <c r="S1470" i="2" s="1"/>
  <c r="M1466" i="2"/>
  <c r="P1466" i="2" s="1"/>
  <c r="N1466" i="2"/>
  <c r="S1466" i="2" s="1"/>
  <c r="M1467" i="2"/>
  <c r="P1467" i="2" s="1"/>
  <c r="N1467" i="2"/>
  <c r="S1467" i="2" s="1"/>
  <c r="M1463" i="2"/>
  <c r="P1463" i="2" s="1"/>
  <c r="N1463" i="2"/>
  <c r="S1463" i="2" s="1"/>
  <c r="M1464" i="2"/>
  <c r="P1464" i="2" s="1"/>
  <c r="N1464" i="2"/>
  <c r="S1464" i="2" s="1"/>
  <c r="M1465" i="2"/>
  <c r="P1465" i="2" s="1"/>
  <c r="N1465" i="2"/>
  <c r="S1465" i="2" s="1"/>
  <c r="M1462" i="2"/>
  <c r="P1462" i="2" s="1"/>
  <c r="N1462" i="2"/>
  <c r="S1462" i="2" s="1"/>
  <c r="M1460" i="2"/>
  <c r="P1460" i="2" s="1"/>
  <c r="N1460" i="2"/>
  <c r="S1460" i="2" s="1"/>
  <c r="M1461" i="2"/>
  <c r="P1461" i="2" s="1"/>
  <c r="N1461" i="2"/>
  <c r="S1461" i="2" s="1"/>
  <c r="M1457" i="2"/>
  <c r="P1457" i="2" s="1"/>
  <c r="N1457" i="2"/>
  <c r="S1457" i="2" s="1"/>
  <c r="M1458" i="2"/>
  <c r="P1458" i="2" s="1"/>
  <c r="N1458" i="2"/>
  <c r="S1458" i="2" s="1"/>
  <c r="M1459" i="2"/>
  <c r="P1459" i="2" s="1"/>
  <c r="N1459" i="2"/>
  <c r="S1459" i="2" s="1"/>
  <c r="M1453" i="2"/>
  <c r="P1453" i="2" s="1"/>
  <c r="N1453" i="2"/>
  <c r="S1453" i="2" s="1"/>
  <c r="M1454" i="2"/>
  <c r="P1454" i="2" s="1"/>
  <c r="N1454" i="2"/>
  <c r="S1454" i="2" s="1"/>
  <c r="M1455" i="2"/>
  <c r="P1455" i="2" s="1"/>
  <c r="N1455" i="2"/>
  <c r="S1455" i="2" s="1"/>
  <c r="M1456" i="2"/>
  <c r="P1456" i="2" s="1"/>
  <c r="N1456" i="2"/>
  <c r="S1456" i="2" s="1"/>
  <c r="M1451" i="2"/>
  <c r="P1451" i="2" s="1"/>
  <c r="N1451" i="2"/>
  <c r="S1451" i="2" s="1"/>
  <c r="M1452" i="2"/>
  <c r="P1452" i="2" s="1"/>
  <c r="N1452" i="2"/>
  <c r="S1452" i="2" s="1"/>
  <c r="M1446" i="2"/>
  <c r="P1446" i="2" s="1"/>
  <c r="N1446" i="2"/>
  <c r="S1446" i="2" s="1"/>
  <c r="M1447" i="2"/>
  <c r="P1447" i="2" s="1"/>
  <c r="N1447" i="2"/>
  <c r="S1447" i="2" s="1"/>
  <c r="M1448" i="2"/>
  <c r="N1448" i="2"/>
  <c r="S1448" i="2" s="1"/>
  <c r="M1449" i="2"/>
  <c r="P1449" i="2" s="1"/>
  <c r="N1449" i="2"/>
  <c r="S1449" i="2" s="1"/>
  <c r="M1450" i="2"/>
  <c r="P1450" i="2" s="1"/>
  <c r="N1450" i="2"/>
  <c r="S1450" i="2" s="1"/>
  <c r="M1443" i="2"/>
  <c r="P1443" i="2" s="1"/>
  <c r="N1443" i="2"/>
  <c r="S1443" i="2" s="1"/>
  <c r="M1444" i="2"/>
  <c r="P1444" i="2" s="1"/>
  <c r="N1444" i="2"/>
  <c r="S1444" i="2" s="1"/>
  <c r="M1445" i="2"/>
  <c r="P1445" i="2" s="1"/>
  <c r="N1445" i="2"/>
  <c r="S1445" i="2" s="1"/>
  <c r="M1439" i="2"/>
  <c r="P1439" i="2" s="1"/>
  <c r="N1439" i="2"/>
  <c r="S1439" i="2" s="1"/>
  <c r="M1440" i="2"/>
  <c r="P1440" i="2" s="1"/>
  <c r="N1440" i="2"/>
  <c r="S1440" i="2" s="1"/>
  <c r="M1441" i="2"/>
  <c r="P1441" i="2" s="1"/>
  <c r="N1441" i="2"/>
  <c r="S1441" i="2" s="1"/>
  <c r="M1442" i="2"/>
  <c r="P1442" i="2" s="1"/>
  <c r="N1442" i="2"/>
  <c r="S1442" i="2" s="1"/>
  <c r="M1436" i="2"/>
  <c r="P1436" i="2" s="1"/>
  <c r="N1436" i="2"/>
  <c r="S1436" i="2" s="1"/>
  <c r="M1437" i="2"/>
  <c r="P1437" i="2" s="1"/>
  <c r="N1437" i="2"/>
  <c r="S1437" i="2" s="1"/>
  <c r="M1438" i="2"/>
  <c r="P1438" i="2" s="1"/>
  <c r="N1438" i="2"/>
  <c r="S1438" i="2" s="1"/>
  <c r="M1435" i="2" l="1"/>
  <c r="P1435" i="2" s="1"/>
  <c r="N1435" i="2"/>
  <c r="S1435" i="2" s="1"/>
  <c r="M1434" i="2"/>
  <c r="P1434" i="2" s="1"/>
  <c r="N1434" i="2"/>
  <c r="S1434" i="2" s="1"/>
  <c r="M1318" i="2" l="1"/>
  <c r="P1318" i="2" s="1"/>
  <c r="N1318" i="2"/>
  <c r="M1317" i="2" l="1"/>
  <c r="P1317" i="2" s="1"/>
  <c r="N1317" i="2"/>
  <c r="M1433" i="2" l="1"/>
  <c r="P1433" i="2" s="1"/>
  <c r="N1433" i="2"/>
  <c r="S1433" i="2" s="1"/>
  <c r="M1432" i="2" l="1"/>
  <c r="P1432" i="2" s="1"/>
  <c r="N1432" i="2"/>
  <c r="S1432" i="2" s="1"/>
  <c r="M1431" i="2"/>
  <c r="P1431" i="2" s="1"/>
  <c r="N1431" i="2"/>
  <c r="S1431" i="2" s="1"/>
  <c r="M1430" i="2"/>
  <c r="P1430" i="2" s="1"/>
  <c r="N1430" i="2"/>
  <c r="S1430" i="2" s="1"/>
  <c r="S1343" i="2" l="1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M1419" i="2"/>
  <c r="P1419" i="2" s="1"/>
  <c r="N1419" i="2"/>
  <c r="S1419" i="2" s="1"/>
  <c r="M1420" i="2"/>
  <c r="P1420" i="2" s="1"/>
  <c r="N1420" i="2"/>
  <c r="S1420" i="2" s="1"/>
  <c r="M1421" i="2"/>
  <c r="P1421" i="2" s="1"/>
  <c r="N1421" i="2"/>
  <c r="S1421" i="2" s="1"/>
  <c r="M1422" i="2"/>
  <c r="P1422" i="2" s="1"/>
  <c r="N1422" i="2"/>
  <c r="S1422" i="2" s="1"/>
  <c r="M1423" i="2"/>
  <c r="P1423" i="2" s="1"/>
  <c r="N1423" i="2"/>
  <c r="S1423" i="2" s="1"/>
  <c r="M1424" i="2"/>
  <c r="P1424" i="2" s="1"/>
  <c r="N1424" i="2"/>
  <c r="S1424" i="2" s="1"/>
  <c r="M1425" i="2"/>
  <c r="N1425" i="2"/>
  <c r="S1425" i="2" s="1"/>
  <c r="M1426" i="2"/>
  <c r="P1426" i="2" s="1"/>
  <c r="N1426" i="2"/>
  <c r="S1426" i="2" s="1"/>
  <c r="M1427" i="2"/>
  <c r="N1427" i="2"/>
  <c r="S1427" i="2" s="1"/>
  <c r="M1428" i="2"/>
  <c r="P1428" i="2" s="1"/>
  <c r="N1428" i="2"/>
  <c r="S1428" i="2" s="1"/>
  <c r="M1429" i="2"/>
  <c r="P1429" i="2" s="1"/>
  <c r="N1429" i="2"/>
  <c r="S1429" i="2" s="1"/>
  <c r="M1416" i="2"/>
  <c r="P1416" i="2" s="1"/>
  <c r="N1416" i="2"/>
  <c r="S1416" i="2" s="1"/>
  <c r="M1417" i="2"/>
  <c r="P1417" i="2" s="1"/>
  <c r="N1417" i="2"/>
  <c r="S1417" i="2" s="1"/>
  <c r="M1418" i="2"/>
  <c r="P1418" i="2" s="1"/>
  <c r="N1418" i="2"/>
  <c r="S1418" i="2" s="1"/>
  <c r="M1412" i="2"/>
  <c r="P1412" i="2" s="1"/>
  <c r="N1412" i="2"/>
  <c r="S1412" i="2" s="1"/>
  <c r="M1413" i="2"/>
  <c r="P1413" i="2" s="1"/>
  <c r="N1413" i="2"/>
  <c r="S1413" i="2" s="1"/>
  <c r="M1414" i="2"/>
  <c r="P1414" i="2" s="1"/>
  <c r="N1414" i="2"/>
  <c r="S1414" i="2" s="1"/>
  <c r="M1415" i="2"/>
  <c r="P1415" i="2" s="1"/>
  <c r="N1415" i="2"/>
  <c r="S1415" i="2" s="1"/>
  <c r="M1402" i="2"/>
  <c r="P1402" i="2" s="1"/>
  <c r="N1402" i="2"/>
  <c r="S1402" i="2" s="1"/>
  <c r="M1403" i="2"/>
  <c r="P1403" i="2" s="1"/>
  <c r="N1403" i="2"/>
  <c r="S1403" i="2" s="1"/>
  <c r="M1404" i="2"/>
  <c r="P1404" i="2" s="1"/>
  <c r="N1404" i="2"/>
  <c r="S1404" i="2" s="1"/>
  <c r="M1405" i="2"/>
  <c r="P1405" i="2" s="1"/>
  <c r="N1405" i="2"/>
  <c r="S1405" i="2" s="1"/>
  <c r="M1406" i="2"/>
  <c r="P1406" i="2" s="1"/>
  <c r="N1406" i="2"/>
  <c r="S1406" i="2" s="1"/>
  <c r="M1407" i="2"/>
  <c r="P1407" i="2" s="1"/>
  <c r="N1407" i="2"/>
  <c r="S1407" i="2" s="1"/>
  <c r="M1408" i="2"/>
  <c r="P1408" i="2" s="1"/>
  <c r="N1408" i="2"/>
  <c r="S1408" i="2" s="1"/>
  <c r="M1409" i="2"/>
  <c r="P1409" i="2" s="1"/>
  <c r="N1409" i="2"/>
  <c r="S1409" i="2" s="1"/>
  <c r="M1410" i="2"/>
  <c r="P1410" i="2" s="1"/>
  <c r="N1410" i="2"/>
  <c r="S1410" i="2" s="1"/>
  <c r="M1411" i="2"/>
  <c r="P1411" i="2" s="1"/>
  <c r="N1411" i="2"/>
  <c r="S1411" i="2" s="1"/>
  <c r="M1397" i="2"/>
  <c r="P1397" i="2" s="1"/>
  <c r="N1397" i="2"/>
  <c r="S1397" i="2" s="1"/>
  <c r="M1398" i="2"/>
  <c r="P1398" i="2" s="1"/>
  <c r="N1398" i="2"/>
  <c r="S1398" i="2" s="1"/>
  <c r="M1399" i="2"/>
  <c r="P1399" i="2" s="1"/>
  <c r="N1399" i="2"/>
  <c r="S1399" i="2" s="1"/>
  <c r="M1400" i="2"/>
  <c r="P1400" i="2" s="1"/>
  <c r="N1400" i="2"/>
  <c r="S1400" i="2" s="1"/>
  <c r="M1401" i="2"/>
  <c r="P1401" i="2" s="1"/>
  <c r="N1401" i="2"/>
  <c r="S1401" i="2" s="1"/>
  <c r="M1396" i="2"/>
  <c r="P1396" i="2" s="1"/>
  <c r="N1396" i="2"/>
  <c r="S1396" i="2" s="1"/>
  <c r="M1393" i="2"/>
  <c r="P1393" i="2" s="1"/>
  <c r="N1393" i="2"/>
  <c r="S1393" i="2" s="1"/>
  <c r="M1394" i="2"/>
  <c r="P1394" i="2" s="1"/>
  <c r="N1394" i="2"/>
  <c r="S1394" i="2" s="1"/>
  <c r="M1395" i="2"/>
  <c r="P1395" i="2" s="1"/>
  <c r="N1395" i="2"/>
  <c r="S1395" i="2" s="1"/>
  <c r="M1392" i="2"/>
  <c r="P1392" i="2" s="1"/>
  <c r="N1392" i="2"/>
  <c r="S1392" i="2" s="1"/>
  <c r="M1387" i="2"/>
  <c r="P1387" i="2" s="1"/>
  <c r="N1387" i="2"/>
  <c r="S1387" i="2" s="1"/>
  <c r="M1388" i="2"/>
  <c r="P1388" i="2" s="1"/>
  <c r="N1388" i="2"/>
  <c r="S1388" i="2" s="1"/>
  <c r="M1389" i="2"/>
  <c r="P1389" i="2" s="1"/>
  <c r="N1389" i="2"/>
  <c r="S1389" i="2" s="1"/>
  <c r="M1390" i="2"/>
  <c r="P1390" i="2" s="1"/>
  <c r="N1390" i="2"/>
  <c r="S1390" i="2" s="1"/>
  <c r="M1391" i="2"/>
  <c r="P1391" i="2" s="1"/>
  <c r="N1391" i="2"/>
  <c r="S1391" i="2" s="1"/>
  <c r="M1383" i="2"/>
  <c r="P1383" i="2" s="1"/>
  <c r="N1383" i="2"/>
  <c r="S1383" i="2" s="1"/>
  <c r="M1384" i="2"/>
  <c r="P1384" i="2" s="1"/>
  <c r="N1384" i="2"/>
  <c r="S1384" i="2" s="1"/>
  <c r="M1385" i="2"/>
  <c r="P1385" i="2" s="1"/>
  <c r="N1385" i="2"/>
  <c r="S1385" i="2" s="1"/>
  <c r="M1386" i="2"/>
  <c r="P1386" i="2" s="1"/>
  <c r="N1386" i="2"/>
  <c r="S1386" i="2" s="1"/>
  <c r="M1378" i="2"/>
  <c r="P1378" i="2" s="1"/>
  <c r="N1378" i="2"/>
  <c r="S1378" i="2" s="1"/>
  <c r="M1379" i="2"/>
  <c r="P1379" i="2" s="1"/>
  <c r="N1379" i="2"/>
  <c r="S1379" i="2" s="1"/>
  <c r="M1380" i="2"/>
  <c r="P1380" i="2" s="1"/>
  <c r="N1380" i="2"/>
  <c r="S1380" i="2" s="1"/>
  <c r="M1381" i="2"/>
  <c r="P1381" i="2" s="1"/>
  <c r="N1381" i="2"/>
  <c r="S1381" i="2" s="1"/>
  <c r="M1382" i="2"/>
  <c r="P1382" i="2" s="1"/>
  <c r="N1382" i="2"/>
  <c r="S1382" i="2" s="1"/>
  <c r="M1376" i="2"/>
  <c r="P1376" i="2" s="1"/>
  <c r="N1376" i="2"/>
  <c r="S1376" i="2" s="1"/>
  <c r="M1377" i="2"/>
  <c r="P1377" i="2" s="1"/>
  <c r="N1377" i="2"/>
  <c r="S1377" i="2" s="1"/>
  <c r="M1374" i="2"/>
  <c r="P1374" i="2" s="1"/>
  <c r="N1374" i="2"/>
  <c r="S1374" i="2" s="1"/>
  <c r="M1375" i="2"/>
  <c r="P1375" i="2" s="1"/>
  <c r="N1375" i="2"/>
  <c r="S1375" i="2" s="1"/>
  <c r="M1372" i="2"/>
  <c r="P1372" i="2" s="1"/>
  <c r="N1372" i="2"/>
  <c r="S1372" i="2" s="1"/>
  <c r="M1373" i="2"/>
  <c r="P1373" i="2" s="1"/>
  <c r="N1373" i="2"/>
  <c r="S1373" i="2" s="1"/>
  <c r="M1368" i="2"/>
  <c r="P1368" i="2" s="1"/>
  <c r="N1368" i="2"/>
  <c r="S1368" i="2" s="1"/>
  <c r="M1369" i="2"/>
  <c r="P1369" i="2" s="1"/>
  <c r="N1369" i="2"/>
  <c r="S1369" i="2" s="1"/>
  <c r="M1370" i="2"/>
  <c r="P1370" i="2" s="1"/>
  <c r="N1370" i="2"/>
  <c r="S1370" i="2" s="1"/>
  <c r="M1371" i="2"/>
  <c r="P1371" i="2" s="1"/>
  <c r="N1371" i="2"/>
  <c r="S1371" i="2" s="1"/>
  <c r="M1367" i="2"/>
  <c r="P1367" i="2" s="1"/>
  <c r="N1367" i="2"/>
  <c r="S1367" i="2" s="1"/>
  <c r="M1365" i="2"/>
  <c r="P1365" i="2" s="1"/>
  <c r="N1365" i="2"/>
  <c r="S1365" i="2" s="1"/>
  <c r="M1366" i="2"/>
  <c r="P1366" i="2" s="1"/>
  <c r="N1366" i="2"/>
  <c r="S1366" i="2" s="1"/>
  <c r="M1363" i="2"/>
  <c r="P1363" i="2" s="1"/>
  <c r="N1363" i="2"/>
  <c r="S1363" i="2" s="1"/>
  <c r="M1364" i="2"/>
  <c r="P1364" i="2" s="1"/>
  <c r="N1364" i="2"/>
  <c r="S1364" i="2" s="1"/>
  <c r="M1359" i="2"/>
  <c r="P1359" i="2" s="1"/>
  <c r="N1359" i="2"/>
  <c r="S1359" i="2" s="1"/>
  <c r="M1360" i="2"/>
  <c r="P1360" i="2" s="1"/>
  <c r="N1360" i="2"/>
  <c r="S1360" i="2" s="1"/>
  <c r="M1361" i="2"/>
  <c r="P1361" i="2" s="1"/>
  <c r="N1361" i="2"/>
  <c r="S1361" i="2" s="1"/>
  <c r="M1362" i="2"/>
  <c r="P1362" i="2" s="1"/>
  <c r="N1362" i="2"/>
  <c r="S1362" i="2" s="1"/>
  <c r="M1357" i="2"/>
  <c r="P1357" i="2" s="1"/>
  <c r="N1357" i="2"/>
  <c r="S1357" i="2" s="1"/>
  <c r="M1358" i="2"/>
  <c r="P1358" i="2" s="1"/>
  <c r="N1358" i="2"/>
  <c r="S1358" i="2" s="1"/>
  <c r="M1355" i="2"/>
  <c r="P1355" i="2" s="1"/>
  <c r="N1355" i="2"/>
  <c r="S1355" i="2" s="1"/>
  <c r="M1356" i="2"/>
  <c r="P1356" i="2" s="1"/>
  <c r="N1356" i="2"/>
  <c r="S1356" i="2" s="1"/>
  <c r="M1354" i="2"/>
  <c r="P1354" i="2" s="1"/>
  <c r="N1354" i="2"/>
  <c r="S1354" i="2" s="1"/>
  <c r="M1351" i="2"/>
  <c r="P1351" i="2" s="1"/>
  <c r="N1351" i="2"/>
  <c r="S1351" i="2" s="1"/>
  <c r="M1352" i="2"/>
  <c r="P1352" i="2" s="1"/>
  <c r="N1352" i="2"/>
  <c r="S1352" i="2" s="1"/>
  <c r="M1353" i="2"/>
  <c r="P1353" i="2" s="1"/>
  <c r="N1353" i="2"/>
  <c r="S1353" i="2" s="1"/>
  <c r="M1348" i="2"/>
  <c r="P1348" i="2" s="1"/>
  <c r="N1348" i="2"/>
  <c r="S1348" i="2" s="1"/>
  <c r="M1349" i="2"/>
  <c r="P1349" i="2" s="1"/>
  <c r="N1349" i="2"/>
  <c r="S1349" i="2" s="1"/>
  <c r="M1350" i="2"/>
  <c r="P1350" i="2" s="1"/>
  <c r="N1350" i="2"/>
  <c r="S1350" i="2" s="1"/>
  <c r="M1347" i="2"/>
  <c r="P1347" i="2" s="1"/>
  <c r="N1347" i="2"/>
  <c r="S1347" i="2" s="1"/>
  <c r="M1345" i="2"/>
  <c r="N1345" i="2"/>
  <c r="S1345" i="2" s="1"/>
  <c r="P1345" i="2"/>
  <c r="M1346" i="2"/>
  <c r="N1346" i="2"/>
  <c r="S1346" i="2" s="1"/>
  <c r="P1346" i="2"/>
  <c r="M1344" i="2"/>
  <c r="P1344" i="2" s="1"/>
  <c r="N1344" i="2"/>
  <c r="S1344" i="2" s="1"/>
  <c r="M16" i="7" l="1"/>
  <c r="M17" i="7"/>
  <c r="M18" i="7"/>
  <c r="M19" i="7"/>
  <c r="M20" i="7"/>
  <c r="M21" i="7"/>
  <c r="M22" i="7"/>
  <c r="M23" i="7"/>
  <c r="M14" i="7"/>
  <c r="O24" i="7"/>
  <c r="L16" i="7"/>
  <c r="O16" i="7" s="1"/>
  <c r="L17" i="7"/>
  <c r="O17" i="7" s="1"/>
  <c r="L18" i="7"/>
  <c r="O18" i="7" s="1"/>
  <c r="L19" i="7"/>
  <c r="O19" i="7" s="1"/>
  <c r="L20" i="7"/>
  <c r="O20" i="7" s="1"/>
  <c r="L21" i="7"/>
  <c r="O21" i="7" s="1"/>
  <c r="L22" i="7"/>
  <c r="O22" i="7" s="1"/>
  <c r="L23" i="7"/>
  <c r="O23" i="7" s="1"/>
  <c r="M1320" i="2" l="1"/>
  <c r="P1320" i="2" s="1"/>
  <c r="N1320" i="2"/>
  <c r="M1319" i="2"/>
  <c r="P1319" i="2" s="1"/>
  <c r="N1319" i="2"/>
  <c r="M1316" i="2"/>
  <c r="P1316" i="2" s="1"/>
  <c r="N1316" i="2"/>
  <c r="M15" i="7" l="1"/>
  <c r="M13" i="7"/>
  <c r="M12" i="7"/>
  <c r="M11" i="7"/>
  <c r="M10" i="7"/>
  <c r="M9" i="7"/>
  <c r="M8" i="7"/>
  <c r="M7" i="7"/>
  <c r="M6" i="7"/>
  <c r="M5" i="7"/>
  <c r="M4" i="7"/>
  <c r="M3" i="7"/>
  <c r="L15" i="7"/>
  <c r="O15" i="7" s="1"/>
  <c r="L14" i="7"/>
  <c r="O14" i="7" s="1"/>
  <c r="L13" i="7"/>
  <c r="O13" i="7" s="1"/>
  <c r="L12" i="7"/>
  <c r="O12" i="7" s="1"/>
  <c r="L11" i="7"/>
  <c r="O11" i="7" s="1"/>
  <c r="L10" i="7"/>
  <c r="O10" i="7" s="1"/>
  <c r="L9" i="7"/>
  <c r="O9" i="7" s="1"/>
  <c r="L8" i="7"/>
  <c r="O8" i="7" s="1"/>
  <c r="L7" i="7"/>
  <c r="O7" i="7" s="1"/>
  <c r="L6" i="7"/>
  <c r="O6" i="7" s="1"/>
  <c r="L5" i="7"/>
  <c r="O5" i="7" s="1"/>
  <c r="L4" i="7"/>
  <c r="O4" i="7" s="1"/>
  <c r="L3" i="7"/>
  <c r="O3" i="7" s="1"/>
  <c r="M2" i="7"/>
  <c r="L2" i="7"/>
  <c r="O2" i="7" s="1"/>
  <c r="N1315" i="2" l="1"/>
  <c r="S1315" i="2" s="1"/>
  <c r="M1315" i="2"/>
  <c r="P1315" i="2" s="1"/>
  <c r="N1314" i="2"/>
  <c r="S1314" i="2" s="1"/>
  <c r="M1314" i="2"/>
  <c r="P1314" i="2" s="1"/>
  <c r="N1313" i="2"/>
  <c r="S1313" i="2" s="1"/>
  <c r="M1313" i="2"/>
  <c r="P1313" i="2" s="1"/>
  <c r="N1312" i="2"/>
  <c r="S1312" i="2" s="1"/>
  <c r="M1312" i="2"/>
  <c r="P1312" i="2" s="1"/>
  <c r="N1311" i="2"/>
  <c r="S1311" i="2" s="1"/>
  <c r="M1311" i="2"/>
  <c r="P1311" i="2" s="1"/>
  <c r="N1310" i="2"/>
  <c r="S1310" i="2" s="1"/>
  <c r="M1310" i="2"/>
  <c r="P1310" i="2" s="1"/>
  <c r="N1309" i="2"/>
  <c r="S1309" i="2" s="1"/>
  <c r="M1309" i="2"/>
  <c r="P1309" i="2" s="1"/>
  <c r="N1308" i="2"/>
  <c r="S1308" i="2" s="1"/>
  <c r="M1308" i="2"/>
  <c r="P1308" i="2" s="1"/>
  <c r="N1307" i="2"/>
  <c r="S1307" i="2" s="1"/>
  <c r="M1307" i="2"/>
  <c r="P1307" i="2" s="1"/>
  <c r="N1306" i="2"/>
  <c r="S1306" i="2" s="1"/>
  <c r="M1306" i="2"/>
  <c r="P1306" i="2" s="1"/>
  <c r="N1305" i="2"/>
  <c r="S1305" i="2" s="1"/>
  <c r="M1305" i="2"/>
  <c r="P1305" i="2" s="1"/>
  <c r="N1304" i="2"/>
  <c r="S1304" i="2" s="1"/>
  <c r="M1304" i="2"/>
  <c r="P1304" i="2" s="1"/>
  <c r="N1303" i="2"/>
  <c r="S1303" i="2" s="1"/>
  <c r="M1303" i="2"/>
  <c r="P1303" i="2" s="1"/>
  <c r="N1302" i="2"/>
  <c r="S1302" i="2" s="1"/>
  <c r="M1302" i="2"/>
  <c r="P1302" i="2" s="1"/>
  <c r="N1301" i="2"/>
  <c r="S1301" i="2" s="1"/>
  <c r="M1301" i="2"/>
  <c r="P1301" i="2" s="1"/>
  <c r="N1300" i="2"/>
  <c r="S1300" i="2" s="1"/>
  <c r="M1300" i="2"/>
  <c r="P1300" i="2" s="1"/>
  <c r="N1299" i="2"/>
  <c r="S1299" i="2" s="1"/>
  <c r="M1299" i="2"/>
  <c r="P1299" i="2" s="1"/>
  <c r="N1298" i="2"/>
  <c r="S1298" i="2" s="1"/>
  <c r="M1298" i="2"/>
  <c r="P1298" i="2" s="1"/>
  <c r="N1297" i="2"/>
  <c r="S1297" i="2" s="1"/>
  <c r="M1297" i="2"/>
  <c r="P1297" i="2" s="1"/>
  <c r="N1296" i="2"/>
  <c r="S1296" i="2" s="1"/>
  <c r="M1296" i="2"/>
  <c r="P1296" i="2" s="1"/>
  <c r="M1295" i="2"/>
  <c r="P1295" i="2" s="1"/>
  <c r="N1295" i="2"/>
  <c r="S1295" i="2" s="1"/>
  <c r="M1294" i="2"/>
  <c r="P1294" i="2" s="1"/>
  <c r="N1294" i="2"/>
  <c r="S1294" i="2" s="1"/>
  <c r="N1293" i="2"/>
  <c r="S1293" i="2" s="1"/>
  <c r="M1293" i="2"/>
  <c r="P1293" i="2" s="1"/>
  <c r="N1292" i="2"/>
  <c r="S1292" i="2" s="1"/>
  <c r="M1292" i="2"/>
  <c r="P1292" i="2" s="1"/>
  <c r="N1291" i="2"/>
  <c r="S1291" i="2" s="1"/>
  <c r="M1291" i="2"/>
  <c r="P1291" i="2" s="1"/>
  <c r="N1290" i="2"/>
  <c r="S1290" i="2" s="1"/>
  <c r="M1290" i="2"/>
  <c r="P1290" i="2" s="1"/>
  <c r="N1289" i="2"/>
  <c r="S1289" i="2" s="1"/>
  <c r="M1289" i="2"/>
  <c r="P1289" i="2" s="1"/>
  <c r="N1288" i="2"/>
  <c r="S1288" i="2" s="1"/>
  <c r="M1288" i="2"/>
  <c r="P1288" i="2" s="1"/>
  <c r="M1287" i="2"/>
  <c r="P1287" i="2" s="1"/>
  <c r="N1287" i="2"/>
  <c r="S1287" i="2" s="1"/>
  <c r="M1286" i="2"/>
  <c r="P1286" i="2" s="1"/>
  <c r="N1286" i="2"/>
  <c r="S1286" i="2" s="1"/>
  <c r="N1285" i="2"/>
  <c r="S1285" i="2" s="1"/>
  <c r="M1285" i="2"/>
  <c r="P1285" i="2" s="1"/>
  <c r="N1284" i="2"/>
  <c r="S1284" i="2" s="1"/>
  <c r="M1284" i="2"/>
  <c r="P1284" i="2" s="1"/>
  <c r="N1283" i="2"/>
  <c r="S1283" i="2" s="1"/>
  <c r="M1283" i="2"/>
  <c r="P1283" i="2" s="1"/>
  <c r="N1282" i="2"/>
  <c r="S1282" i="2" s="1"/>
  <c r="M1282" i="2"/>
  <c r="P1282" i="2" s="1"/>
  <c r="N1281" i="2"/>
  <c r="S1281" i="2" s="1"/>
  <c r="M1281" i="2"/>
  <c r="P1281" i="2" s="1"/>
  <c r="N1280" i="2"/>
  <c r="S1280" i="2" s="1"/>
  <c r="M1280" i="2"/>
  <c r="P1280" i="2" s="1"/>
  <c r="N1279" i="2"/>
  <c r="S1279" i="2" s="1"/>
  <c r="M1279" i="2"/>
  <c r="P1279" i="2" s="1"/>
  <c r="N1278" i="2"/>
  <c r="S1278" i="2" s="1"/>
  <c r="M1278" i="2"/>
  <c r="P1278" i="2" s="1"/>
  <c r="N1277" i="2"/>
  <c r="S1277" i="2" s="1"/>
  <c r="M1277" i="2"/>
  <c r="N1276" i="2"/>
  <c r="S1276" i="2" s="1"/>
  <c r="M1276" i="2"/>
  <c r="P1276" i="2" s="1"/>
  <c r="N1275" i="2"/>
  <c r="S1275" i="2" s="1"/>
  <c r="M1275" i="2"/>
  <c r="P1275" i="2" s="1"/>
  <c r="N1274" i="2"/>
  <c r="S1274" i="2" s="1"/>
  <c r="M1274" i="2"/>
  <c r="P1274" i="2" s="1"/>
  <c r="M1273" i="2"/>
  <c r="P1273" i="2" s="1"/>
  <c r="N1273" i="2"/>
  <c r="S1273" i="2" s="1"/>
  <c r="M1272" i="2"/>
  <c r="P1272" i="2" s="1"/>
  <c r="N1272" i="2"/>
  <c r="S1272" i="2" s="1"/>
  <c r="M1271" i="2"/>
  <c r="P1271" i="2" s="1"/>
  <c r="N1271" i="2"/>
  <c r="S1271" i="2" s="1"/>
  <c r="N1270" i="2"/>
  <c r="S1270" i="2" s="1"/>
  <c r="M1270" i="2"/>
  <c r="P1270" i="2" s="1"/>
  <c r="N1269" i="2"/>
  <c r="S1269" i="2" s="1"/>
  <c r="M1269" i="2"/>
  <c r="P1269" i="2" s="1"/>
  <c r="N1268" i="2"/>
  <c r="S1268" i="2" s="1"/>
  <c r="M1268" i="2"/>
  <c r="P1268" i="2" s="1"/>
  <c r="N1267" i="2"/>
  <c r="S1267" i="2" s="1"/>
  <c r="M1267" i="2"/>
  <c r="P1267" i="2" s="1"/>
  <c r="N1266" i="2"/>
  <c r="S1266" i="2" s="1"/>
  <c r="M1266" i="2"/>
  <c r="P1266" i="2" s="1"/>
  <c r="N1265" i="2"/>
  <c r="S1265" i="2" s="1"/>
  <c r="M1265" i="2"/>
  <c r="P1265" i="2" s="1"/>
  <c r="N1264" i="2"/>
  <c r="S1264" i="2" s="1"/>
  <c r="M1264" i="2"/>
  <c r="P1264" i="2" s="1"/>
  <c r="N1263" i="2"/>
  <c r="S1263" i="2" s="1"/>
  <c r="M1263" i="2"/>
  <c r="P1263" i="2" s="1"/>
  <c r="N1262" i="2"/>
  <c r="S1262" i="2" s="1"/>
  <c r="M1262" i="2"/>
  <c r="P1262" i="2" s="1"/>
  <c r="M1261" i="2"/>
  <c r="P1261" i="2" s="1"/>
  <c r="N1261" i="2"/>
  <c r="S1261" i="2" s="1"/>
  <c r="M1260" i="2"/>
  <c r="P1260" i="2" s="1"/>
  <c r="N1260" i="2"/>
  <c r="S1260" i="2" s="1"/>
  <c r="M1259" i="2"/>
  <c r="P1259" i="2" s="1"/>
  <c r="N1259" i="2"/>
  <c r="S1259" i="2" s="1"/>
  <c r="M1258" i="2"/>
  <c r="P1258" i="2" s="1"/>
  <c r="N1258" i="2"/>
  <c r="S1258" i="2" s="1"/>
  <c r="M1257" i="2"/>
  <c r="P1257" i="2" s="1"/>
  <c r="N1257" i="2"/>
  <c r="S1257" i="2" s="1"/>
  <c r="N1256" i="2"/>
  <c r="S1256" i="2" s="1"/>
  <c r="M1256" i="2"/>
  <c r="P1256" i="2" s="1"/>
  <c r="N1255" i="2"/>
  <c r="S1255" i="2" s="1"/>
  <c r="M1255" i="2"/>
  <c r="P1255" i="2" s="1"/>
  <c r="N1254" i="2"/>
  <c r="S1254" i="2" s="1"/>
  <c r="M1254" i="2"/>
  <c r="P1254" i="2" s="1"/>
  <c r="N1253" i="2"/>
  <c r="S1253" i="2" s="1"/>
  <c r="M1253" i="2"/>
  <c r="P1253" i="2" s="1"/>
  <c r="M1252" i="2"/>
  <c r="P1252" i="2" s="1"/>
  <c r="N1252" i="2"/>
  <c r="S1252" i="2" s="1"/>
  <c r="M1251" i="2"/>
  <c r="P1251" i="2" s="1"/>
  <c r="N1251" i="2"/>
  <c r="S1251" i="2" s="1"/>
  <c r="M1250" i="2"/>
  <c r="P1250" i="2" s="1"/>
  <c r="N1250" i="2"/>
  <c r="S1250" i="2" s="1"/>
  <c r="M1249" i="2"/>
  <c r="P1249" i="2" s="1"/>
  <c r="N1249" i="2"/>
  <c r="S1249" i="2" s="1"/>
  <c r="N1248" i="2"/>
  <c r="S1248" i="2" s="1"/>
  <c r="M1248" i="2"/>
  <c r="P1248" i="2" s="1"/>
  <c r="N1247" i="2"/>
  <c r="S1247" i="2" s="1"/>
  <c r="M1247" i="2"/>
  <c r="P1247" i="2" s="1"/>
  <c r="N1246" i="2"/>
  <c r="S1246" i="2" s="1"/>
  <c r="M1246" i="2"/>
  <c r="P1246" i="2" s="1"/>
  <c r="N1245" i="2"/>
  <c r="S1245" i="2" s="1"/>
  <c r="M1245" i="2"/>
  <c r="P1245" i="2" s="1"/>
  <c r="N1244" i="2"/>
  <c r="S1244" i="2" s="1"/>
  <c r="M1244" i="2"/>
  <c r="P1244" i="2" s="1"/>
  <c r="N1243" i="2"/>
  <c r="S1243" i="2" s="1"/>
  <c r="M1243" i="2"/>
  <c r="P1243" i="2" s="1"/>
  <c r="N1242" i="2"/>
  <c r="S1242" i="2" s="1"/>
  <c r="M1242" i="2"/>
  <c r="M1241" i="2" l="1"/>
  <c r="P1241" i="2" s="1"/>
  <c r="N1241" i="2"/>
  <c r="S1241" i="2" s="1"/>
  <c r="M1240" i="2"/>
  <c r="P1240" i="2" s="1"/>
  <c r="N1240" i="2"/>
  <c r="S1240" i="2" s="1"/>
  <c r="M1239" i="2"/>
  <c r="P1239" i="2" s="1"/>
  <c r="N1239" i="2"/>
  <c r="S1239" i="2" s="1"/>
  <c r="M1238" i="2"/>
  <c r="P1238" i="2" s="1"/>
  <c r="N1238" i="2"/>
  <c r="S1238" i="2" s="1"/>
  <c r="M1237" i="2"/>
  <c r="P1237" i="2" s="1"/>
  <c r="N1237" i="2"/>
  <c r="S1237" i="2" s="1"/>
  <c r="M1236" i="2"/>
  <c r="P1236" i="2" s="1"/>
  <c r="N1236" i="2"/>
  <c r="S1236" i="2" s="1"/>
  <c r="M1235" i="2"/>
  <c r="N1235" i="2"/>
  <c r="S1235" i="2" s="1"/>
  <c r="M1234" i="2"/>
  <c r="P1234" i="2" s="1"/>
  <c r="N1234" i="2"/>
  <c r="S1234" i="2" s="1"/>
  <c r="M1233" i="2"/>
  <c r="P1233" i="2" s="1"/>
  <c r="N1233" i="2"/>
  <c r="S1233" i="2" s="1"/>
  <c r="M1232" i="2"/>
  <c r="P1232" i="2" s="1"/>
  <c r="N1232" i="2"/>
  <c r="S1232" i="2" s="1"/>
  <c r="M1231" i="2"/>
  <c r="P1231" i="2" s="1"/>
  <c r="N1231" i="2"/>
  <c r="S1231" i="2" s="1"/>
  <c r="M1230" i="2" l="1"/>
  <c r="P1230" i="2" s="1"/>
  <c r="M1229" i="2"/>
  <c r="P1229" i="2" s="1"/>
  <c r="M1228" i="2"/>
  <c r="P1228" i="2" s="1"/>
  <c r="M1227" i="2"/>
  <c r="P1227" i="2" s="1"/>
  <c r="M1226" i="2"/>
  <c r="P1226" i="2" s="1"/>
  <c r="M1225" i="2"/>
  <c r="P1225" i="2" s="1"/>
  <c r="M1224" i="2"/>
  <c r="P1224" i="2" s="1"/>
  <c r="M1223" i="2"/>
  <c r="P1223" i="2" s="1"/>
  <c r="M1222" i="2"/>
  <c r="P1222" i="2" s="1"/>
  <c r="M1221" i="2"/>
  <c r="P1221" i="2" s="1"/>
  <c r="M1220" i="2"/>
  <c r="P1220" i="2" s="1"/>
  <c r="M1219" i="2"/>
  <c r="P1219" i="2" s="1"/>
  <c r="M1218" i="2"/>
  <c r="P1218" i="2" s="1"/>
  <c r="M1217" i="2"/>
  <c r="P1217" i="2" s="1"/>
  <c r="M1216" i="2"/>
  <c r="P1216" i="2" s="1"/>
  <c r="M1215" i="2"/>
  <c r="P1215" i="2" s="1"/>
  <c r="M1214" i="2"/>
  <c r="P1214" i="2" s="1"/>
  <c r="M1213" i="2"/>
  <c r="P1213" i="2" s="1"/>
  <c r="M1212" i="2"/>
  <c r="P1212" i="2" s="1"/>
  <c r="M1211" i="2"/>
  <c r="P1211" i="2" s="1"/>
  <c r="M1210" i="2"/>
  <c r="P1210" i="2" s="1"/>
  <c r="M1209" i="2"/>
  <c r="P1209" i="2" s="1"/>
  <c r="N1124" i="2" l="1"/>
  <c r="M1208" i="2"/>
  <c r="P1208" i="2" s="1"/>
  <c r="N1208" i="2"/>
  <c r="M1207" i="2"/>
  <c r="P1207" i="2" s="1"/>
  <c r="N1207" i="2"/>
  <c r="S1207" i="2" s="1"/>
  <c r="M1206" i="2"/>
  <c r="P1206" i="2" s="1"/>
  <c r="N1206" i="2"/>
  <c r="S1206" i="2" s="1"/>
  <c r="M1205" i="2"/>
  <c r="P1205" i="2" s="1"/>
  <c r="N1205" i="2"/>
  <c r="S1205" i="2" s="1"/>
  <c r="M1204" i="2"/>
  <c r="P1204" i="2" s="1"/>
  <c r="N1204" i="2"/>
  <c r="S1204" i="2" s="1"/>
  <c r="M1203" i="2"/>
  <c r="P1203" i="2" s="1"/>
  <c r="N1203" i="2"/>
  <c r="S1203" i="2" s="1"/>
  <c r="M1202" i="2"/>
  <c r="N1202" i="2"/>
  <c r="S1202" i="2" s="1"/>
  <c r="M1201" i="2"/>
  <c r="P1201" i="2" s="1"/>
  <c r="N1201" i="2"/>
  <c r="S1201" i="2" s="1"/>
  <c r="M1200" i="2"/>
  <c r="P1200" i="2" s="1"/>
  <c r="N1200" i="2"/>
  <c r="S1200" i="2" s="1"/>
  <c r="M1199" i="2"/>
  <c r="P1199" i="2" s="1"/>
  <c r="N1199" i="2"/>
  <c r="S1199" i="2" s="1"/>
  <c r="M1198" i="2"/>
  <c r="P1198" i="2" s="1"/>
  <c r="N1198" i="2"/>
  <c r="S1198" i="2" s="1"/>
  <c r="M1197" i="2"/>
  <c r="P1197" i="2" s="1"/>
  <c r="N1197" i="2"/>
  <c r="S1197" i="2" s="1"/>
  <c r="M1196" i="2"/>
  <c r="P1196" i="2" s="1"/>
  <c r="N1196" i="2"/>
  <c r="S1196" i="2" s="1"/>
  <c r="M1195" i="2"/>
  <c r="N1195" i="2"/>
  <c r="S1195" i="2" s="1"/>
  <c r="M1194" i="2"/>
  <c r="P1194" i="2" s="1"/>
  <c r="N1194" i="2"/>
  <c r="S1194" i="2" s="1"/>
  <c r="M1193" i="2"/>
  <c r="P1193" i="2" s="1"/>
  <c r="N1193" i="2"/>
  <c r="S1193" i="2" s="1"/>
  <c r="M1192" i="2" l="1"/>
  <c r="N1192" i="2"/>
  <c r="S1192" i="2" s="1"/>
  <c r="M1191" i="2"/>
  <c r="N1191" i="2"/>
  <c r="S1191" i="2" s="1"/>
  <c r="P1191" i="2"/>
  <c r="M1190" i="2"/>
  <c r="N1190" i="2"/>
  <c r="S1190" i="2" s="1"/>
  <c r="P1190" i="2"/>
  <c r="M1189" i="2"/>
  <c r="N1189" i="2"/>
  <c r="S1189" i="2" s="1"/>
  <c r="P1189" i="2"/>
  <c r="M1188" i="2"/>
  <c r="N1188" i="2"/>
  <c r="S1188" i="2" s="1"/>
  <c r="P1188" i="2"/>
  <c r="M1187" i="2"/>
  <c r="P1187" i="2" s="1"/>
  <c r="N1187" i="2"/>
  <c r="S1187" i="2" s="1"/>
  <c r="M1186" i="2"/>
  <c r="P1186" i="2" s="1"/>
  <c r="N1186" i="2"/>
  <c r="S1186" i="2" s="1"/>
  <c r="M1185" i="2"/>
  <c r="P1185" i="2" s="1"/>
  <c r="N1185" i="2"/>
  <c r="S1185" i="2" s="1"/>
  <c r="M1184" i="2" l="1"/>
  <c r="P1184" i="2" s="1"/>
  <c r="N1184" i="2"/>
  <c r="S1184" i="2" s="1"/>
  <c r="M1183" i="2"/>
  <c r="P1183" i="2" s="1"/>
  <c r="N1183" i="2"/>
  <c r="S1183" i="2" s="1"/>
  <c r="M1182" i="2"/>
  <c r="P1182" i="2" s="1"/>
  <c r="N1182" i="2"/>
  <c r="S1182" i="2" s="1"/>
  <c r="M1178" i="2"/>
  <c r="P1178" i="2" s="1"/>
  <c r="N1178" i="2"/>
  <c r="S1178" i="2" s="1"/>
  <c r="M1179" i="2"/>
  <c r="P1179" i="2" s="1"/>
  <c r="N1179" i="2"/>
  <c r="S1179" i="2" s="1"/>
  <c r="M1180" i="2"/>
  <c r="P1180" i="2" s="1"/>
  <c r="N1180" i="2"/>
  <c r="S1180" i="2" s="1"/>
  <c r="M1181" i="2"/>
  <c r="P1181" i="2" s="1"/>
  <c r="N1181" i="2"/>
  <c r="S1181" i="2" s="1"/>
  <c r="M1177" i="2"/>
  <c r="P1177" i="2" s="1"/>
  <c r="N1177" i="2"/>
  <c r="S1177" i="2" s="1"/>
  <c r="M1176" i="2"/>
  <c r="P1176" i="2" s="1"/>
  <c r="N1176" i="2"/>
  <c r="S1176" i="2" s="1"/>
  <c r="M1175" i="2"/>
  <c r="P1175" i="2" s="1"/>
  <c r="N1175" i="2"/>
  <c r="S1175" i="2" s="1"/>
  <c r="M1174" i="2"/>
  <c r="P1174" i="2" s="1"/>
  <c r="N1174" i="2"/>
  <c r="S1174" i="2" s="1"/>
  <c r="M1173" i="2"/>
  <c r="P1173" i="2" s="1"/>
  <c r="N1173" i="2"/>
  <c r="S1173" i="2" s="1"/>
  <c r="M1172" i="2"/>
  <c r="P1172" i="2" s="1"/>
  <c r="N1172" i="2"/>
  <c r="S1172" i="2" s="1"/>
  <c r="M1171" i="2"/>
  <c r="P1171" i="2" s="1"/>
  <c r="N1171" i="2"/>
  <c r="S1171" i="2" s="1"/>
  <c r="M1170" i="2"/>
  <c r="P1170" i="2" s="1"/>
  <c r="N1170" i="2"/>
  <c r="S1170" i="2" s="1"/>
  <c r="M1169" i="2"/>
  <c r="P1169" i="2" s="1"/>
  <c r="N1169" i="2"/>
  <c r="S1169" i="2" s="1"/>
  <c r="M1168" i="2"/>
  <c r="P1168" i="2" s="1"/>
  <c r="N1168" i="2"/>
  <c r="S1168" i="2" s="1"/>
  <c r="M1167" i="2"/>
  <c r="P1167" i="2" s="1"/>
  <c r="N1167" i="2"/>
  <c r="S1167" i="2" s="1"/>
  <c r="M1166" i="2"/>
  <c r="P1166" i="2" s="1"/>
  <c r="N1166" i="2"/>
  <c r="S1166" i="2" s="1"/>
  <c r="M1165" i="2"/>
  <c r="P1165" i="2" s="1"/>
  <c r="N1165" i="2"/>
  <c r="S1165" i="2" s="1"/>
  <c r="M1164" i="2"/>
  <c r="P1164" i="2" s="1"/>
  <c r="N1164" i="2"/>
  <c r="S1164" i="2" s="1"/>
  <c r="M1163" i="2"/>
  <c r="P1163" i="2" s="1"/>
  <c r="N1163" i="2"/>
  <c r="S1163" i="2" s="1"/>
  <c r="M1162" i="2"/>
  <c r="P1162" i="2" s="1"/>
  <c r="N1162" i="2"/>
  <c r="S1162" i="2" s="1"/>
  <c r="M1161" i="2"/>
  <c r="P1161" i="2" s="1"/>
  <c r="N1161" i="2"/>
  <c r="S1161" i="2" s="1"/>
  <c r="M1160" i="2"/>
  <c r="P1160" i="2" s="1"/>
  <c r="N1160" i="2"/>
  <c r="S1160" i="2" s="1"/>
  <c r="M1159" i="2"/>
  <c r="P1159" i="2" s="1"/>
  <c r="N1159" i="2"/>
  <c r="S1159" i="2" s="1"/>
  <c r="M1158" i="2"/>
  <c r="P1158" i="2" s="1"/>
  <c r="N1158" i="2"/>
  <c r="S1158" i="2" s="1"/>
  <c r="M1157" i="2"/>
  <c r="P1157" i="2" s="1"/>
  <c r="N1157" i="2"/>
  <c r="S1157" i="2" s="1"/>
  <c r="M1156" i="2"/>
  <c r="P1156" i="2" s="1"/>
  <c r="N1156" i="2"/>
  <c r="S1156" i="2" s="1"/>
  <c r="M1155" i="2"/>
  <c r="P1155" i="2" s="1"/>
  <c r="N1155" i="2"/>
  <c r="S1155" i="2" s="1"/>
  <c r="M1154" i="2"/>
  <c r="P1154" i="2" s="1"/>
  <c r="N1154" i="2"/>
  <c r="S1154" i="2" s="1"/>
  <c r="M1153" i="2"/>
  <c r="P1153" i="2" s="1"/>
  <c r="N1153" i="2"/>
  <c r="S1153" i="2" s="1"/>
  <c r="M1152" i="2"/>
  <c r="P1152" i="2" s="1"/>
  <c r="N1152" i="2"/>
  <c r="S1152" i="2" s="1"/>
  <c r="M1151" i="2"/>
  <c r="P1151" i="2" s="1"/>
  <c r="N1151" i="2"/>
  <c r="S1151" i="2" s="1"/>
  <c r="M1150" i="2"/>
  <c r="N1150" i="2"/>
  <c r="S1150" i="2" s="1"/>
  <c r="M1149" i="2"/>
  <c r="P1149" i="2" s="1"/>
  <c r="N1149" i="2"/>
  <c r="S1149" i="2" s="1"/>
  <c r="M1148" i="2"/>
  <c r="P1148" i="2" s="1"/>
  <c r="N1148" i="2"/>
  <c r="S1148" i="2" s="1"/>
  <c r="M1147" i="2"/>
  <c r="P1147" i="2" s="1"/>
  <c r="N1147" i="2"/>
  <c r="S1147" i="2" s="1"/>
  <c r="M1146" i="2"/>
  <c r="P1146" i="2" s="1"/>
  <c r="N1146" i="2"/>
  <c r="S1146" i="2" s="1"/>
  <c r="M1145" i="2"/>
  <c r="P1145" i="2" s="1"/>
  <c r="N1145" i="2"/>
  <c r="S1145" i="2" s="1"/>
  <c r="M1144" i="2"/>
  <c r="P1144" i="2" s="1"/>
  <c r="N1144" i="2"/>
  <c r="S1144" i="2" s="1"/>
  <c r="M1143" i="2"/>
  <c r="P1143" i="2" s="1"/>
  <c r="N1143" i="2"/>
  <c r="S1143" i="2" s="1"/>
  <c r="M1142" i="2" l="1"/>
  <c r="P1142" i="2" s="1"/>
  <c r="N1142" i="2"/>
  <c r="S1142" i="2" s="1"/>
  <c r="M1141" i="2"/>
  <c r="P1141" i="2" s="1"/>
  <c r="N1141" i="2"/>
  <c r="S1141" i="2" s="1"/>
  <c r="M1140" i="2"/>
  <c r="P1140" i="2" s="1"/>
  <c r="N1140" i="2"/>
  <c r="S1140" i="2" s="1"/>
  <c r="M1139" i="2"/>
  <c r="P1139" i="2" s="1"/>
  <c r="N1139" i="2"/>
  <c r="S1139" i="2" s="1"/>
  <c r="M1138" i="2"/>
  <c r="P1138" i="2" s="1"/>
  <c r="N1138" i="2"/>
  <c r="S1138" i="2" s="1"/>
  <c r="M1137" i="2"/>
  <c r="P1137" i="2" s="1"/>
  <c r="N1137" i="2"/>
  <c r="S1137" i="2" s="1"/>
  <c r="M1136" i="2"/>
  <c r="P1136" i="2" s="1"/>
  <c r="N1136" i="2"/>
  <c r="S1136" i="2" s="1"/>
  <c r="M1135" i="2"/>
  <c r="P1135" i="2" s="1"/>
  <c r="N1135" i="2"/>
  <c r="S1135" i="2" s="1"/>
  <c r="M1134" i="2"/>
  <c r="P1134" i="2" s="1"/>
  <c r="N1134" i="2"/>
  <c r="S1134" i="2" s="1"/>
  <c r="M1133" i="2"/>
  <c r="P1133" i="2" s="1"/>
  <c r="N1133" i="2"/>
  <c r="S1133" i="2" s="1"/>
  <c r="M1132" i="2"/>
  <c r="P1132" i="2" s="1"/>
  <c r="N1132" i="2"/>
  <c r="S1132" i="2" s="1"/>
  <c r="M1131" i="2"/>
  <c r="P1131" i="2" s="1"/>
  <c r="N1131" i="2"/>
  <c r="S1131" i="2" s="1"/>
  <c r="M1130" i="2"/>
  <c r="P1130" i="2" s="1"/>
  <c r="N1130" i="2"/>
  <c r="S1130" i="2" s="1"/>
  <c r="M1129" i="2"/>
  <c r="P1129" i="2" s="1"/>
  <c r="N1129" i="2"/>
  <c r="S1129" i="2" s="1"/>
  <c r="M1128" i="2"/>
  <c r="P1128" i="2" s="1"/>
  <c r="N1128" i="2"/>
  <c r="S1128" i="2" s="1"/>
  <c r="M1127" i="2"/>
  <c r="P1127" i="2" s="1"/>
  <c r="N1127" i="2"/>
  <c r="S1127" i="2" s="1"/>
  <c r="M1126" i="2"/>
  <c r="P1126" i="2" s="1"/>
  <c r="N1126" i="2"/>
  <c r="S1126" i="2" s="1"/>
  <c r="M1125" i="2"/>
  <c r="P1125" i="2" s="1"/>
  <c r="N1125" i="2"/>
  <c r="S1125" i="2" s="1"/>
  <c r="M1124" i="2"/>
  <c r="P1124" i="2" s="1"/>
  <c r="S1124" i="2"/>
  <c r="M1123" i="2"/>
  <c r="P1123" i="2" s="1"/>
  <c r="N1123" i="2"/>
  <c r="S1123" i="2" s="1"/>
  <c r="M1122" i="2"/>
  <c r="P1122" i="2" s="1"/>
  <c r="N1122" i="2"/>
  <c r="S1122" i="2" s="1"/>
  <c r="M1121" i="2"/>
  <c r="P1121" i="2" s="1"/>
  <c r="N1121" i="2"/>
  <c r="S1121" i="2" s="1"/>
  <c r="M1120" i="2"/>
  <c r="P1120" i="2" s="1"/>
  <c r="N1120" i="2"/>
  <c r="S1120" i="2" s="1"/>
  <c r="M1119" i="2"/>
  <c r="P1119" i="2" s="1"/>
  <c r="N1119" i="2"/>
  <c r="S1119" i="2" s="1"/>
  <c r="M1118" i="2"/>
  <c r="P1118" i="2" s="1"/>
  <c r="N1118" i="2"/>
  <c r="S1118" i="2" s="1"/>
  <c r="M1117" i="2"/>
  <c r="P1117" i="2" s="1"/>
  <c r="N1117" i="2"/>
  <c r="S1117" i="2" s="1"/>
  <c r="M1116" i="2"/>
  <c r="P1116" i="2" s="1"/>
  <c r="N1116" i="2"/>
  <c r="S1116" i="2" s="1"/>
  <c r="M1115" i="2"/>
  <c r="P1115" i="2" s="1"/>
  <c r="N1115" i="2"/>
  <c r="S1115" i="2" s="1"/>
  <c r="M1114" i="2"/>
  <c r="P1114" i="2" s="1"/>
  <c r="N1114" i="2"/>
  <c r="S1114" i="2" s="1"/>
  <c r="M1113" i="2"/>
  <c r="P1113" i="2" s="1"/>
  <c r="N1113" i="2"/>
  <c r="S1113" i="2" s="1"/>
  <c r="M1112" i="2"/>
  <c r="P1112" i="2" s="1"/>
  <c r="N1112" i="2"/>
  <c r="S1112" i="2" s="1"/>
  <c r="M1111" i="2"/>
  <c r="P1111" i="2" s="1"/>
  <c r="N1111" i="2"/>
  <c r="S1111" i="2" s="1"/>
  <c r="M1110" i="2"/>
  <c r="P1110" i="2" s="1"/>
  <c r="N1110" i="2"/>
  <c r="S1110" i="2" s="1"/>
  <c r="M1109" i="2"/>
  <c r="P1109" i="2" s="1"/>
  <c r="N1109" i="2"/>
  <c r="S1109" i="2" s="1"/>
  <c r="M1108" i="2"/>
  <c r="P1108" i="2" s="1"/>
  <c r="N1108" i="2"/>
  <c r="S1108" i="2" s="1"/>
  <c r="M1107" i="2"/>
  <c r="P1107" i="2" s="1"/>
  <c r="N1107" i="2"/>
  <c r="S1107" i="2" s="1"/>
  <c r="M1106" i="2"/>
  <c r="P1106" i="2" s="1"/>
  <c r="N1106" i="2"/>
  <c r="S1106" i="2" s="1"/>
  <c r="M1105" i="2"/>
  <c r="P1105" i="2" s="1"/>
  <c r="N1105" i="2"/>
  <c r="S1105" i="2" s="1"/>
  <c r="M1104" i="2"/>
  <c r="P1104" i="2" s="1"/>
  <c r="N1104" i="2"/>
  <c r="S1104" i="2" s="1"/>
  <c r="M1103" i="2"/>
  <c r="P1103" i="2" s="1"/>
  <c r="N1103" i="2"/>
  <c r="S1103" i="2" s="1"/>
  <c r="M1102" i="2"/>
  <c r="P1102" i="2" s="1"/>
  <c r="N1102" i="2"/>
  <c r="S1102" i="2" s="1"/>
  <c r="M1101" i="2"/>
  <c r="P1101" i="2" s="1"/>
  <c r="N1101" i="2"/>
  <c r="S1101" i="2" s="1"/>
  <c r="M1100" i="2"/>
  <c r="P1100" i="2" s="1"/>
  <c r="N1100" i="2"/>
  <c r="S1100" i="2" s="1"/>
  <c r="M1099" i="2"/>
  <c r="P1099" i="2" s="1"/>
  <c r="N1099" i="2"/>
  <c r="S1099" i="2" s="1"/>
  <c r="M1098" i="2"/>
  <c r="P1098" i="2" s="1"/>
  <c r="N1098" i="2"/>
  <c r="S1098" i="2" s="1"/>
  <c r="M1097" i="2" l="1"/>
  <c r="P1097" i="2" s="1"/>
  <c r="N1097" i="2"/>
  <c r="S1097" i="2" s="1"/>
  <c r="M1096" i="2"/>
  <c r="P1096" i="2" s="1"/>
  <c r="N1096" i="2"/>
  <c r="S1096" i="2" s="1"/>
  <c r="M1095" i="2"/>
  <c r="P1095" i="2" s="1"/>
  <c r="N1095" i="2"/>
  <c r="S1095" i="2" s="1"/>
  <c r="M1094" i="2"/>
  <c r="P1094" i="2" s="1"/>
  <c r="N1094" i="2"/>
  <c r="S1094" i="2" s="1"/>
  <c r="M1093" i="2"/>
  <c r="P1093" i="2" s="1"/>
  <c r="N1093" i="2"/>
  <c r="S1093" i="2" s="1"/>
  <c r="M1092" i="2"/>
  <c r="P1092" i="2" s="1"/>
  <c r="N1092" i="2"/>
  <c r="S1092" i="2" s="1"/>
  <c r="M1091" i="2"/>
  <c r="P1091" i="2" s="1"/>
  <c r="N1091" i="2"/>
  <c r="S1091" i="2" s="1"/>
  <c r="M1090" i="2"/>
  <c r="P1090" i="2" s="1"/>
  <c r="N1090" i="2"/>
  <c r="S1090" i="2" s="1"/>
  <c r="M1089" i="2"/>
  <c r="P1089" i="2" s="1"/>
  <c r="N1089" i="2"/>
  <c r="S1089" i="2" s="1"/>
  <c r="M1088" i="2"/>
  <c r="P1088" i="2" s="1"/>
  <c r="N1088" i="2"/>
  <c r="S1088" i="2" s="1"/>
  <c r="M1087" i="2"/>
  <c r="P1087" i="2" s="1"/>
  <c r="N1087" i="2"/>
  <c r="S1087" i="2" s="1"/>
  <c r="M1086" i="2"/>
  <c r="P1086" i="2" s="1"/>
  <c r="N1086" i="2"/>
  <c r="S1086" i="2" s="1"/>
  <c r="M1085" i="2"/>
  <c r="P1085" i="2" s="1"/>
  <c r="N1085" i="2"/>
  <c r="S1085" i="2" s="1"/>
  <c r="M1084" i="2"/>
  <c r="P1084" i="2" s="1"/>
  <c r="N1084" i="2"/>
  <c r="S1084" i="2" s="1"/>
  <c r="M1083" i="2"/>
  <c r="P1083" i="2" s="1"/>
  <c r="N1083" i="2"/>
  <c r="S1083" i="2" s="1"/>
  <c r="M1082" i="2"/>
  <c r="P1082" i="2" s="1"/>
  <c r="N1082" i="2"/>
  <c r="S1082" i="2" s="1"/>
  <c r="M1081" i="2"/>
  <c r="P1081" i="2" s="1"/>
  <c r="N1081" i="2"/>
  <c r="S1081" i="2" s="1"/>
  <c r="M1080" i="2"/>
  <c r="P1080" i="2" s="1"/>
  <c r="N1080" i="2"/>
  <c r="S1080" i="2" s="1"/>
  <c r="M1079" i="2"/>
  <c r="P1079" i="2" s="1"/>
  <c r="N1079" i="2"/>
  <c r="S1079" i="2" s="1"/>
  <c r="M1078" i="2"/>
  <c r="P1078" i="2" s="1"/>
  <c r="N1078" i="2"/>
  <c r="S1078" i="2" s="1"/>
  <c r="M1077" i="2"/>
  <c r="P1077" i="2" s="1"/>
  <c r="N1077" i="2"/>
  <c r="S1077" i="2" s="1"/>
  <c r="M1076" i="2"/>
  <c r="P1076" i="2" s="1"/>
  <c r="N1076" i="2"/>
  <c r="S1076" i="2" s="1"/>
  <c r="M1075" i="2"/>
  <c r="P1075" i="2" s="1"/>
  <c r="N1075" i="2"/>
  <c r="S1075" i="2" s="1"/>
  <c r="M1074" i="2"/>
  <c r="P1074" i="2" s="1"/>
  <c r="N1074" i="2"/>
  <c r="S1074" i="2" s="1"/>
  <c r="M1073" i="2"/>
  <c r="P1073" i="2" s="1"/>
  <c r="N1073" i="2"/>
  <c r="S1073" i="2" s="1"/>
  <c r="M1072" i="2"/>
  <c r="P1072" i="2" s="1"/>
  <c r="N1072" i="2"/>
  <c r="S1072" i="2" s="1"/>
  <c r="M1071" i="2"/>
  <c r="P1071" i="2" s="1"/>
  <c r="N1071" i="2"/>
  <c r="S1071" i="2" s="1"/>
  <c r="M1070" i="2"/>
  <c r="P1070" i="2" s="1"/>
  <c r="N1070" i="2"/>
  <c r="S1070" i="2" s="1"/>
  <c r="M1069" i="2"/>
  <c r="P1069" i="2" s="1"/>
  <c r="N1069" i="2"/>
  <c r="S1069" i="2" s="1"/>
  <c r="M1068" i="2"/>
  <c r="P1068" i="2" s="1"/>
  <c r="N1068" i="2"/>
  <c r="S1068" i="2" s="1"/>
  <c r="M1067" i="2"/>
  <c r="P1067" i="2" s="1"/>
  <c r="N1067" i="2"/>
  <c r="S1067" i="2" s="1"/>
  <c r="M1066" i="2"/>
  <c r="P1066" i="2" s="1"/>
  <c r="N1066" i="2"/>
  <c r="S1066" i="2" s="1"/>
  <c r="M1065" i="2"/>
  <c r="P1065" i="2" s="1"/>
  <c r="N1065" i="2"/>
  <c r="S1065" i="2" s="1"/>
  <c r="M1064" i="2"/>
  <c r="P1064" i="2" s="1"/>
  <c r="N1064" i="2"/>
  <c r="S1064" i="2" s="1"/>
  <c r="M1063" i="2"/>
  <c r="P1063" i="2" s="1"/>
  <c r="N1063" i="2"/>
  <c r="S1063" i="2" s="1"/>
  <c r="M1062" i="2"/>
  <c r="P1062" i="2" s="1"/>
  <c r="N1062" i="2"/>
  <c r="S1062" i="2" s="1"/>
  <c r="M1061" i="2"/>
  <c r="P1061" i="2" s="1"/>
  <c r="N1061" i="2"/>
  <c r="S1061" i="2" s="1"/>
  <c r="M1060" i="2"/>
  <c r="P1060" i="2" s="1"/>
  <c r="N1060" i="2"/>
  <c r="S1060" i="2" s="1"/>
  <c r="M1059" i="2"/>
  <c r="P1059" i="2" s="1"/>
  <c r="N1059" i="2"/>
  <c r="S1059" i="2" s="1"/>
  <c r="M1058" i="2"/>
  <c r="P1058" i="2" s="1"/>
  <c r="N1058" i="2"/>
  <c r="S1058" i="2" s="1"/>
  <c r="M1057" i="2"/>
  <c r="P1057" i="2" s="1"/>
  <c r="N1057" i="2"/>
  <c r="S1057" i="2" s="1"/>
  <c r="M1056" i="2"/>
  <c r="P1056" i="2" s="1"/>
  <c r="N1056" i="2"/>
  <c r="S1056" i="2" s="1"/>
  <c r="M1055" i="2" l="1"/>
  <c r="P1055" i="2" s="1"/>
  <c r="N1055" i="2"/>
  <c r="S1055" i="2" s="1"/>
  <c r="M1054" i="2"/>
  <c r="P1054" i="2" s="1"/>
  <c r="N1054" i="2"/>
  <c r="S1054" i="2" s="1"/>
  <c r="M1053" i="2"/>
  <c r="P1053" i="2" s="1"/>
  <c r="N1053" i="2"/>
  <c r="S1053" i="2" s="1"/>
  <c r="M1052" i="2"/>
  <c r="P1052" i="2" s="1"/>
  <c r="N1052" i="2"/>
  <c r="S1052" i="2" s="1"/>
  <c r="M1051" i="2"/>
  <c r="P1051" i="2" s="1"/>
  <c r="N1051" i="2"/>
  <c r="S1051" i="2" s="1"/>
  <c r="M1050" i="2"/>
  <c r="P1050" i="2" s="1"/>
  <c r="N1050" i="2"/>
  <c r="S1050" i="2" s="1"/>
  <c r="M1049" i="2"/>
  <c r="P1049" i="2" s="1"/>
  <c r="N1049" i="2"/>
  <c r="S1049" i="2" s="1"/>
  <c r="M1048" i="2"/>
  <c r="P1048" i="2" s="1"/>
  <c r="N1048" i="2"/>
  <c r="S1048" i="2" s="1"/>
  <c r="M1047" i="2"/>
  <c r="P1047" i="2" s="1"/>
  <c r="N1047" i="2"/>
  <c r="S1047" i="2" s="1"/>
  <c r="M1046" i="2"/>
  <c r="P1046" i="2" s="1"/>
  <c r="N1046" i="2"/>
  <c r="S1046" i="2" s="1"/>
  <c r="M1045" i="2"/>
  <c r="P1045" i="2" s="1"/>
  <c r="N1045" i="2"/>
  <c r="S1045" i="2" s="1"/>
  <c r="M1044" i="2"/>
  <c r="P1044" i="2" s="1"/>
  <c r="N1044" i="2"/>
  <c r="S1044" i="2" s="1"/>
  <c r="M1043" i="2"/>
  <c r="P1043" i="2" s="1"/>
  <c r="N1043" i="2"/>
  <c r="S1043" i="2" s="1"/>
  <c r="M1042" i="2"/>
  <c r="P1042" i="2" s="1"/>
  <c r="N1042" i="2"/>
  <c r="S1042" i="2" s="1"/>
  <c r="M1041" i="2"/>
  <c r="P1041" i="2" s="1"/>
  <c r="N1041" i="2"/>
  <c r="S1041" i="2" s="1"/>
  <c r="M1040" i="2"/>
  <c r="P1040" i="2" s="1"/>
  <c r="N1040" i="2"/>
  <c r="S1040" i="2" s="1"/>
  <c r="M1039" i="2"/>
  <c r="P1039" i="2" s="1"/>
  <c r="N1039" i="2"/>
  <c r="S1039" i="2" s="1"/>
  <c r="M1038" i="2"/>
  <c r="P1038" i="2" s="1"/>
  <c r="N1038" i="2"/>
  <c r="S1038" i="2" s="1"/>
  <c r="M1037" i="2"/>
  <c r="P1037" i="2" s="1"/>
  <c r="N1037" i="2"/>
  <c r="S1037" i="2" s="1"/>
  <c r="M1036" i="2"/>
  <c r="N1036" i="2"/>
  <c r="S1036" i="2" s="1"/>
  <c r="P1036" i="2"/>
  <c r="M1035" i="2"/>
  <c r="N1035" i="2"/>
  <c r="S1035" i="2" s="1"/>
  <c r="P1035" i="2"/>
  <c r="M1034" i="2"/>
  <c r="P1034" i="2" s="1"/>
  <c r="N1034" i="2"/>
  <c r="S1034" i="2" s="1"/>
  <c r="M1033" i="2"/>
  <c r="P1033" i="2" s="1"/>
  <c r="N1033" i="2"/>
  <c r="S1033" i="2" s="1"/>
  <c r="M1032" i="2"/>
  <c r="P1032" i="2" s="1"/>
  <c r="N1032" i="2"/>
  <c r="S1032" i="2" s="1"/>
  <c r="M1031" i="2" l="1"/>
  <c r="P1031" i="2" s="1"/>
  <c r="N1031" i="2"/>
  <c r="S1031" i="2" s="1"/>
  <c r="M1030" i="2" l="1"/>
  <c r="P1030" i="2" s="1"/>
  <c r="N1030" i="2"/>
  <c r="S1030" i="2" s="1"/>
  <c r="M1029" i="2"/>
  <c r="P1029" i="2" s="1"/>
  <c r="N1029" i="2"/>
  <c r="S1029" i="2" s="1"/>
  <c r="M1028" i="2"/>
  <c r="P1028" i="2" s="1"/>
  <c r="N1028" i="2"/>
  <c r="S1028" i="2" s="1"/>
  <c r="M1027" i="2" l="1"/>
  <c r="P1027" i="2" s="1"/>
  <c r="N1027" i="2"/>
  <c r="S1027" i="2" s="1"/>
  <c r="M1026" i="2"/>
  <c r="P1026" i="2" s="1"/>
  <c r="N1026" i="2"/>
  <c r="S1026" i="2" s="1"/>
  <c r="M1008" i="2" l="1"/>
  <c r="N1008" i="2"/>
  <c r="M1025" i="2" l="1"/>
  <c r="N1025" i="2"/>
  <c r="S1025" i="2" s="1"/>
  <c r="M1024" i="2"/>
  <c r="P1024" i="2" s="1"/>
  <c r="N1024" i="2"/>
  <c r="S1024" i="2" s="1"/>
  <c r="M1023" i="2"/>
  <c r="P1023" i="2" s="1"/>
  <c r="N1023" i="2"/>
  <c r="S1023" i="2" s="1"/>
  <c r="M1022" i="2"/>
  <c r="P1022" i="2" s="1"/>
  <c r="N1022" i="2"/>
  <c r="S1022" i="2" s="1"/>
  <c r="M1021" i="2"/>
  <c r="P1021" i="2" s="1"/>
  <c r="N1021" i="2"/>
  <c r="S1021" i="2" s="1"/>
  <c r="M1020" i="2"/>
  <c r="P1020" i="2" s="1"/>
  <c r="N1020" i="2"/>
  <c r="S1020" i="2" s="1"/>
  <c r="M1019" i="2"/>
  <c r="P1019" i="2" s="1"/>
  <c r="N1019" i="2"/>
  <c r="S1019" i="2" s="1"/>
  <c r="M1018" i="2"/>
  <c r="P1018" i="2" s="1"/>
  <c r="N1018" i="2"/>
  <c r="S1018" i="2" s="1"/>
  <c r="M1017" i="2"/>
  <c r="P1017" i="2" s="1"/>
  <c r="N1017" i="2"/>
  <c r="S1017" i="2" s="1"/>
  <c r="M1016" i="2"/>
  <c r="P1016" i="2" s="1"/>
  <c r="N1016" i="2"/>
  <c r="S1016" i="2" s="1"/>
  <c r="M1015" i="2"/>
  <c r="P1015" i="2" s="1"/>
  <c r="N1015" i="2"/>
  <c r="S1015" i="2" s="1"/>
  <c r="M1014" i="2"/>
  <c r="P1014" i="2" s="1"/>
  <c r="N1014" i="2"/>
  <c r="S1014" i="2" s="1"/>
  <c r="M1013" i="2"/>
  <c r="P1013" i="2" s="1"/>
  <c r="N1013" i="2"/>
  <c r="S1013" i="2" s="1"/>
  <c r="M1012" i="2"/>
  <c r="P1012" i="2" s="1"/>
  <c r="N1012" i="2"/>
  <c r="S1012" i="2" s="1"/>
  <c r="M1011" i="2"/>
  <c r="P1011" i="2" s="1"/>
  <c r="N1011" i="2"/>
  <c r="S1011" i="2" s="1"/>
  <c r="M1010" i="2"/>
  <c r="N1010" i="2"/>
  <c r="S1010" i="2" s="1"/>
  <c r="M1009" i="2"/>
  <c r="P1009" i="2" s="1"/>
  <c r="N1009" i="2"/>
  <c r="S1009" i="2" s="1"/>
  <c r="M1007" i="2"/>
  <c r="P1007" i="2" s="1"/>
  <c r="N1007" i="2"/>
  <c r="S1007" i="2" s="1"/>
  <c r="M1006" i="2"/>
  <c r="P1006" i="2" s="1"/>
  <c r="N1006" i="2"/>
  <c r="S1006" i="2" s="1"/>
  <c r="M1005" i="2"/>
  <c r="P1005" i="2" s="1"/>
  <c r="N1005" i="2"/>
  <c r="S1005" i="2" s="1"/>
  <c r="M1004" i="2"/>
  <c r="P1004" i="2" s="1"/>
  <c r="N1004" i="2"/>
  <c r="S1004" i="2" s="1"/>
  <c r="M1003" i="2"/>
  <c r="P1003" i="2" s="1"/>
  <c r="N1003" i="2"/>
  <c r="S1003" i="2" s="1"/>
  <c r="M1002" i="2"/>
  <c r="P1002" i="2" s="1"/>
  <c r="N1002" i="2"/>
  <c r="S1002" i="2" s="1"/>
  <c r="M1001" i="2"/>
  <c r="P1001" i="2" s="1"/>
  <c r="N1001" i="2"/>
  <c r="S1001" i="2" s="1"/>
  <c r="M1000" i="2" l="1"/>
  <c r="P1000" i="2" s="1"/>
  <c r="N1000" i="2"/>
  <c r="S1000" i="2" s="1"/>
  <c r="M999" i="2"/>
  <c r="P999" i="2" s="1"/>
  <c r="N999" i="2"/>
  <c r="S999" i="2" s="1"/>
  <c r="M998" i="2"/>
  <c r="P998" i="2" s="1"/>
  <c r="N998" i="2"/>
  <c r="S998" i="2" s="1"/>
  <c r="M997" i="2"/>
  <c r="P997" i="2" s="1"/>
  <c r="N997" i="2"/>
  <c r="S997" i="2" s="1"/>
  <c r="M996" i="2"/>
  <c r="P996" i="2" s="1"/>
  <c r="N996" i="2"/>
  <c r="S996" i="2" s="1"/>
  <c r="M995" i="2"/>
  <c r="P995" i="2" s="1"/>
  <c r="N995" i="2"/>
  <c r="S995" i="2" s="1"/>
  <c r="M994" i="2"/>
  <c r="P994" i="2" s="1"/>
  <c r="N994" i="2"/>
  <c r="S994" i="2" s="1"/>
  <c r="M993" i="2"/>
  <c r="P993" i="2" s="1"/>
  <c r="N993" i="2"/>
  <c r="S993" i="2" s="1"/>
  <c r="M992" i="2"/>
  <c r="P992" i="2" s="1"/>
  <c r="N992" i="2"/>
  <c r="S992" i="2" s="1"/>
  <c r="M991" i="2"/>
  <c r="P991" i="2" s="1"/>
  <c r="N991" i="2"/>
  <c r="S991" i="2" s="1"/>
  <c r="M990" i="2"/>
  <c r="P990" i="2" s="1"/>
  <c r="N990" i="2"/>
  <c r="S990" i="2" s="1"/>
  <c r="M989" i="2"/>
  <c r="P989" i="2" s="1"/>
  <c r="N989" i="2"/>
  <c r="S989" i="2" s="1"/>
  <c r="M988" i="2"/>
  <c r="P988" i="2" s="1"/>
  <c r="N988" i="2"/>
  <c r="S988" i="2" s="1"/>
  <c r="M987" i="2"/>
  <c r="P987" i="2" s="1"/>
  <c r="N987" i="2"/>
  <c r="S987" i="2" s="1"/>
  <c r="M986" i="2"/>
  <c r="P986" i="2" s="1"/>
  <c r="N986" i="2"/>
  <c r="S986" i="2" s="1"/>
  <c r="M985" i="2"/>
  <c r="P985" i="2" s="1"/>
  <c r="N985" i="2"/>
  <c r="S985" i="2" s="1"/>
  <c r="M984" i="2"/>
  <c r="P984" i="2" s="1"/>
  <c r="N984" i="2"/>
  <c r="S984" i="2" s="1"/>
  <c r="M983" i="2"/>
  <c r="P983" i="2" s="1"/>
  <c r="N983" i="2"/>
  <c r="S983" i="2" s="1"/>
  <c r="M982" i="2"/>
  <c r="P982" i="2" s="1"/>
  <c r="N982" i="2"/>
  <c r="S982" i="2" s="1"/>
  <c r="M981" i="2"/>
  <c r="P981" i="2" s="1"/>
  <c r="N981" i="2"/>
  <c r="S981" i="2" s="1"/>
  <c r="M980" i="2"/>
  <c r="P980" i="2" s="1"/>
  <c r="N980" i="2"/>
  <c r="S980" i="2" s="1"/>
  <c r="M979" i="2"/>
  <c r="P979" i="2" s="1"/>
  <c r="N979" i="2"/>
  <c r="S979" i="2" s="1"/>
  <c r="M978" i="2"/>
  <c r="P978" i="2" s="1"/>
  <c r="N978" i="2"/>
  <c r="S978" i="2" s="1"/>
  <c r="M977" i="2"/>
  <c r="P977" i="2" s="1"/>
  <c r="N977" i="2"/>
  <c r="S977" i="2" s="1"/>
  <c r="M976" i="2"/>
  <c r="P976" i="2" s="1"/>
  <c r="N976" i="2"/>
  <c r="S976" i="2" s="1"/>
  <c r="M975" i="2"/>
  <c r="P975" i="2" s="1"/>
  <c r="N975" i="2"/>
  <c r="S975" i="2" s="1"/>
  <c r="M974" i="2"/>
  <c r="P974" i="2" s="1"/>
  <c r="N974" i="2"/>
  <c r="S974" i="2" s="1"/>
  <c r="M973" i="2"/>
  <c r="P973" i="2" s="1"/>
  <c r="N973" i="2"/>
  <c r="S973" i="2" s="1"/>
  <c r="M972" i="2"/>
  <c r="P972" i="2" s="1"/>
  <c r="N972" i="2"/>
  <c r="S972" i="2" s="1"/>
  <c r="M971" i="2"/>
  <c r="P971" i="2" s="1"/>
  <c r="N971" i="2"/>
  <c r="S971" i="2" s="1"/>
  <c r="M970" i="2"/>
  <c r="P970" i="2" s="1"/>
  <c r="N970" i="2"/>
  <c r="S970" i="2" s="1"/>
  <c r="M969" i="2"/>
  <c r="P969" i="2" s="1"/>
  <c r="N969" i="2"/>
  <c r="S969" i="2" s="1"/>
  <c r="M968" i="2"/>
  <c r="P968" i="2" s="1"/>
  <c r="N968" i="2"/>
  <c r="S968" i="2" s="1"/>
  <c r="M967" i="2"/>
  <c r="P967" i="2" s="1"/>
  <c r="N967" i="2"/>
  <c r="S967" i="2" s="1"/>
  <c r="M966" i="2"/>
  <c r="P966" i="2" s="1"/>
  <c r="N966" i="2"/>
  <c r="S966" i="2" s="1"/>
  <c r="M965" i="2"/>
  <c r="P965" i="2" s="1"/>
  <c r="N965" i="2"/>
  <c r="S965" i="2" s="1"/>
  <c r="M964" i="2"/>
  <c r="P964" i="2" s="1"/>
  <c r="N964" i="2"/>
  <c r="S964" i="2" s="1"/>
  <c r="M963" i="2"/>
  <c r="P963" i="2" s="1"/>
  <c r="N963" i="2"/>
  <c r="S963" i="2" s="1"/>
  <c r="M962" i="2"/>
  <c r="P962" i="2" s="1"/>
  <c r="N962" i="2"/>
  <c r="S962" i="2" s="1"/>
  <c r="M961" i="2"/>
  <c r="P961" i="2" s="1"/>
  <c r="N961" i="2"/>
  <c r="S961" i="2" s="1"/>
  <c r="M960" i="2"/>
  <c r="P960" i="2" s="1"/>
  <c r="N960" i="2"/>
  <c r="S960" i="2" s="1"/>
  <c r="M959" i="2"/>
  <c r="P959" i="2" s="1"/>
  <c r="N959" i="2"/>
  <c r="S959" i="2" s="1"/>
  <c r="M958" i="2"/>
  <c r="P958" i="2" s="1"/>
  <c r="N958" i="2"/>
  <c r="S958" i="2" s="1"/>
  <c r="M957" i="2"/>
  <c r="P957" i="2" s="1"/>
  <c r="N957" i="2"/>
  <c r="S957" i="2" s="1"/>
  <c r="N956" i="2"/>
  <c r="S956" i="2" s="1"/>
  <c r="M955" i="2"/>
  <c r="P955" i="2" s="1"/>
  <c r="N955" i="2"/>
  <c r="S955" i="2" s="1"/>
  <c r="M954" i="2"/>
  <c r="N954" i="2"/>
  <c r="S954" i="2" s="1"/>
  <c r="M953" i="2"/>
  <c r="P953" i="2" s="1"/>
  <c r="N953" i="2"/>
  <c r="S953" i="2" s="1"/>
  <c r="M952" i="2"/>
  <c r="P952" i="2" s="1"/>
  <c r="N952" i="2"/>
  <c r="S952" i="2" s="1"/>
  <c r="N951" i="2"/>
  <c r="S951" i="2" s="1"/>
  <c r="M950" i="2"/>
  <c r="P950" i="2" s="1"/>
  <c r="N950" i="2"/>
  <c r="S950" i="2" s="1"/>
  <c r="M949" i="2"/>
  <c r="P949" i="2" s="1"/>
  <c r="N949" i="2"/>
  <c r="S949" i="2" s="1"/>
  <c r="M948" i="2"/>
  <c r="P948" i="2" s="1"/>
  <c r="N948" i="2"/>
  <c r="S948" i="2" s="1"/>
  <c r="M947" i="2"/>
  <c r="P947" i="2" s="1"/>
  <c r="N947" i="2"/>
  <c r="S947" i="2" s="1"/>
  <c r="M946" i="2"/>
  <c r="P946" i="2" s="1"/>
  <c r="N946" i="2"/>
  <c r="S946" i="2" s="1"/>
  <c r="M945" i="2"/>
  <c r="P945" i="2" s="1"/>
  <c r="N945" i="2"/>
  <c r="S945" i="2" s="1"/>
  <c r="M944" i="2"/>
  <c r="P944" i="2" s="1"/>
  <c r="N944" i="2"/>
  <c r="S944" i="2" s="1"/>
  <c r="M943" i="2"/>
  <c r="P943" i="2" s="1"/>
  <c r="N943" i="2"/>
  <c r="S943" i="2" s="1"/>
  <c r="M927" i="2" l="1"/>
  <c r="P927" i="2" s="1"/>
  <c r="N927" i="2"/>
  <c r="M942" i="2" l="1"/>
  <c r="P942" i="2" s="1"/>
  <c r="N942" i="2"/>
  <c r="S942" i="2" s="1"/>
  <c r="M941" i="2"/>
  <c r="P941" i="2" s="1"/>
  <c r="N941" i="2"/>
  <c r="S941" i="2" s="1"/>
  <c r="M940" i="2"/>
  <c r="P940" i="2" s="1"/>
  <c r="N940" i="2"/>
  <c r="S940" i="2" s="1"/>
  <c r="M939" i="2"/>
  <c r="P939" i="2" s="1"/>
  <c r="N939" i="2"/>
  <c r="S939" i="2" s="1"/>
  <c r="M938" i="2"/>
  <c r="P938" i="2" s="1"/>
  <c r="N938" i="2"/>
  <c r="S938" i="2" s="1"/>
  <c r="M937" i="2"/>
  <c r="P937" i="2" s="1"/>
  <c r="N937" i="2"/>
  <c r="S937" i="2" s="1"/>
  <c r="M936" i="2"/>
  <c r="P936" i="2" s="1"/>
  <c r="N936" i="2"/>
  <c r="S936" i="2" s="1"/>
  <c r="M935" i="2"/>
  <c r="P935" i="2" s="1"/>
  <c r="N935" i="2"/>
  <c r="S935" i="2" s="1"/>
  <c r="M934" i="2"/>
  <c r="P934" i="2" s="1"/>
  <c r="N934" i="2"/>
  <c r="S934" i="2" s="1"/>
  <c r="M933" i="2"/>
  <c r="P933" i="2" s="1"/>
  <c r="N933" i="2"/>
  <c r="S933" i="2" s="1"/>
  <c r="M932" i="2"/>
  <c r="P932" i="2" s="1"/>
  <c r="N932" i="2"/>
  <c r="S932" i="2" s="1"/>
  <c r="M931" i="2"/>
  <c r="P931" i="2" s="1"/>
  <c r="N931" i="2"/>
  <c r="S931" i="2" s="1"/>
  <c r="M930" i="2"/>
  <c r="P930" i="2" s="1"/>
  <c r="N930" i="2"/>
  <c r="S930" i="2" s="1"/>
  <c r="M929" i="2"/>
  <c r="P929" i="2" s="1"/>
  <c r="N929" i="2"/>
  <c r="S929" i="2" s="1"/>
  <c r="M928" i="2"/>
  <c r="P928" i="2" s="1"/>
  <c r="N928" i="2"/>
  <c r="M926" i="2"/>
  <c r="P926" i="2" s="1"/>
  <c r="N926" i="2"/>
  <c r="M925" i="2" l="1"/>
  <c r="P925" i="2" s="1"/>
  <c r="M924" i="2"/>
  <c r="P924" i="2" s="1"/>
  <c r="M923" i="2"/>
  <c r="P923" i="2" s="1"/>
  <c r="M922" i="2"/>
  <c r="P922" i="2" s="1"/>
  <c r="M921" i="2"/>
  <c r="P921" i="2" s="1"/>
  <c r="M920" i="2"/>
  <c r="P920" i="2" s="1"/>
  <c r="M919" i="2"/>
  <c r="P919" i="2" s="1"/>
  <c r="M918" i="2"/>
  <c r="P918" i="2" s="1"/>
  <c r="M917" i="2"/>
  <c r="P917" i="2" s="1"/>
  <c r="M916" i="2"/>
  <c r="P916" i="2" s="1"/>
  <c r="M915" i="2"/>
  <c r="P915" i="2" s="1"/>
  <c r="M914" i="2"/>
  <c r="P914" i="2" s="1"/>
  <c r="M913" i="2"/>
  <c r="P913" i="2" s="1"/>
  <c r="M912" i="2"/>
  <c r="P912" i="2" s="1"/>
  <c r="M911" i="2"/>
  <c r="P911" i="2" s="1"/>
  <c r="M910" i="2"/>
  <c r="P910" i="2" s="1"/>
  <c r="M909" i="2"/>
  <c r="P909" i="2" s="1"/>
  <c r="M908" i="2"/>
  <c r="P908" i="2" s="1"/>
  <c r="M907" i="2"/>
  <c r="P907" i="2" s="1"/>
  <c r="M906" i="2"/>
  <c r="P906" i="2" s="1"/>
  <c r="M905" i="2"/>
  <c r="P905" i="2" s="1"/>
  <c r="M904" i="2"/>
  <c r="P904" i="2" s="1"/>
  <c r="M903" i="2"/>
  <c r="P903" i="2" s="1"/>
  <c r="M902" i="2"/>
  <c r="P902" i="2" s="1"/>
  <c r="M901" i="2"/>
  <c r="P901" i="2" s="1"/>
  <c r="M900" i="2"/>
  <c r="P900" i="2" s="1"/>
  <c r="M899" i="2"/>
  <c r="P899" i="2" s="1"/>
  <c r="M898" i="2"/>
  <c r="P898" i="2" s="1"/>
  <c r="M897" i="2"/>
  <c r="P897" i="2" s="1"/>
  <c r="M896" i="2"/>
  <c r="P896" i="2" s="1"/>
  <c r="M895" i="2"/>
  <c r="P895" i="2" s="1"/>
  <c r="M894" i="2"/>
  <c r="P894" i="2" s="1"/>
  <c r="M893" i="2"/>
  <c r="P893" i="2" s="1"/>
  <c r="M892" i="2"/>
  <c r="P892" i="2" s="1"/>
  <c r="M891" i="2" l="1"/>
  <c r="P891" i="2" s="1"/>
  <c r="N891" i="2"/>
  <c r="S891" i="2" s="1"/>
  <c r="M890" i="2"/>
  <c r="P890" i="2" s="1"/>
  <c r="N890" i="2"/>
  <c r="S890" i="2" s="1"/>
  <c r="M889" i="2"/>
  <c r="P889" i="2" s="1"/>
  <c r="N889" i="2"/>
  <c r="S889" i="2" s="1"/>
  <c r="M888" i="2"/>
  <c r="P888" i="2" s="1"/>
  <c r="N888" i="2"/>
  <c r="S888" i="2" s="1"/>
  <c r="M887" i="2"/>
  <c r="P887" i="2" s="1"/>
  <c r="N887" i="2"/>
  <c r="S887" i="2" s="1"/>
  <c r="M886" i="2"/>
  <c r="P886" i="2" s="1"/>
  <c r="N886" i="2"/>
  <c r="S886" i="2" s="1"/>
  <c r="M885" i="2"/>
  <c r="P885" i="2" s="1"/>
  <c r="N885" i="2"/>
  <c r="S885" i="2" s="1"/>
  <c r="M884" i="2"/>
  <c r="P884" i="2" s="1"/>
  <c r="N884" i="2"/>
  <c r="S884" i="2" s="1"/>
  <c r="M883" i="2"/>
  <c r="P883" i="2" s="1"/>
  <c r="N883" i="2"/>
  <c r="S883" i="2" s="1"/>
  <c r="M882" i="2"/>
  <c r="P882" i="2" s="1"/>
  <c r="N882" i="2"/>
  <c r="S882" i="2" s="1"/>
  <c r="M881" i="2"/>
  <c r="P881" i="2" s="1"/>
  <c r="N881" i="2"/>
  <c r="S881" i="2" s="1"/>
  <c r="M880" i="2"/>
  <c r="P880" i="2" s="1"/>
  <c r="N880" i="2"/>
  <c r="S880" i="2" s="1"/>
  <c r="M879" i="2"/>
  <c r="P879" i="2" s="1"/>
  <c r="N879" i="2"/>
  <c r="S879" i="2" s="1"/>
  <c r="M878" i="2"/>
  <c r="P878" i="2" s="1"/>
  <c r="N878" i="2"/>
  <c r="S878" i="2" s="1"/>
  <c r="M877" i="2"/>
  <c r="P877" i="2" s="1"/>
  <c r="N877" i="2"/>
  <c r="S877" i="2" s="1"/>
  <c r="M876" i="2"/>
  <c r="P876" i="2" s="1"/>
  <c r="N876" i="2"/>
  <c r="S876" i="2" s="1"/>
  <c r="M875" i="2"/>
  <c r="P875" i="2" s="1"/>
  <c r="N875" i="2"/>
  <c r="S875" i="2" s="1"/>
  <c r="N874" i="2"/>
  <c r="S874" i="2" s="1"/>
  <c r="M873" i="2"/>
  <c r="P873" i="2" s="1"/>
  <c r="N873" i="2"/>
  <c r="S873" i="2" s="1"/>
  <c r="M872" i="2" l="1"/>
  <c r="P872" i="2" s="1"/>
  <c r="N872" i="2"/>
  <c r="S872" i="2" s="1"/>
  <c r="M871" i="2"/>
  <c r="P871" i="2" s="1"/>
  <c r="N871" i="2"/>
  <c r="S871" i="2" s="1"/>
  <c r="M870" i="2"/>
  <c r="P870" i="2" s="1"/>
  <c r="N870" i="2"/>
  <c r="S870" i="2" s="1"/>
  <c r="M869" i="2"/>
  <c r="P869" i="2" s="1"/>
  <c r="N869" i="2"/>
  <c r="S869" i="2" s="1"/>
  <c r="M868" i="2"/>
  <c r="P868" i="2" s="1"/>
  <c r="N868" i="2"/>
  <c r="S868" i="2" s="1"/>
  <c r="M867" i="2" l="1"/>
  <c r="P867" i="2" s="1"/>
  <c r="N867" i="2"/>
  <c r="S867" i="2" s="1"/>
  <c r="M866" i="2" l="1"/>
  <c r="P866" i="2" s="1"/>
  <c r="N866" i="2"/>
  <c r="M865" i="2"/>
  <c r="P865" i="2" s="1"/>
  <c r="N865" i="2"/>
  <c r="M864" i="2"/>
  <c r="P864" i="2" s="1"/>
  <c r="N864" i="2"/>
  <c r="M863" i="2" l="1"/>
  <c r="P863" i="2" s="1"/>
  <c r="N863" i="2"/>
  <c r="S863" i="2" s="1"/>
  <c r="M862" i="2"/>
  <c r="P862" i="2" s="1"/>
  <c r="N862" i="2"/>
  <c r="S862" i="2" s="1"/>
  <c r="M861" i="2"/>
  <c r="P861" i="2" s="1"/>
  <c r="N861" i="2"/>
  <c r="S861" i="2" s="1"/>
  <c r="M860" i="2"/>
  <c r="P860" i="2" s="1"/>
  <c r="N860" i="2"/>
  <c r="S860" i="2" s="1"/>
  <c r="M859" i="2"/>
  <c r="P859" i="2" s="1"/>
  <c r="N859" i="2"/>
  <c r="S859" i="2" s="1"/>
  <c r="M858" i="2"/>
  <c r="P858" i="2" s="1"/>
  <c r="N858" i="2"/>
  <c r="S858" i="2" s="1"/>
  <c r="M857" i="2"/>
  <c r="P857" i="2" s="1"/>
  <c r="N857" i="2"/>
  <c r="S857" i="2" s="1"/>
  <c r="M856" i="2"/>
  <c r="P856" i="2" s="1"/>
  <c r="N856" i="2"/>
  <c r="S856" i="2" s="1"/>
  <c r="M854" i="2"/>
  <c r="P854" i="2" s="1"/>
  <c r="N854" i="2"/>
  <c r="S854" i="2" s="1"/>
  <c r="M855" i="2"/>
  <c r="P855" i="2" s="1"/>
  <c r="N855" i="2"/>
  <c r="S855" i="2" s="1"/>
  <c r="M853" i="2"/>
  <c r="P853" i="2" s="1"/>
  <c r="N853" i="2"/>
  <c r="S853" i="2" s="1"/>
  <c r="M852" i="2"/>
  <c r="P852" i="2" s="1"/>
  <c r="N852" i="2"/>
  <c r="S852" i="2" s="1"/>
  <c r="M851" i="2"/>
  <c r="P851" i="2" s="1"/>
  <c r="N851" i="2"/>
  <c r="S851" i="2" s="1"/>
  <c r="M850" i="2"/>
  <c r="P850" i="2" s="1"/>
  <c r="N850" i="2"/>
  <c r="S850" i="2" s="1"/>
  <c r="M47" i="5" l="1"/>
  <c r="P47" i="5" s="1"/>
  <c r="N47" i="5"/>
  <c r="M46" i="5"/>
  <c r="P46" i="5" s="1"/>
  <c r="N46" i="5"/>
  <c r="M45" i="5"/>
  <c r="P45" i="5" s="1"/>
  <c r="N45" i="5"/>
  <c r="M44" i="5"/>
  <c r="P44" i="5" s="1"/>
  <c r="N44" i="5"/>
  <c r="M43" i="5"/>
  <c r="P43" i="5" s="1"/>
  <c r="N43" i="5"/>
  <c r="M42" i="5"/>
  <c r="P42" i="5" s="1"/>
  <c r="N42" i="5"/>
  <c r="M41" i="5"/>
  <c r="P41" i="5" s="1"/>
  <c r="N41" i="5"/>
  <c r="M40" i="5"/>
  <c r="P40" i="5" s="1"/>
  <c r="N40" i="5"/>
  <c r="M39" i="5"/>
  <c r="P39" i="5" s="1"/>
  <c r="N39" i="5"/>
  <c r="M38" i="5"/>
  <c r="P38" i="5" s="1"/>
  <c r="N38" i="5"/>
  <c r="M37" i="5"/>
  <c r="P37" i="5" s="1"/>
  <c r="N37" i="5"/>
  <c r="M36" i="5"/>
  <c r="P36" i="5" s="1"/>
  <c r="N36" i="5"/>
  <c r="M35" i="5"/>
  <c r="P35" i="5" s="1"/>
  <c r="N35" i="5"/>
  <c r="M34" i="5"/>
  <c r="P34" i="5" s="1"/>
  <c r="N34" i="5"/>
  <c r="M33" i="5"/>
  <c r="P33" i="5" s="1"/>
  <c r="N33" i="5"/>
  <c r="M32" i="5"/>
  <c r="N32" i="5"/>
  <c r="P32" i="5"/>
  <c r="M31" i="5"/>
  <c r="P31" i="5" s="1"/>
  <c r="N31" i="5"/>
  <c r="M30" i="5"/>
  <c r="P30" i="5" s="1"/>
  <c r="N30" i="5"/>
  <c r="M29" i="5"/>
  <c r="P29" i="5" s="1"/>
  <c r="N29" i="5"/>
  <c r="M28" i="5"/>
  <c r="P28" i="5" s="1"/>
  <c r="N28" i="5"/>
  <c r="M27" i="5"/>
  <c r="P27" i="5" s="1"/>
  <c r="N27" i="5"/>
  <c r="M26" i="5"/>
  <c r="N26" i="5"/>
  <c r="P26" i="5"/>
  <c r="M25" i="5"/>
  <c r="P25" i="5" s="1"/>
  <c r="N25" i="5"/>
  <c r="M24" i="5"/>
  <c r="P24" i="5" s="1"/>
  <c r="N24" i="5"/>
  <c r="M23" i="5"/>
  <c r="P23" i="5" s="1"/>
  <c r="N23" i="5"/>
  <c r="M22" i="5"/>
  <c r="P22" i="5" s="1"/>
  <c r="N22" i="5"/>
  <c r="M21" i="5"/>
  <c r="P21" i="5" s="1"/>
  <c r="N21" i="5"/>
  <c r="M20" i="5"/>
  <c r="P20" i="5" s="1"/>
  <c r="N20" i="5"/>
  <c r="M19" i="5"/>
  <c r="P19" i="5" s="1"/>
  <c r="N19" i="5"/>
  <c r="M18" i="5"/>
  <c r="P18" i="5" s="1"/>
  <c r="N18" i="5"/>
  <c r="M17" i="5"/>
  <c r="P17" i="5" s="1"/>
  <c r="N17" i="5"/>
  <c r="M16" i="5"/>
  <c r="P16" i="5" s="1"/>
  <c r="N16" i="5"/>
  <c r="M15" i="5"/>
  <c r="P15" i="5" s="1"/>
  <c r="N15" i="5"/>
  <c r="M14" i="5"/>
  <c r="P14" i="5" s="1"/>
  <c r="N14" i="5"/>
  <c r="N821" i="2" l="1"/>
  <c r="S821" i="2" s="1"/>
  <c r="P821" i="2"/>
  <c r="M849" i="2"/>
  <c r="P849" i="2" s="1"/>
  <c r="N849" i="2"/>
  <c r="M848" i="2"/>
  <c r="P848" i="2" s="1"/>
  <c r="N848" i="2"/>
  <c r="M847" i="2"/>
  <c r="P847" i="2" s="1"/>
  <c r="N847" i="2"/>
  <c r="M846" i="2" l="1"/>
  <c r="P846" i="2" s="1"/>
  <c r="N846" i="2"/>
  <c r="S846" i="2" s="1"/>
  <c r="M845" i="2"/>
  <c r="P845" i="2" s="1"/>
  <c r="N845" i="2"/>
  <c r="S845" i="2" s="1"/>
  <c r="M844" i="2"/>
  <c r="P844" i="2" s="1"/>
  <c r="N844" i="2"/>
  <c r="S844" i="2" s="1"/>
  <c r="M843" i="2"/>
  <c r="P843" i="2" s="1"/>
  <c r="N843" i="2"/>
  <c r="S843" i="2" s="1"/>
  <c r="M842" i="2"/>
  <c r="P842" i="2" s="1"/>
  <c r="N842" i="2"/>
  <c r="S842" i="2" s="1"/>
  <c r="M841" i="2"/>
  <c r="P841" i="2" s="1"/>
  <c r="N841" i="2"/>
  <c r="S841" i="2" s="1"/>
  <c r="M840" i="2"/>
  <c r="P840" i="2" s="1"/>
  <c r="N840" i="2"/>
  <c r="S840" i="2" s="1"/>
  <c r="M839" i="2"/>
  <c r="P839" i="2" s="1"/>
  <c r="N839" i="2"/>
  <c r="S839" i="2" s="1"/>
  <c r="M838" i="2"/>
  <c r="P838" i="2" s="1"/>
  <c r="N838" i="2"/>
  <c r="S838" i="2" s="1"/>
  <c r="M837" i="2"/>
  <c r="P837" i="2" s="1"/>
  <c r="N837" i="2"/>
  <c r="S837" i="2" s="1"/>
  <c r="M836" i="2"/>
  <c r="P836" i="2" s="1"/>
  <c r="N836" i="2"/>
  <c r="S836" i="2" s="1"/>
  <c r="M835" i="2"/>
  <c r="P835" i="2" s="1"/>
  <c r="N835" i="2"/>
  <c r="S835" i="2" s="1"/>
  <c r="M834" i="2"/>
  <c r="P834" i="2" s="1"/>
  <c r="N834" i="2"/>
  <c r="S834" i="2" s="1"/>
  <c r="M833" i="2"/>
  <c r="P833" i="2" s="1"/>
  <c r="N833" i="2"/>
  <c r="S833" i="2" s="1"/>
  <c r="M832" i="2"/>
  <c r="P832" i="2" s="1"/>
  <c r="N832" i="2"/>
  <c r="S832" i="2" s="1"/>
  <c r="M831" i="2"/>
  <c r="P831" i="2" s="1"/>
  <c r="N831" i="2"/>
  <c r="S831" i="2" s="1"/>
  <c r="M829" i="2" l="1"/>
  <c r="P829" i="2" s="1"/>
  <c r="N829" i="2"/>
  <c r="S829" i="2" s="1"/>
  <c r="M830" i="2"/>
  <c r="P830" i="2" s="1"/>
  <c r="N830" i="2"/>
  <c r="S830" i="2" s="1"/>
  <c r="M827" i="2"/>
  <c r="P827" i="2" s="1"/>
  <c r="N827" i="2"/>
  <c r="S827" i="2" s="1"/>
  <c r="M828" i="2"/>
  <c r="P828" i="2" s="1"/>
  <c r="N828" i="2"/>
  <c r="S828" i="2" s="1"/>
  <c r="M826" i="2"/>
  <c r="P826" i="2" s="1"/>
  <c r="N826" i="2"/>
  <c r="S826" i="2" s="1"/>
  <c r="M825" i="2"/>
  <c r="P825" i="2" s="1"/>
  <c r="N825" i="2"/>
  <c r="S825" i="2" s="1"/>
  <c r="M824" i="2" l="1"/>
  <c r="N824" i="2"/>
  <c r="S824" i="2" s="1"/>
  <c r="M823" i="2"/>
  <c r="N823" i="2"/>
  <c r="S823" i="2" s="1"/>
  <c r="M822" i="2"/>
  <c r="N822" i="2"/>
  <c r="S822" i="2" s="1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2" i="2" l="1"/>
  <c r="P802" i="2" s="1"/>
  <c r="N802" i="2"/>
  <c r="S802" i="2" s="1"/>
  <c r="M801" i="2"/>
  <c r="P801" i="2" s="1"/>
  <c r="N801" i="2"/>
  <c r="S801" i="2" s="1"/>
  <c r="M800" i="2"/>
  <c r="P800" i="2" s="1"/>
  <c r="N800" i="2"/>
  <c r="S800" i="2" s="1"/>
  <c r="M799" i="2"/>
  <c r="P799" i="2" s="1"/>
  <c r="N799" i="2"/>
  <c r="S799" i="2" s="1"/>
  <c r="M798" i="2"/>
  <c r="P798" i="2" s="1"/>
  <c r="N798" i="2"/>
  <c r="S798" i="2" s="1"/>
  <c r="M806" i="2"/>
  <c r="N806" i="2"/>
  <c r="M805" i="2"/>
  <c r="N805" i="2"/>
  <c r="M804" i="2"/>
  <c r="N804" i="2"/>
  <c r="M803" i="2"/>
  <c r="N803" i="2"/>
  <c r="M797" i="2" l="1"/>
  <c r="P797" i="2" s="1"/>
  <c r="M796" i="2"/>
  <c r="P796" i="2" s="1"/>
  <c r="M795" i="2"/>
  <c r="P795" i="2" s="1"/>
  <c r="M794" i="2"/>
  <c r="P794" i="2" s="1"/>
  <c r="M793" i="2"/>
  <c r="P793" i="2" s="1"/>
  <c r="M792" i="2"/>
  <c r="P792" i="2" s="1"/>
  <c r="M791" i="2"/>
  <c r="P791" i="2" s="1"/>
  <c r="M790" i="2"/>
  <c r="P790" i="2" s="1"/>
  <c r="M789" i="2"/>
  <c r="P789" i="2" s="1"/>
  <c r="M788" i="2"/>
  <c r="P788" i="2" s="1"/>
  <c r="M787" i="2"/>
  <c r="P787" i="2" s="1"/>
  <c r="M786" i="2"/>
  <c r="P786" i="2" s="1"/>
  <c r="M785" i="2"/>
  <c r="P785" i="2" s="1"/>
  <c r="M784" i="2"/>
  <c r="P784" i="2" s="1"/>
  <c r="M783" i="2"/>
  <c r="P783" i="2" s="1"/>
  <c r="M782" i="2"/>
  <c r="P782" i="2" s="1"/>
  <c r="M781" i="2"/>
  <c r="P781" i="2" s="1"/>
  <c r="M780" i="2"/>
  <c r="P780" i="2" s="1"/>
  <c r="M779" i="2"/>
  <c r="P779" i="2" s="1"/>
  <c r="M778" i="2"/>
  <c r="P778" i="2" s="1"/>
  <c r="M777" i="2"/>
  <c r="P777" i="2" s="1"/>
  <c r="M771" i="2" l="1"/>
  <c r="N771" i="2"/>
  <c r="S771" i="2" s="1"/>
  <c r="P771" i="2"/>
  <c r="M776" i="2"/>
  <c r="P776" i="2" s="1"/>
  <c r="N776" i="2"/>
  <c r="M775" i="2"/>
  <c r="P775" i="2" s="1"/>
  <c r="N775" i="2"/>
  <c r="M774" i="2"/>
  <c r="P774" i="2" s="1"/>
  <c r="N774" i="2"/>
  <c r="M773" i="2"/>
  <c r="P773" i="2" s="1"/>
  <c r="N773" i="2"/>
  <c r="M772" i="2"/>
  <c r="P772" i="2" s="1"/>
  <c r="N772" i="2"/>
  <c r="M768" i="2" l="1"/>
  <c r="P768" i="2" s="1"/>
  <c r="N768" i="2"/>
  <c r="S768" i="2" s="1"/>
  <c r="M767" i="2"/>
  <c r="P767" i="2" s="1"/>
  <c r="N767" i="2"/>
  <c r="S767" i="2" s="1"/>
  <c r="M770" i="2"/>
  <c r="P770" i="2" s="1"/>
  <c r="N770" i="2"/>
  <c r="S770" i="2" s="1"/>
  <c r="M769" i="2"/>
  <c r="P769" i="2" s="1"/>
  <c r="N769" i="2"/>
  <c r="S769" i="2" s="1"/>
  <c r="M766" i="2"/>
  <c r="P766" i="2" s="1"/>
  <c r="N766" i="2"/>
  <c r="S766" i="2" s="1"/>
  <c r="M763" i="2"/>
  <c r="P763" i="2" s="1"/>
  <c r="N763" i="2"/>
  <c r="S763" i="2" s="1"/>
  <c r="M765" i="2"/>
  <c r="P765" i="2" s="1"/>
  <c r="N765" i="2"/>
  <c r="S765" i="2" s="1"/>
  <c r="M762" i="2"/>
  <c r="P762" i="2" s="1"/>
  <c r="N762" i="2"/>
  <c r="S762" i="2" s="1"/>
  <c r="M764" i="2"/>
  <c r="P764" i="2" s="1"/>
  <c r="N764" i="2"/>
  <c r="S764" i="2" s="1"/>
  <c r="M761" i="2"/>
  <c r="P761" i="2" s="1"/>
  <c r="N761" i="2"/>
  <c r="S761" i="2" s="1"/>
  <c r="M760" i="2"/>
  <c r="P760" i="2" s="1"/>
  <c r="N760" i="2"/>
  <c r="S760" i="2" s="1"/>
  <c r="M759" i="2"/>
  <c r="P759" i="2" s="1"/>
  <c r="N759" i="2"/>
  <c r="S759" i="2" s="1"/>
  <c r="M758" i="2"/>
  <c r="P758" i="2" s="1"/>
  <c r="N758" i="2"/>
  <c r="S758" i="2" s="1"/>
  <c r="M757" i="2"/>
  <c r="P757" i="2" s="1"/>
  <c r="N757" i="2"/>
  <c r="S757" i="2" s="1"/>
  <c r="M756" i="2"/>
  <c r="P756" i="2" s="1"/>
  <c r="N756" i="2"/>
  <c r="S756" i="2" s="1"/>
  <c r="M755" i="2"/>
  <c r="P755" i="2" s="1"/>
  <c r="N755" i="2"/>
  <c r="S755" i="2" s="1"/>
  <c r="M754" i="2"/>
  <c r="P754" i="2" s="1"/>
  <c r="N754" i="2"/>
  <c r="S754" i="2" s="1"/>
  <c r="M752" i="2"/>
  <c r="P752" i="2" s="1"/>
  <c r="N752" i="2"/>
  <c r="S752" i="2" s="1"/>
  <c r="M753" i="2"/>
  <c r="P753" i="2" s="1"/>
  <c r="N753" i="2"/>
  <c r="S753" i="2" s="1"/>
  <c r="M751" i="2"/>
  <c r="P751" i="2" s="1"/>
  <c r="N751" i="2"/>
  <c r="S751" i="2" s="1"/>
  <c r="M750" i="2"/>
  <c r="P750" i="2" s="1"/>
  <c r="N750" i="2"/>
  <c r="S750" i="2" s="1"/>
  <c r="M749" i="2"/>
  <c r="P749" i="2" s="1"/>
  <c r="N749" i="2"/>
  <c r="S749" i="2" s="1"/>
  <c r="M748" i="2"/>
  <c r="P748" i="2" s="1"/>
  <c r="N748" i="2"/>
  <c r="S748" i="2" s="1"/>
  <c r="M746" i="2"/>
  <c r="P746" i="2" s="1"/>
  <c r="N746" i="2"/>
  <c r="S746" i="2" s="1"/>
  <c r="M747" i="2"/>
  <c r="P747" i="2" s="1"/>
  <c r="N747" i="2"/>
  <c r="S747" i="2" s="1"/>
  <c r="M744" i="2"/>
  <c r="P744" i="2" s="1"/>
  <c r="N744" i="2"/>
  <c r="S744" i="2" s="1"/>
  <c r="M745" i="2"/>
  <c r="P745" i="2" s="1"/>
  <c r="N745" i="2"/>
  <c r="S745" i="2" s="1"/>
  <c r="M743" i="2"/>
  <c r="P743" i="2" s="1"/>
  <c r="N743" i="2"/>
  <c r="S743" i="2" s="1"/>
  <c r="M742" i="2"/>
  <c r="P742" i="2" s="1"/>
  <c r="N742" i="2"/>
  <c r="S742" i="2" s="1"/>
  <c r="M666" i="2"/>
  <c r="P666" i="2" s="1"/>
  <c r="N666" i="2"/>
  <c r="S666" i="2" s="1"/>
  <c r="M737" i="2"/>
  <c r="P737" i="2" s="1"/>
  <c r="N737" i="2"/>
  <c r="S737" i="2" s="1"/>
  <c r="M741" i="2"/>
  <c r="P741" i="2" s="1"/>
  <c r="N741" i="2"/>
  <c r="S741" i="2" s="1"/>
  <c r="M740" i="2"/>
  <c r="P740" i="2" s="1"/>
  <c r="N740" i="2"/>
  <c r="S740" i="2" s="1"/>
  <c r="M739" i="2"/>
  <c r="P739" i="2" s="1"/>
  <c r="N739" i="2"/>
  <c r="S739" i="2" s="1"/>
  <c r="M738" i="2"/>
  <c r="P738" i="2" s="1"/>
  <c r="N738" i="2"/>
  <c r="S738" i="2" s="1"/>
  <c r="M736" i="2"/>
  <c r="P736" i="2" s="1"/>
  <c r="N736" i="2"/>
  <c r="S736" i="2" s="1"/>
  <c r="M735" i="2"/>
  <c r="P735" i="2" s="1"/>
  <c r="N735" i="2"/>
  <c r="S735" i="2" s="1"/>
  <c r="M734" i="2"/>
  <c r="P734" i="2" s="1"/>
  <c r="N734" i="2"/>
  <c r="S734" i="2" s="1"/>
  <c r="M733" i="2"/>
  <c r="P733" i="2" s="1"/>
  <c r="N733" i="2"/>
  <c r="S733" i="2" s="1"/>
  <c r="M732" i="2"/>
  <c r="P732" i="2" s="1"/>
  <c r="N732" i="2"/>
  <c r="S732" i="2" s="1"/>
  <c r="M731" i="2"/>
  <c r="P731" i="2" s="1"/>
  <c r="N731" i="2"/>
  <c r="S731" i="2" s="1"/>
  <c r="M730" i="2"/>
  <c r="P730" i="2" s="1"/>
  <c r="N730" i="2"/>
  <c r="S730" i="2" s="1"/>
  <c r="M729" i="2"/>
  <c r="P729" i="2" s="1"/>
  <c r="N729" i="2"/>
  <c r="S729" i="2" s="1"/>
  <c r="M728" i="2"/>
  <c r="P728" i="2" s="1"/>
  <c r="N728" i="2"/>
  <c r="S728" i="2" s="1"/>
  <c r="M727" i="2"/>
  <c r="P727" i="2" s="1"/>
  <c r="N727" i="2"/>
  <c r="S727" i="2" s="1"/>
  <c r="M725" i="2"/>
  <c r="P725" i="2" s="1"/>
  <c r="N725" i="2"/>
  <c r="S725" i="2" s="1"/>
  <c r="M726" i="2"/>
  <c r="P726" i="2" s="1"/>
  <c r="N726" i="2"/>
  <c r="S726" i="2" s="1"/>
  <c r="M724" i="2"/>
  <c r="P724" i="2" s="1"/>
  <c r="N724" i="2"/>
  <c r="S724" i="2" s="1"/>
  <c r="M723" i="2"/>
  <c r="P723" i="2" s="1"/>
  <c r="N723" i="2"/>
  <c r="S723" i="2" s="1"/>
  <c r="M722" i="2"/>
  <c r="P722" i="2" s="1"/>
  <c r="N722" i="2"/>
  <c r="S722" i="2" s="1"/>
  <c r="M721" i="2"/>
  <c r="P721" i="2" s="1"/>
  <c r="N721" i="2"/>
  <c r="S721" i="2" s="1"/>
  <c r="M720" i="2"/>
  <c r="P720" i="2" s="1"/>
  <c r="N720" i="2"/>
  <c r="S720" i="2" s="1"/>
  <c r="M719" i="2"/>
  <c r="P719" i="2" s="1"/>
  <c r="N719" i="2"/>
  <c r="S719" i="2" s="1"/>
  <c r="M718" i="2"/>
  <c r="P718" i="2" s="1"/>
  <c r="N718" i="2"/>
  <c r="S718" i="2" s="1"/>
  <c r="M717" i="2"/>
  <c r="P717" i="2" s="1"/>
  <c r="N717" i="2"/>
  <c r="S717" i="2" s="1"/>
  <c r="M716" i="2"/>
  <c r="P716" i="2" s="1"/>
  <c r="N716" i="2"/>
  <c r="S716" i="2" s="1"/>
  <c r="M715" i="2"/>
  <c r="P715" i="2" s="1"/>
  <c r="N715" i="2"/>
  <c r="S715" i="2" s="1"/>
  <c r="M714" i="2"/>
  <c r="P714" i="2" s="1"/>
  <c r="N714" i="2"/>
  <c r="S714" i="2" s="1"/>
  <c r="M713" i="2"/>
  <c r="P713" i="2" s="1"/>
  <c r="N713" i="2"/>
  <c r="S713" i="2" s="1"/>
  <c r="M712" i="2"/>
  <c r="P712" i="2" s="1"/>
  <c r="N712" i="2"/>
  <c r="S712" i="2" s="1"/>
  <c r="M711" i="2"/>
  <c r="P711" i="2" s="1"/>
  <c r="N711" i="2"/>
  <c r="S711" i="2" s="1"/>
  <c r="M710" i="2"/>
  <c r="P710" i="2" s="1"/>
  <c r="N710" i="2"/>
  <c r="S710" i="2" s="1"/>
  <c r="M709" i="2"/>
  <c r="P709" i="2" s="1"/>
  <c r="N709" i="2"/>
  <c r="S709" i="2" s="1"/>
  <c r="M708" i="2"/>
  <c r="P708" i="2" s="1"/>
  <c r="N708" i="2"/>
  <c r="S708" i="2" s="1"/>
  <c r="M707" i="2"/>
  <c r="P707" i="2" s="1"/>
  <c r="N707" i="2"/>
  <c r="S707" i="2" s="1"/>
  <c r="M706" i="2"/>
  <c r="P706" i="2" s="1"/>
  <c r="N706" i="2"/>
  <c r="S706" i="2" s="1"/>
  <c r="M705" i="2"/>
  <c r="P705" i="2" s="1"/>
  <c r="N705" i="2"/>
  <c r="S705" i="2" s="1"/>
  <c r="M704" i="2"/>
  <c r="P704" i="2" s="1"/>
  <c r="N704" i="2"/>
  <c r="S704" i="2" s="1"/>
  <c r="M703" i="2"/>
  <c r="P703" i="2" s="1"/>
  <c r="N703" i="2"/>
  <c r="S703" i="2" s="1"/>
  <c r="M702" i="2"/>
  <c r="P702" i="2" s="1"/>
  <c r="N702" i="2"/>
  <c r="S702" i="2" s="1"/>
  <c r="M701" i="2"/>
  <c r="P701" i="2" s="1"/>
  <c r="N701" i="2"/>
  <c r="S701" i="2" s="1"/>
  <c r="M699" i="2"/>
  <c r="P699" i="2" s="1"/>
  <c r="N699" i="2"/>
  <c r="S699" i="2" s="1"/>
  <c r="M700" i="2"/>
  <c r="P700" i="2" s="1"/>
  <c r="N700" i="2"/>
  <c r="S700" i="2" s="1"/>
  <c r="M698" i="2"/>
  <c r="P698" i="2" s="1"/>
  <c r="N698" i="2"/>
  <c r="S698" i="2" s="1"/>
  <c r="M697" i="2"/>
  <c r="P697" i="2" s="1"/>
  <c r="N697" i="2"/>
  <c r="S697" i="2" s="1"/>
  <c r="M696" i="2"/>
  <c r="P696" i="2" s="1"/>
  <c r="N696" i="2"/>
  <c r="S696" i="2" s="1"/>
  <c r="M695" i="2"/>
  <c r="P695" i="2" s="1"/>
  <c r="N695" i="2"/>
  <c r="S695" i="2" s="1"/>
  <c r="M690" i="2"/>
  <c r="P690" i="2" s="1"/>
  <c r="N690" i="2"/>
  <c r="S690" i="2" s="1"/>
  <c r="M692" i="2"/>
  <c r="P692" i="2" s="1"/>
  <c r="N692" i="2"/>
  <c r="S692" i="2" s="1"/>
  <c r="M691" i="2"/>
  <c r="P691" i="2" s="1"/>
  <c r="N691" i="2"/>
  <c r="S691" i="2" s="1"/>
  <c r="M689" i="2"/>
  <c r="P689" i="2" s="1"/>
  <c r="N689" i="2"/>
  <c r="S689" i="2" s="1"/>
  <c r="M688" i="2"/>
  <c r="P688" i="2" s="1"/>
  <c r="N688" i="2"/>
  <c r="S688" i="2" s="1"/>
  <c r="M694" i="2"/>
  <c r="P694" i="2" s="1"/>
  <c r="N694" i="2"/>
  <c r="S694" i="2" s="1"/>
  <c r="M693" i="2"/>
  <c r="P693" i="2" s="1"/>
  <c r="N693" i="2"/>
  <c r="S693" i="2" s="1"/>
  <c r="M687" i="2"/>
  <c r="P687" i="2" s="1"/>
  <c r="N687" i="2"/>
  <c r="S687" i="2" s="1"/>
  <c r="M686" i="2"/>
  <c r="P686" i="2" s="1"/>
  <c r="N686" i="2"/>
  <c r="S686" i="2" s="1"/>
  <c r="M685" i="2"/>
  <c r="P685" i="2" s="1"/>
  <c r="N685" i="2"/>
  <c r="S685" i="2" s="1"/>
  <c r="M684" i="2"/>
  <c r="P684" i="2" s="1"/>
  <c r="N684" i="2"/>
  <c r="S684" i="2" s="1"/>
  <c r="M683" i="2"/>
  <c r="P683" i="2" s="1"/>
  <c r="N683" i="2"/>
  <c r="S683" i="2" s="1"/>
  <c r="M682" i="2"/>
  <c r="P682" i="2" s="1"/>
  <c r="N682" i="2"/>
  <c r="S682" i="2" s="1"/>
  <c r="M681" i="2"/>
  <c r="P681" i="2" s="1"/>
  <c r="N681" i="2"/>
  <c r="S681" i="2" s="1"/>
  <c r="M680" i="2"/>
  <c r="P680" i="2" s="1"/>
  <c r="N680" i="2"/>
  <c r="S680" i="2" s="1"/>
  <c r="M679" i="2"/>
  <c r="P679" i="2" s="1"/>
  <c r="N679" i="2"/>
  <c r="S679" i="2" s="1"/>
  <c r="M678" i="2"/>
  <c r="P678" i="2" s="1"/>
  <c r="N678" i="2"/>
  <c r="S678" i="2" s="1"/>
  <c r="M677" i="2"/>
  <c r="P677" i="2" s="1"/>
  <c r="N677" i="2"/>
  <c r="S677" i="2" s="1"/>
  <c r="M676" i="2"/>
  <c r="P676" i="2" s="1"/>
  <c r="N676" i="2"/>
  <c r="S676" i="2" s="1"/>
  <c r="M675" i="2"/>
  <c r="P675" i="2" s="1"/>
  <c r="N675" i="2"/>
  <c r="S675" i="2" s="1"/>
  <c r="M674" i="2"/>
  <c r="P674" i="2" s="1"/>
  <c r="N674" i="2"/>
  <c r="S674" i="2" s="1"/>
  <c r="M673" i="2"/>
  <c r="P673" i="2" s="1"/>
  <c r="N673" i="2"/>
  <c r="S673" i="2" s="1"/>
  <c r="M672" i="2"/>
  <c r="P672" i="2" s="1"/>
  <c r="N672" i="2"/>
  <c r="S672" i="2" s="1"/>
  <c r="M671" i="2"/>
  <c r="P671" i="2" s="1"/>
  <c r="N671" i="2"/>
  <c r="S671" i="2" s="1"/>
  <c r="M670" i="2"/>
  <c r="P670" i="2" s="1"/>
  <c r="N670" i="2"/>
  <c r="S670" i="2" s="1"/>
  <c r="M669" i="2"/>
  <c r="P669" i="2" s="1"/>
  <c r="N669" i="2"/>
  <c r="S669" i="2" s="1"/>
  <c r="M668" i="2"/>
  <c r="P668" i="2" s="1"/>
  <c r="N668" i="2"/>
  <c r="S668" i="2" s="1"/>
  <c r="M667" i="2"/>
  <c r="P667" i="2" s="1"/>
  <c r="N667" i="2"/>
  <c r="S667" i="2" s="1"/>
  <c r="M665" i="2"/>
  <c r="P665" i="2" s="1"/>
  <c r="N665" i="2"/>
  <c r="S665" i="2" s="1"/>
  <c r="M664" i="2"/>
  <c r="P664" i="2" s="1"/>
  <c r="N664" i="2"/>
  <c r="S664" i="2" s="1"/>
  <c r="M663" i="2"/>
  <c r="P663" i="2" s="1"/>
  <c r="N663" i="2"/>
  <c r="S663" i="2" s="1"/>
  <c r="M662" i="2"/>
  <c r="P662" i="2" s="1"/>
  <c r="N662" i="2"/>
  <c r="S662" i="2" s="1"/>
  <c r="M661" i="2"/>
  <c r="P661" i="2" s="1"/>
  <c r="N661" i="2"/>
  <c r="S661" i="2" s="1"/>
  <c r="M660" i="2"/>
  <c r="P660" i="2" s="1"/>
  <c r="N660" i="2"/>
  <c r="S660" i="2" s="1"/>
  <c r="M659" i="2"/>
  <c r="P659" i="2" s="1"/>
  <c r="N659" i="2"/>
  <c r="S659" i="2" s="1"/>
  <c r="M658" i="2"/>
  <c r="N658" i="2"/>
  <c r="S658" i="2" s="1"/>
  <c r="M656" i="2"/>
  <c r="P656" i="2" s="1"/>
  <c r="N656" i="2"/>
  <c r="S656" i="2" s="1"/>
  <c r="M657" i="2"/>
  <c r="P657" i="2" s="1"/>
  <c r="N657" i="2"/>
  <c r="S657" i="2" s="1"/>
  <c r="M655" i="2"/>
  <c r="P655" i="2" s="1"/>
  <c r="N655" i="2"/>
  <c r="S655" i="2" s="1"/>
  <c r="M654" i="2"/>
  <c r="P654" i="2" s="1"/>
  <c r="N654" i="2"/>
  <c r="S654" i="2" s="1"/>
  <c r="M653" i="2"/>
  <c r="P653" i="2" s="1"/>
  <c r="N653" i="2"/>
  <c r="S653" i="2" s="1"/>
  <c r="M652" i="2"/>
  <c r="P652" i="2" s="1"/>
  <c r="N652" i="2"/>
  <c r="S652" i="2" s="1"/>
  <c r="M651" i="2"/>
  <c r="P651" i="2" s="1"/>
  <c r="N651" i="2"/>
  <c r="S651" i="2" s="1"/>
  <c r="M650" i="2"/>
  <c r="P650" i="2" s="1"/>
  <c r="N650" i="2"/>
  <c r="S650" i="2" s="1"/>
  <c r="M649" i="2"/>
  <c r="P649" i="2" s="1"/>
  <c r="N649" i="2"/>
  <c r="S649" i="2" s="1"/>
  <c r="M648" i="2"/>
  <c r="P648" i="2" s="1"/>
  <c r="N648" i="2"/>
  <c r="S648" i="2" s="1"/>
  <c r="M647" i="2"/>
  <c r="P647" i="2" s="1"/>
  <c r="N647" i="2"/>
  <c r="S647" i="2" s="1"/>
  <c r="M646" i="2"/>
  <c r="P646" i="2" s="1"/>
  <c r="N646" i="2"/>
  <c r="S646" i="2" s="1"/>
  <c r="M645" i="2"/>
  <c r="P645" i="2" s="1"/>
  <c r="N645" i="2"/>
  <c r="S645" i="2" s="1"/>
  <c r="M13" i="5" l="1"/>
  <c r="P13" i="5" s="1"/>
  <c r="N13" i="5"/>
  <c r="M644" i="2"/>
  <c r="P644" i="2" s="1"/>
  <c r="N644" i="2"/>
  <c r="M643" i="2"/>
  <c r="P643" i="2" s="1"/>
  <c r="N643" i="2"/>
  <c r="M642" i="2"/>
  <c r="P642" i="2" s="1"/>
  <c r="N642" i="2"/>
  <c r="M641" i="2"/>
  <c r="P641" i="2" s="1"/>
  <c r="N641" i="2"/>
  <c r="M640" i="2"/>
  <c r="P640" i="2" s="1"/>
  <c r="N640" i="2"/>
  <c r="M639" i="2"/>
  <c r="P639" i="2" s="1"/>
  <c r="N639" i="2"/>
  <c r="S639" i="2" s="1"/>
  <c r="M638" i="2"/>
  <c r="P638" i="2" s="1"/>
  <c r="N638" i="2"/>
  <c r="S638" i="2" s="1"/>
  <c r="M637" i="2"/>
  <c r="P637" i="2" s="1"/>
  <c r="N637" i="2"/>
  <c r="S637" i="2" s="1"/>
  <c r="M636" i="2"/>
  <c r="P636" i="2" s="1"/>
  <c r="N636" i="2"/>
  <c r="S636" i="2" s="1"/>
  <c r="M635" i="2"/>
  <c r="P635" i="2" s="1"/>
  <c r="N635" i="2"/>
  <c r="S635" i="2" s="1"/>
  <c r="M634" i="2"/>
  <c r="P634" i="2" s="1"/>
  <c r="N634" i="2"/>
  <c r="S634" i="2" s="1"/>
  <c r="M633" i="2"/>
  <c r="P633" i="2" s="1"/>
  <c r="N633" i="2"/>
  <c r="S633" i="2" s="1"/>
  <c r="M632" i="2"/>
  <c r="P632" i="2" s="1"/>
  <c r="N632" i="2"/>
  <c r="S632" i="2" s="1"/>
  <c r="M631" i="2"/>
  <c r="P631" i="2" s="1"/>
  <c r="N631" i="2"/>
  <c r="S631" i="2" s="1"/>
  <c r="M630" i="2"/>
  <c r="P630" i="2" s="1"/>
  <c r="N630" i="2"/>
  <c r="S630" i="2" s="1"/>
  <c r="M629" i="2"/>
  <c r="P629" i="2" s="1"/>
  <c r="N629" i="2"/>
  <c r="S629" i="2" s="1"/>
  <c r="M628" i="2" l="1"/>
  <c r="N628" i="2"/>
  <c r="S628" i="2" s="1"/>
  <c r="M627" i="2" l="1"/>
  <c r="P627" i="2" s="1"/>
  <c r="N627" i="2"/>
  <c r="S627" i="2" s="1"/>
  <c r="M626" i="2"/>
  <c r="P626" i="2" s="1"/>
  <c r="N626" i="2"/>
  <c r="S626" i="2" s="1"/>
  <c r="M616" i="2"/>
  <c r="P616" i="2" s="1"/>
  <c r="N616" i="2"/>
  <c r="S616" i="2" s="1"/>
  <c r="M625" i="2"/>
  <c r="P625" i="2" s="1"/>
  <c r="N625" i="2"/>
  <c r="S625" i="2" s="1"/>
  <c r="M624" i="2"/>
  <c r="P624" i="2" s="1"/>
  <c r="N624" i="2"/>
  <c r="S624" i="2" s="1"/>
  <c r="M623" i="2"/>
  <c r="P623" i="2" s="1"/>
  <c r="N623" i="2"/>
  <c r="S623" i="2" s="1"/>
  <c r="M622" i="2"/>
  <c r="P622" i="2" s="1"/>
  <c r="N622" i="2"/>
  <c r="S622" i="2" s="1"/>
  <c r="M621" i="2"/>
  <c r="P621" i="2" s="1"/>
  <c r="N621" i="2"/>
  <c r="S621" i="2" s="1"/>
  <c r="M620" i="2"/>
  <c r="P620" i="2" s="1"/>
  <c r="N620" i="2"/>
  <c r="S620" i="2" s="1"/>
  <c r="M619" i="2"/>
  <c r="P619" i="2" s="1"/>
  <c r="N619" i="2"/>
  <c r="S619" i="2" s="1"/>
  <c r="M618" i="2"/>
  <c r="P618" i="2" s="1"/>
  <c r="N618" i="2"/>
  <c r="S618" i="2" s="1"/>
  <c r="M617" i="2"/>
  <c r="P617" i="2" s="1"/>
  <c r="N617" i="2"/>
  <c r="S617" i="2" s="1"/>
  <c r="M615" i="2"/>
  <c r="P615" i="2" s="1"/>
  <c r="N615" i="2"/>
  <c r="S615" i="2" s="1"/>
  <c r="M614" i="2"/>
  <c r="N614" i="2"/>
  <c r="P614" i="2"/>
  <c r="N613" i="2" l="1"/>
  <c r="S613" i="2" s="1"/>
  <c r="N612" i="2"/>
  <c r="S612" i="2" s="1"/>
  <c r="P612" i="2"/>
  <c r="N611" i="2"/>
  <c r="S611" i="2" s="1"/>
  <c r="P611" i="2"/>
  <c r="N610" i="2"/>
  <c r="S610" i="2" s="1"/>
  <c r="P610" i="2"/>
  <c r="M609" i="2" l="1"/>
  <c r="P609" i="2" s="1"/>
  <c r="M608" i="2"/>
  <c r="P608" i="2" s="1"/>
  <c r="M607" i="2" l="1"/>
  <c r="P607" i="2" s="1"/>
  <c r="N607" i="2"/>
  <c r="S607" i="2" s="1"/>
  <c r="M606" i="2" l="1"/>
  <c r="P606" i="2" s="1"/>
  <c r="N606" i="2"/>
  <c r="S606" i="2" s="1"/>
  <c r="M605" i="2"/>
  <c r="P605" i="2" s="1"/>
  <c r="N605" i="2"/>
  <c r="S605" i="2" s="1"/>
  <c r="M603" i="2"/>
  <c r="P603" i="2" s="1"/>
  <c r="N603" i="2"/>
  <c r="S603" i="2" s="1"/>
  <c r="M604" i="2"/>
  <c r="P604" i="2" s="1"/>
  <c r="N604" i="2"/>
  <c r="S604" i="2" s="1"/>
  <c r="M602" i="2"/>
  <c r="P602" i="2" s="1"/>
  <c r="N602" i="2"/>
  <c r="S602" i="2" s="1"/>
  <c r="M601" i="2"/>
  <c r="P601" i="2" s="1"/>
  <c r="N601" i="2"/>
  <c r="S601" i="2" s="1"/>
  <c r="M600" i="2"/>
  <c r="P600" i="2" s="1"/>
  <c r="N600" i="2"/>
  <c r="S600" i="2" s="1"/>
  <c r="M599" i="2"/>
  <c r="P599" i="2" s="1"/>
  <c r="N599" i="2"/>
  <c r="S599" i="2" s="1"/>
  <c r="M538" i="2" l="1"/>
  <c r="P538" i="2" s="1"/>
  <c r="M598" i="2" l="1"/>
  <c r="P598" i="2" s="1"/>
  <c r="N598" i="2"/>
  <c r="S598" i="2" s="1"/>
  <c r="M597" i="2"/>
  <c r="P597" i="2" s="1"/>
  <c r="N597" i="2"/>
  <c r="S597" i="2" s="1"/>
  <c r="M596" i="2"/>
  <c r="P596" i="2" s="1"/>
  <c r="N596" i="2"/>
  <c r="S596" i="2" s="1"/>
  <c r="M595" i="2"/>
  <c r="P595" i="2" s="1"/>
  <c r="N595" i="2"/>
  <c r="S595" i="2" s="1"/>
  <c r="M594" i="2"/>
  <c r="P594" i="2" s="1"/>
  <c r="N594" i="2"/>
  <c r="S594" i="2" s="1"/>
  <c r="M593" i="2"/>
  <c r="P593" i="2" s="1"/>
  <c r="N593" i="2"/>
  <c r="S593" i="2" s="1"/>
  <c r="M592" i="2"/>
  <c r="P592" i="2" s="1"/>
  <c r="N592" i="2"/>
  <c r="S592" i="2" s="1"/>
  <c r="M591" i="2"/>
  <c r="P591" i="2" s="1"/>
  <c r="N591" i="2"/>
  <c r="S591" i="2" s="1"/>
  <c r="M590" i="2"/>
  <c r="P590" i="2" s="1"/>
  <c r="N590" i="2"/>
  <c r="S590" i="2" s="1"/>
  <c r="M589" i="2"/>
  <c r="P589" i="2" s="1"/>
  <c r="N589" i="2"/>
  <c r="S589" i="2" s="1"/>
  <c r="M588" i="2"/>
  <c r="P588" i="2" s="1"/>
  <c r="N588" i="2"/>
  <c r="M587" i="2"/>
  <c r="P587" i="2" s="1"/>
  <c r="M586" i="2"/>
  <c r="P586" i="2" s="1"/>
  <c r="M585" i="2"/>
  <c r="P585" i="2" s="1"/>
  <c r="M584" i="2"/>
  <c r="P584" i="2" s="1"/>
  <c r="M583" i="2"/>
  <c r="P583" i="2" s="1"/>
  <c r="M582" i="2"/>
  <c r="P582" i="2" s="1"/>
  <c r="M581" i="2"/>
  <c r="P581" i="2" s="1"/>
  <c r="M580" i="2"/>
  <c r="P580" i="2" s="1"/>
  <c r="M579" i="2"/>
  <c r="P579" i="2" s="1"/>
  <c r="M578" i="2"/>
  <c r="P578" i="2" s="1"/>
  <c r="M577" i="2"/>
  <c r="P577" i="2" s="1"/>
  <c r="M576" i="2" l="1"/>
  <c r="P576" i="2" s="1"/>
  <c r="M575" i="2"/>
  <c r="P575" i="2" s="1"/>
  <c r="M574" i="2"/>
  <c r="P574" i="2" s="1"/>
  <c r="M573" i="2"/>
  <c r="P573" i="2" s="1"/>
  <c r="M572" i="2"/>
  <c r="P572" i="2" s="1"/>
  <c r="M571" i="2"/>
  <c r="P571" i="2" s="1"/>
  <c r="M570" i="2"/>
  <c r="P570" i="2" s="1"/>
  <c r="M569" i="2"/>
  <c r="M12" i="5" l="1"/>
  <c r="P12" i="5" s="1"/>
  <c r="M11" i="5"/>
  <c r="P11" i="5" s="1"/>
  <c r="M10" i="5"/>
  <c r="P10" i="5" s="1"/>
  <c r="M9" i="5"/>
  <c r="P9" i="5" s="1"/>
  <c r="M8" i="5"/>
  <c r="P8" i="5" s="1"/>
  <c r="M7" i="5"/>
  <c r="P7" i="5" s="1"/>
  <c r="M6" i="5"/>
  <c r="P6" i="5" s="1"/>
  <c r="M5" i="5"/>
  <c r="P5" i="5" s="1"/>
  <c r="N4" i="5"/>
  <c r="M4" i="5"/>
  <c r="P4" i="5" s="1"/>
  <c r="N3" i="5"/>
  <c r="M3" i="5"/>
  <c r="P3" i="5" s="1"/>
  <c r="N2" i="5"/>
  <c r="M2" i="5"/>
  <c r="P2" i="5" s="1"/>
  <c r="P569" i="2" l="1"/>
  <c r="N569" i="2"/>
  <c r="S569" i="2" s="1"/>
  <c r="M568" i="2"/>
  <c r="P568" i="2" s="1"/>
  <c r="N568" i="2"/>
  <c r="S568" i="2" s="1"/>
  <c r="M567" i="2"/>
  <c r="P567" i="2" s="1"/>
  <c r="N567" i="2"/>
  <c r="S567" i="2" s="1"/>
  <c r="M566" i="2"/>
  <c r="P566" i="2" s="1"/>
  <c r="N566" i="2"/>
  <c r="S566" i="2" s="1"/>
  <c r="M565" i="2"/>
  <c r="P565" i="2" s="1"/>
  <c r="N565" i="2"/>
  <c r="S565" i="2" s="1"/>
  <c r="M564" i="2"/>
  <c r="P564" i="2" s="1"/>
  <c r="N564" i="2"/>
  <c r="S564" i="2" s="1"/>
  <c r="M563" i="2"/>
  <c r="P563" i="2" s="1"/>
  <c r="N563" i="2"/>
  <c r="S563" i="2" s="1"/>
  <c r="M562" i="2"/>
  <c r="P562" i="2" s="1"/>
  <c r="N562" i="2"/>
  <c r="S562" i="2" s="1"/>
  <c r="M561" i="2"/>
  <c r="P561" i="2" s="1"/>
  <c r="N561" i="2"/>
  <c r="S561" i="2" s="1"/>
  <c r="M560" i="2"/>
  <c r="P560" i="2" s="1"/>
  <c r="N560" i="2"/>
  <c r="S560" i="2" s="1"/>
  <c r="M559" i="2"/>
  <c r="P559" i="2" s="1"/>
  <c r="N559" i="2"/>
  <c r="S559" i="2" s="1"/>
  <c r="M558" i="2"/>
  <c r="P558" i="2" s="1"/>
  <c r="N558" i="2"/>
  <c r="S558" i="2" s="1"/>
  <c r="M557" i="2"/>
  <c r="P557" i="2" s="1"/>
  <c r="N557" i="2"/>
  <c r="S557" i="2" s="1"/>
  <c r="M556" i="2"/>
  <c r="P556" i="2" s="1"/>
  <c r="N556" i="2"/>
  <c r="S556" i="2" s="1"/>
  <c r="M555" i="2" l="1"/>
  <c r="P555" i="2" s="1"/>
  <c r="N555" i="2"/>
  <c r="S555" i="2" s="1"/>
  <c r="M554" i="2"/>
  <c r="P554" i="2" s="1"/>
  <c r="N554" i="2"/>
  <c r="S554" i="2" s="1"/>
  <c r="M550" i="2"/>
  <c r="P550" i="2" s="1"/>
  <c r="N550" i="2"/>
  <c r="S550" i="2" s="1"/>
  <c r="M549" i="2"/>
  <c r="P549" i="2" s="1"/>
  <c r="N549" i="2"/>
  <c r="S549" i="2" s="1"/>
  <c r="M551" i="2"/>
  <c r="P551" i="2" s="1"/>
  <c r="N551" i="2"/>
  <c r="S551" i="2" s="1"/>
  <c r="M552" i="2"/>
  <c r="P552" i="2" s="1"/>
  <c r="N552" i="2"/>
  <c r="S552" i="2" s="1"/>
  <c r="M553" i="2"/>
  <c r="P553" i="2" s="1"/>
  <c r="N553" i="2"/>
  <c r="S553" i="2" s="1"/>
  <c r="M548" i="2" l="1"/>
  <c r="P548" i="2" s="1"/>
  <c r="M547" i="2"/>
  <c r="P547" i="2" s="1"/>
  <c r="M546" i="2"/>
  <c r="P546" i="2" s="1"/>
  <c r="M545" i="2"/>
  <c r="P545" i="2" s="1"/>
  <c r="M544" i="2"/>
  <c r="P544" i="2" s="1"/>
  <c r="M543" i="2"/>
  <c r="P543" i="2" s="1"/>
  <c r="M542" i="2"/>
  <c r="P542" i="2" s="1"/>
  <c r="M541" i="2"/>
  <c r="P541" i="2" s="1"/>
  <c r="M540" i="2"/>
  <c r="P540" i="2" s="1"/>
  <c r="M539" i="2"/>
  <c r="P539" i="2" s="1"/>
  <c r="M537" i="2"/>
  <c r="P537" i="2" s="1"/>
  <c r="M536" i="2"/>
  <c r="P536" i="2" s="1"/>
  <c r="M535" i="2"/>
  <c r="P535" i="2" s="1"/>
  <c r="M534" i="2"/>
  <c r="P534" i="2" s="1"/>
  <c r="M533" i="2"/>
  <c r="P533" i="2" s="1"/>
  <c r="M532" i="2"/>
  <c r="P532" i="2" s="1"/>
  <c r="M531" i="2"/>
  <c r="P531" i="2" s="1"/>
  <c r="M530" i="2"/>
  <c r="P530" i="2" s="1"/>
  <c r="M529" i="2"/>
  <c r="P529" i="2" s="1"/>
  <c r="M528" i="2"/>
  <c r="P528" i="2" s="1"/>
  <c r="M527" i="2"/>
  <c r="P527" i="2" s="1"/>
  <c r="M526" i="2"/>
  <c r="P526" i="2" s="1"/>
  <c r="M525" i="2"/>
  <c r="P525" i="2" s="1"/>
  <c r="M524" i="2"/>
  <c r="P524" i="2" s="1"/>
  <c r="M523" i="2"/>
  <c r="P523" i="2" s="1"/>
  <c r="M522" i="2"/>
  <c r="P522" i="2" s="1"/>
  <c r="M521" i="2"/>
  <c r="P521" i="2" s="1"/>
  <c r="M520" i="2"/>
  <c r="P520" i="2" s="1"/>
  <c r="M519" i="2"/>
  <c r="P519" i="2" s="1"/>
  <c r="M518" i="2"/>
  <c r="P518" i="2" s="1"/>
  <c r="M517" i="2"/>
  <c r="P517" i="2" s="1"/>
  <c r="M516" i="2" l="1"/>
  <c r="P516" i="2" s="1"/>
  <c r="N516" i="2"/>
  <c r="S516" i="2" s="1"/>
  <c r="M515" i="2"/>
  <c r="P515" i="2" s="1"/>
  <c r="N515" i="2"/>
  <c r="S515" i="2" s="1"/>
  <c r="M514" i="2"/>
  <c r="P514" i="2" s="1"/>
  <c r="N514" i="2"/>
  <c r="S514" i="2" s="1"/>
  <c r="M513" i="2"/>
  <c r="P513" i="2" s="1"/>
  <c r="N513" i="2"/>
  <c r="S513" i="2" s="1"/>
  <c r="M512" i="2"/>
  <c r="P512" i="2" s="1"/>
  <c r="N512" i="2"/>
  <c r="S512" i="2" s="1"/>
  <c r="M511" i="2"/>
  <c r="P511" i="2" s="1"/>
  <c r="N511" i="2"/>
  <c r="S511" i="2" s="1"/>
  <c r="M510" i="2"/>
  <c r="N510" i="2"/>
  <c r="S510" i="2" s="1"/>
  <c r="M509" i="2"/>
  <c r="P509" i="2" s="1"/>
  <c r="N509" i="2"/>
  <c r="S509" i="2" s="1"/>
  <c r="M508" i="2"/>
  <c r="P508" i="2" s="1"/>
  <c r="N508" i="2"/>
  <c r="S508" i="2" s="1"/>
  <c r="M507" i="2"/>
  <c r="P507" i="2" s="1"/>
  <c r="N507" i="2"/>
  <c r="S507" i="2" s="1"/>
  <c r="M506" i="2"/>
  <c r="P506" i="2" s="1"/>
  <c r="N506" i="2"/>
  <c r="S506" i="2" s="1"/>
  <c r="M505" i="2"/>
  <c r="P505" i="2" s="1"/>
  <c r="N505" i="2"/>
  <c r="S505" i="2" s="1"/>
  <c r="M504" i="2"/>
  <c r="N504" i="2"/>
  <c r="S504" i="2" s="1"/>
  <c r="M503" i="2"/>
  <c r="P503" i="2" s="1"/>
  <c r="N503" i="2"/>
  <c r="S503" i="2" s="1"/>
  <c r="M502" i="2"/>
  <c r="P502" i="2" s="1"/>
  <c r="N502" i="2"/>
  <c r="S502" i="2" s="1"/>
  <c r="M501" i="2"/>
  <c r="P501" i="2" s="1"/>
  <c r="N501" i="2"/>
  <c r="S501" i="2" s="1"/>
  <c r="M500" i="2"/>
  <c r="P500" i="2" s="1"/>
  <c r="N500" i="2"/>
  <c r="S500" i="2" s="1"/>
  <c r="M499" i="2"/>
  <c r="P499" i="2" s="1"/>
  <c r="N499" i="2"/>
  <c r="S499" i="2" s="1"/>
  <c r="M498" i="2"/>
  <c r="P498" i="2" s="1"/>
  <c r="N498" i="2"/>
  <c r="S498" i="2" s="1"/>
  <c r="M497" i="2"/>
  <c r="N497" i="2"/>
  <c r="S497" i="2" s="1"/>
  <c r="M496" i="2"/>
  <c r="P496" i="2" s="1"/>
  <c r="N496" i="2"/>
  <c r="S496" i="2" s="1"/>
  <c r="M495" i="2"/>
  <c r="P495" i="2" s="1"/>
  <c r="N495" i="2"/>
  <c r="M494" i="2"/>
  <c r="P494" i="2" s="1"/>
  <c r="N494" i="2"/>
  <c r="M493" i="2"/>
  <c r="P493" i="2" s="1"/>
  <c r="N493" i="2"/>
  <c r="M492" i="2"/>
  <c r="P492" i="2" s="1"/>
  <c r="N492" i="2"/>
  <c r="S492" i="2" s="1"/>
  <c r="M490" i="2"/>
  <c r="P490" i="2" s="1"/>
  <c r="N490" i="2"/>
  <c r="S490" i="2" s="1"/>
  <c r="M488" i="2"/>
  <c r="P488" i="2" s="1"/>
  <c r="N488" i="2"/>
  <c r="S488" i="2" s="1"/>
  <c r="M491" i="2" l="1"/>
  <c r="P491" i="2" s="1"/>
  <c r="N491" i="2"/>
  <c r="S491" i="2" s="1"/>
  <c r="M489" i="2"/>
  <c r="P489" i="2" s="1"/>
  <c r="N489" i="2"/>
  <c r="S489" i="2" s="1"/>
  <c r="M487" i="2"/>
  <c r="P487" i="2" s="1"/>
  <c r="N487" i="2"/>
  <c r="S487" i="2" s="1"/>
  <c r="M486" i="2"/>
  <c r="P486" i="2" s="1"/>
  <c r="N486" i="2"/>
  <c r="S486" i="2" s="1"/>
  <c r="M485" i="2"/>
  <c r="P485" i="2" s="1"/>
  <c r="N485" i="2"/>
  <c r="S485" i="2" s="1"/>
  <c r="M484" i="2"/>
  <c r="P484" i="2" s="1"/>
  <c r="N484" i="2"/>
  <c r="S484" i="2" s="1"/>
  <c r="M483" i="2"/>
  <c r="P483" i="2" s="1"/>
  <c r="N483" i="2"/>
  <c r="S483" i="2" s="1"/>
  <c r="M482" i="2"/>
  <c r="P482" i="2" s="1"/>
  <c r="N482" i="2"/>
  <c r="S482" i="2" s="1"/>
  <c r="M481" i="2" l="1"/>
  <c r="P481" i="2" s="1"/>
  <c r="N481" i="2"/>
  <c r="S481" i="2" s="1"/>
  <c r="M480" i="2"/>
  <c r="P480" i="2" s="1"/>
  <c r="N480" i="2"/>
  <c r="S480" i="2" s="1"/>
  <c r="M479" i="2"/>
  <c r="P479" i="2" s="1"/>
  <c r="N479" i="2"/>
  <c r="S479" i="2" s="1"/>
  <c r="M478" i="2"/>
  <c r="P478" i="2" s="1"/>
  <c r="N478" i="2"/>
  <c r="S478" i="2" s="1"/>
  <c r="M477" i="2"/>
  <c r="P477" i="2" s="1"/>
  <c r="N477" i="2"/>
  <c r="S477" i="2" s="1"/>
  <c r="M476" i="2"/>
  <c r="P476" i="2" s="1"/>
  <c r="N476" i="2"/>
  <c r="S476" i="2" s="1"/>
  <c r="M475" i="2"/>
  <c r="P475" i="2" s="1"/>
  <c r="N475" i="2"/>
  <c r="S475" i="2" s="1"/>
  <c r="M474" i="2"/>
  <c r="N474" i="2"/>
  <c r="S474" i="2" s="1"/>
  <c r="M473" i="2" l="1"/>
  <c r="P473" i="2" s="1"/>
  <c r="N473" i="2"/>
  <c r="S473" i="2" s="1"/>
  <c r="M472" i="2"/>
  <c r="P472" i="2" s="1"/>
  <c r="N472" i="2"/>
  <c r="S472" i="2" s="1"/>
  <c r="M471" i="2"/>
  <c r="P471" i="2" s="1"/>
  <c r="N471" i="2"/>
  <c r="S471" i="2" s="1"/>
  <c r="M470" i="2"/>
  <c r="P470" i="2" s="1"/>
  <c r="N470" i="2"/>
  <c r="S470" i="2" s="1"/>
  <c r="M469" i="2"/>
  <c r="P469" i="2" s="1"/>
  <c r="N469" i="2"/>
  <c r="S469" i="2" s="1"/>
  <c r="M468" i="2"/>
  <c r="P468" i="2" s="1"/>
  <c r="N468" i="2"/>
  <c r="S468" i="2" s="1"/>
  <c r="M467" i="2"/>
  <c r="P467" i="2" s="1"/>
  <c r="N467" i="2"/>
  <c r="S467" i="2" s="1"/>
  <c r="M466" i="2"/>
  <c r="P466" i="2" s="1"/>
  <c r="N466" i="2"/>
  <c r="S466" i="2" s="1"/>
  <c r="M465" i="2"/>
  <c r="P465" i="2" s="1"/>
  <c r="N465" i="2"/>
  <c r="S465" i="2" s="1"/>
  <c r="M464" i="2"/>
  <c r="N464" i="2"/>
  <c r="S464" i="2" s="1"/>
  <c r="M463" i="2"/>
  <c r="P463" i="2" s="1"/>
  <c r="N463" i="2"/>
  <c r="S463" i="2" s="1"/>
  <c r="M462" i="2"/>
  <c r="P462" i="2" s="1"/>
  <c r="N462" i="2"/>
  <c r="S462" i="2" s="1"/>
  <c r="M461" i="2"/>
  <c r="P461" i="2" s="1"/>
  <c r="N461" i="2"/>
  <c r="S461" i="2" s="1"/>
  <c r="M460" i="2"/>
  <c r="P460" i="2" s="1"/>
  <c r="N460" i="2"/>
  <c r="M459" i="2" l="1"/>
  <c r="P459" i="2" s="1"/>
  <c r="M458" i="2"/>
  <c r="P458" i="2" s="1"/>
  <c r="M457" i="2"/>
  <c r="P457" i="2" s="1"/>
  <c r="M456" i="2"/>
  <c r="P456" i="2" s="1"/>
  <c r="M455" i="2"/>
  <c r="P455" i="2" s="1"/>
  <c r="M454" i="2"/>
  <c r="P454" i="2" s="1"/>
  <c r="M453" i="2" l="1"/>
  <c r="P453" i="2" s="1"/>
  <c r="N453" i="2"/>
  <c r="S453" i="2" s="1"/>
  <c r="M452" i="2"/>
  <c r="P452" i="2" s="1"/>
  <c r="N452" i="2"/>
  <c r="S452" i="2" s="1"/>
  <c r="M451" i="2"/>
  <c r="P451" i="2" s="1"/>
  <c r="N451" i="2"/>
  <c r="S451" i="2" s="1"/>
  <c r="M450" i="2"/>
  <c r="N450" i="2"/>
  <c r="S450" i="2" s="1"/>
  <c r="M449" i="2"/>
  <c r="P449" i="2" s="1"/>
  <c r="N449" i="2"/>
  <c r="S449" i="2" s="1"/>
  <c r="M448" i="2"/>
  <c r="P448" i="2" s="1"/>
  <c r="N448" i="2"/>
  <c r="S448" i="2" s="1"/>
  <c r="M447" i="2"/>
  <c r="P447" i="2" s="1"/>
  <c r="N447" i="2"/>
  <c r="S447" i="2" s="1"/>
  <c r="M446" i="2"/>
  <c r="P446" i="2" s="1"/>
  <c r="N446" i="2"/>
  <c r="S446" i="2" s="1"/>
  <c r="M445" i="2"/>
  <c r="P445" i="2" s="1"/>
  <c r="N445" i="2"/>
  <c r="S445" i="2" s="1"/>
  <c r="M444" i="2"/>
  <c r="P444" i="2" s="1"/>
  <c r="N444" i="2"/>
  <c r="S444" i="2" s="1"/>
  <c r="M443" i="2"/>
  <c r="P443" i="2" s="1"/>
  <c r="N443" i="2"/>
  <c r="S443" i="2" s="1"/>
  <c r="M442" i="2"/>
  <c r="P442" i="2" s="1"/>
  <c r="N442" i="2"/>
  <c r="S442" i="2" s="1"/>
  <c r="N347" i="2"/>
  <c r="M441" i="2"/>
  <c r="P441" i="2" s="1"/>
  <c r="N441" i="2"/>
  <c r="S441" i="2" s="1"/>
  <c r="N440" i="2"/>
  <c r="S440" i="2" s="1"/>
  <c r="M438" i="2"/>
  <c r="P438" i="2" s="1"/>
  <c r="N438" i="2"/>
  <c r="S438" i="2" s="1"/>
  <c r="M439" i="2"/>
  <c r="P439" i="2" s="1"/>
  <c r="N439" i="2"/>
  <c r="S439" i="2" s="1"/>
  <c r="M436" i="2"/>
  <c r="N436" i="2"/>
  <c r="S436" i="2" s="1"/>
  <c r="M437" i="2"/>
  <c r="P437" i="2" s="1"/>
  <c r="N437" i="2"/>
  <c r="S437" i="2" s="1"/>
  <c r="M434" i="2" l="1"/>
  <c r="N434" i="2"/>
  <c r="S434" i="2" s="1"/>
  <c r="M432" i="2"/>
  <c r="N432" i="2"/>
  <c r="S432" i="2" s="1"/>
  <c r="M428" i="2"/>
  <c r="N428" i="2"/>
  <c r="S428" i="2" s="1"/>
  <c r="M435" i="2"/>
  <c r="P435" i="2" s="1"/>
  <c r="N435" i="2"/>
  <c r="S435" i="2" s="1"/>
  <c r="M433" i="2"/>
  <c r="P433" i="2" s="1"/>
  <c r="N433" i="2"/>
  <c r="S433" i="2" s="1"/>
  <c r="M431" i="2"/>
  <c r="P431" i="2" s="1"/>
  <c r="N431" i="2"/>
  <c r="S431" i="2" s="1"/>
  <c r="M430" i="2"/>
  <c r="P430" i="2" s="1"/>
  <c r="N430" i="2"/>
  <c r="S430" i="2" s="1"/>
  <c r="M429" i="2"/>
  <c r="P429" i="2" s="1"/>
  <c r="N429" i="2"/>
  <c r="S429" i="2" s="1"/>
  <c r="M427" i="2"/>
  <c r="P427" i="2" s="1"/>
  <c r="N427" i="2"/>
  <c r="S427" i="2" s="1"/>
  <c r="M426" i="2"/>
  <c r="P426" i="2" s="1"/>
  <c r="N426" i="2"/>
  <c r="S426" i="2" s="1"/>
  <c r="M425" i="2" l="1"/>
  <c r="P425" i="2" s="1"/>
  <c r="N425" i="2"/>
  <c r="S425" i="2" s="1"/>
  <c r="M424" i="2"/>
  <c r="P424" i="2" s="1"/>
  <c r="N424" i="2"/>
  <c r="S424" i="2" s="1"/>
  <c r="N423" i="2"/>
  <c r="S423" i="2" s="1"/>
  <c r="M422" i="2"/>
  <c r="P422" i="2" s="1"/>
  <c r="N422" i="2"/>
  <c r="S422" i="2" s="1"/>
  <c r="M421" i="2"/>
  <c r="N421" i="2"/>
  <c r="S421" i="2" s="1"/>
  <c r="M420" i="2"/>
  <c r="P420" i="2" s="1"/>
  <c r="N420" i="2"/>
  <c r="S420" i="2" s="1"/>
  <c r="M419" i="2"/>
  <c r="P419" i="2" s="1"/>
  <c r="N419" i="2"/>
  <c r="S419" i="2" s="1"/>
  <c r="M418" i="2"/>
  <c r="P418" i="2" s="1"/>
  <c r="N418" i="2"/>
  <c r="S418" i="2" s="1"/>
  <c r="M417" i="2"/>
  <c r="P417" i="2" s="1"/>
  <c r="N417" i="2"/>
  <c r="S417" i="2" s="1"/>
  <c r="M416" i="2"/>
  <c r="P416" i="2" s="1"/>
  <c r="N416" i="2"/>
  <c r="S416" i="2" s="1"/>
  <c r="M415" i="2"/>
  <c r="N415" i="2"/>
  <c r="S415" i="2" s="1"/>
  <c r="O415" i="2"/>
  <c r="M414" i="2"/>
  <c r="N414" i="2"/>
  <c r="S414" i="2" s="1"/>
  <c r="O414" i="2"/>
  <c r="M413" i="2"/>
  <c r="P413" i="2" s="1"/>
  <c r="N413" i="2"/>
  <c r="S413" i="2" s="1"/>
  <c r="M412" i="2"/>
  <c r="P412" i="2" s="1"/>
  <c r="N412" i="2"/>
  <c r="S412" i="2" s="1"/>
  <c r="M411" i="2"/>
  <c r="P411" i="2" s="1"/>
  <c r="N411" i="2"/>
  <c r="S411" i="2" s="1"/>
  <c r="M410" i="2"/>
  <c r="P410" i="2" s="1"/>
  <c r="N410" i="2"/>
  <c r="S410" i="2" s="1"/>
  <c r="P415" i="2" l="1"/>
  <c r="P414" i="2"/>
  <c r="M409" i="2"/>
  <c r="P409" i="2" s="1"/>
  <c r="M408" i="2"/>
  <c r="P408" i="2" s="1"/>
  <c r="M407" i="2"/>
  <c r="P407" i="2" s="1"/>
  <c r="M406" i="2"/>
  <c r="P406" i="2" s="1"/>
  <c r="M405" i="2"/>
  <c r="P405" i="2" s="1"/>
  <c r="M404" i="2"/>
  <c r="P404" i="2" s="1"/>
  <c r="M403" i="2"/>
  <c r="P403" i="2" s="1"/>
  <c r="M402" i="2"/>
  <c r="P402" i="2" s="1"/>
  <c r="M401" i="2"/>
  <c r="P401" i="2" s="1"/>
  <c r="M400" i="2"/>
  <c r="P400" i="2" s="1"/>
  <c r="M399" i="2"/>
  <c r="P399" i="2" s="1"/>
  <c r="M398" i="2"/>
  <c r="P398" i="2" s="1"/>
  <c r="M397" i="2"/>
  <c r="P397" i="2" s="1"/>
  <c r="M396" i="2"/>
  <c r="P396" i="2" s="1"/>
  <c r="M395" i="2"/>
  <c r="P395" i="2" s="1"/>
  <c r="M394" i="2"/>
  <c r="P394" i="2" s="1"/>
  <c r="M393" i="2"/>
  <c r="P393" i="2" s="1"/>
  <c r="M392" i="2"/>
  <c r="P392" i="2" s="1"/>
  <c r="M391" i="2"/>
  <c r="P391" i="2" s="1"/>
  <c r="M390" i="2"/>
  <c r="P390" i="2" s="1"/>
  <c r="M389" i="2"/>
  <c r="P389" i="2" s="1"/>
  <c r="M388" i="2"/>
  <c r="P388" i="2" s="1"/>
  <c r="M387" i="2"/>
  <c r="P387" i="2" s="1"/>
  <c r="M386" i="2"/>
  <c r="P386" i="2" s="1"/>
  <c r="M385" i="2"/>
  <c r="P385" i="2" s="1"/>
  <c r="M384" i="2"/>
  <c r="P384" i="2" s="1"/>
  <c r="M383" i="2"/>
  <c r="P383" i="2" s="1"/>
  <c r="M382" i="2"/>
  <c r="P382" i="2" s="1"/>
  <c r="M381" i="2"/>
  <c r="P381" i="2" s="1"/>
  <c r="M380" i="2"/>
  <c r="P380" i="2" s="1"/>
  <c r="M379" i="2"/>
  <c r="P379" i="2" s="1"/>
  <c r="M378" i="2"/>
  <c r="P378" i="2" s="1"/>
  <c r="M377" i="2"/>
  <c r="P377" i="2" s="1"/>
  <c r="M376" i="2"/>
  <c r="P376" i="2" s="1"/>
  <c r="M375" i="2"/>
  <c r="P375" i="2" s="1"/>
  <c r="M374" i="2"/>
  <c r="P374" i="2" s="1"/>
  <c r="M373" i="2"/>
  <c r="P373" i="2" s="1"/>
  <c r="M372" i="2"/>
  <c r="P372" i="2" s="1"/>
  <c r="M371" i="2"/>
  <c r="P371" i="2" s="1"/>
  <c r="M365" i="2" l="1"/>
  <c r="N365" i="2"/>
  <c r="S365" i="2" s="1"/>
  <c r="M369" i="2"/>
  <c r="N369" i="2"/>
  <c r="S369" i="2" s="1"/>
  <c r="M368" i="2"/>
  <c r="P368" i="2" s="1"/>
  <c r="N368" i="2"/>
  <c r="S368" i="2" s="1"/>
  <c r="M367" i="2"/>
  <c r="N367" i="2"/>
  <c r="S367" i="2" s="1"/>
  <c r="M370" i="2" l="1"/>
  <c r="P370" i="2" s="1"/>
  <c r="N370" i="2"/>
  <c r="M366" i="2"/>
  <c r="P366" i="2" s="1"/>
  <c r="N366" i="2"/>
  <c r="S366" i="2" s="1"/>
  <c r="M362" i="2" l="1"/>
  <c r="P362" i="2" s="1"/>
  <c r="N362" i="2"/>
  <c r="S362" i="2" s="1"/>
  <c r="M364" i="2"/>
  <c r="P364" i="2" s="1"/>
  <c r="N364" i="2"/>
  <c r="S364" i="2" s="1"/>
  <c r="M363" i="2"/>
  <c r="P363" i="2" s="1"/>
  <c r="N363" i="2"/>
  <c r="S363" i="2" s="1"/>
  <c r="M361" i="2"/>
  <c r="P361" i="2" s="1"/>
  <c r="N361" i="2"/>
  <c r="S361" i="2" s="1"/>
  <c r="M360" i="2"/>
  <c r="P360" i="2" s="1"/>
  <c r="N360" i="2"/>
  <c r="S360" i="2" s="1"/>
  <c r="N359" i="2"/>
  <c r="S359" i="2" s="1"/>
  <c r="M352" i="2"/>
  <c r="P352" i="2" s="1"/>
  <c r="N352" i="2"/>
  <c r="S352" i="2" s="1"/>
  <c r="N351" i="2"/>
  <c r="S351" i="2" s="1"/>
  <c r="M358" i="2"/>
  <c r="P358" i="2" s="1"/>
  <c r="N358" i="2"/>
  <c r="S358" i="2" s="1"/>
  <c r="M357" i="2"/>
  <c r="P357" i="2" s="1"/>
  <c r="N357" i="2"/>
  <c r="S357" i="2" s="1"/>
  <c r="M356" i="2"/>
  <c r="P356" i="2" s="1"/>
  <c r="N356" i="2"/>
  <c r="S356" i="2" s="1"/>
  <c r="M355" i="2"/>
  <c r="P355" i="2" s="1"/>
  <c r="N355" i="2"/>
  <c r="S355" i="2" s="1"/>
  <c r="M354" i="2"/>
  <c r="P354" i="2" s="1"/>
  <c r="N354" i="2"/>
  <c r="S354" i="2" s="1"/>
  <c r="M353" i="2"/>
  <c r="P353" i="2" s="1"/>
  <c r="N353" i="2"/>
  <c r="S353" i="2" s="1"/>
  <c r="M350" i="2"/>
  <c r="P350" i="2" s="1"/>
  <c r="N350" i="2"/>
  <c r="S350" i="2" s="1"/>
  <c r="M349" i="2"/>
  <c r="P349" i="2" s="1"/>
  <c r="N349" i="2"/>
  <c r="S349" i="2" s="1"/>
  <c r="M348" i="2"/>
  <c r="P348" i="2" s="1"/>
  <c r="N348" i="2"/>
  <c r="S348" i="2" s="1"/>
  <c r="M346" i="2"/>
  <c r="P346" i="2" s="1"/>
  <c r="N346" i="2"/>
  <c r="S346" i="2" s="1"/>
  <c r="M345" i="2"/>
  <c r="P345" i="2" s="1"/>
  <c r="N345" i="2"/>
  <c r="S345" i="2" s="1"/>
  <c r="M344" i="2"/>
  <c r="P344" i="2" s="1"/>
  <c r="N344" i="2"/>
  <c r="S344" i="2" s="1"/>
  <c r="M343" i="2"/>
  <c r="P343" i="2" s="1"/>
  <c r="N343" i="2"/>
  <c r="S343" i="2" s="1"/>
  <c r="M301" i="2" l="1"/>
  <c r="P301" i="2" s="1"/>
  <c r="N301" i="2"/>
  <c r="S301" i="2" s="1"/>
  <c r="M300" i="2"/>
  <c r="P300" i="2" s="1"/>
  <c r="N300" i="2"/>
  <c r="S300" i="2" s="1"/>
  <c r="M342" i="2"/>
  <c r="P342" i="2" s="1"/>
  <c r="N342" i="2"/>
  <c r="S342" i="2" s="1"/>
  <c r="M341" i="2"/>
  <c r="P341" i="2" s="1"/>
  <c r="N341" i="2"/>
  <c r="S341" i="2" s="1"/>
  <c r="M340" i="2"/>
  <c r="P340" i="2" s="1"/>
  <c r="N340" i="2"/>
  <c r="S340" i="2" s="1"/>
  <c r="M338" i="2"/>
  <c r="P338" i="2" s="1"/>
  <c r="N338" i="2"/>
  <c r="S338" i="2" s="1"/>
  <c r="M337" i="2"/>
  <c r="P337" i="2" s="1"/>
  <c r="N337" i="2"/>
  <c r="S337" i="2" s="1"/>
  <c r="M339" i="2"/>
  <c r="P339" i="2" s="1"/>
  <c r="N339" i="2"/>
  <c r="S339" i="2" s="1"/>
  <c r="M326" i="2"/>
  <c r="P326" i="2" s="1"/>
  <c r="N326" i="2"/>
  <c r="S326" i="2" s="1"/>
  <c r="M333" i="2"/>
  <c r="P333" i="2" s="1"/>
  <c r="N333" i="2"/>
  <c r="S333" i="2" s="1"/>
  <c r="M332" i="2"/>
  <c r="P332" i="2" s="1"/>
  <c r="N332" i="2"/>
  <c r="S332" i="2" s="1"/>
  <c r="M331" i="2"/>
  <c r="P331" i="2" s="1"/>
  <c r="N331" i="2"/>
  <c r="S331" i="2" s="1"/>
  <c r="M336" i="2"/>
  <c r="P336" i="2" s="1"/>
  <c r="N336" i="2"/>
  <c r="S336" i="2" s="1"/>
  <c r="M335" i="2"/>
  <c r="P335" i="2" s="1"/>
  <c r="N335" i="2"/>
  <c r="S335" i="2" s="1"/>
  <c r="M334" i="2"/>
  <c r="P334" i="2" s="1"/>
  <c r="N334" i="2"/>
  <c r="S334" i="2" s="1"/>
  <c r="M330" i="2"/>
  <c r="P330" i="2" s="1"/>
  <c r="N330" i="2"/>
  <c r="S330" i="2" s="1"/>
  <c r="M329" i="2"/>
  <c r="P329" i="2" s="1"/>
  <c r="N329" i="2"/>
  <c r="S329" i="2" s="1"/>
  <c r="M328" i="2"/>
  <c r="P328" i="2" s="1"/>
  <c r="N328" i="2"/>
  <c r="S328" i="2" s="1"/>
  <c r="M327" i="2"/>
  <c r="P327" i="2" s="1"/>
  <c r="N327" i="2"/>
  <c r="S327" i="2" s="1"/>
  <c r="M324" i="2"/>
  <c r="P324" i="2" s="1"/>
  <c r="N324" i="2"/>
  <c r="S324" i="2" s="1"/>
  <c r="M325" i="2"/>
  <c r="P325" i="2" s="1"/>
  <c r="N325" i="2"/>
  <c r="S325" i="2" s="1"/>
  <c r="M323" i="2"/>
  <c r="P323" i="2" s="1"/>
  <c r="N323" i="2"/>
  <c r="S323" i="2" s="1"/>
  <c r="M322" i="2"/>
  <c r="P322" i="2" s="1"/>
  <c r="N322" i="2"/>
  <c r="S322" i="2" s="1"/>
  <c r="M321" i="2"/>
  <c r="P321" i="2" s="1"/>
  <c r="N321" i="2"/>
  <c r="S321" i="2" s="1"/>
  <c r="M320" i="2"/>
  <c r="P320" i="2" s="1"/>
  <c r="N320" i="2"/>
  <c r="S320" i="2" s="1"/>
  <c r="M319" i="2"/>
  <c r="P319" i="2" s="1"/>
  <c r="N319" i="2"/>
  <c r="S319" i="2" s="1"/>
  <c r="M318" i="2"/>
  <c r="P318" i="2" s="1"/>
  <c r="N318" i="2"/>
  <c r="S318" i="2" s="1"/>
  <c r="M317" i="2"/>
  <c r="P317" i="2" s="1"/>
  <c r="N317" i="2"/>
  <c r="S317" i="2" s="1"/>
  <c r="M316" i="2"/>
  <c r="P316" i="2" s="1"/>
  <c r="N316" i="2"/>
  <c r="S316" i="2" s="1"/>
  <c r="M315" i="2"/>
  <c r="P315" i="2" s="1"/>
  <c r="N315" i="2"/>
  <c r="S315" i="2" s="1"/>
  <c r="M314" i="2"/>
  <c r="P314" i="2" s="1"/>
  <c r="N314" i="2"/>
  <c r="S314" i="2" s="1"/>
  <c r="M313" i="2"/>
  <c r="P313" i="2" s="1"/>
  <c r="N313" i="2"/>
  <c r="S313" i="2" s="1"/>
  <c r="M312" i="2"/>
  <c r="P312" i="2" s="1"/>
  <c r="N312" i="2"/>
  <c r="S312" i="2" s="1"/>
  <c r="M311" i="2"/>
  <c r="P311" i="2" s="1"/>
  <c r="N311" i="2"/>
  <c r="S311" i="2" s="1"/>
  <c r="M310" i="2"/>
  <c r="P310" i="2" s="1"/>
  <c r="N310" i="2"/>
  <c r="S310" i="2" s="1"/>
  <c r="M309" i="2"/>
  <c r="P309" i="2" s="1"/>
  <c r="N309" i="2"/>
  <c r="S309" i="2" s="1"/>
  <c r="M308" i="2"/>
  <c r="P308" i="2" s="1"/>
  <c r="N308" i="2"/>
  <c r="S308" i="2" s="1"/>
  <c r="M307" i="2"/>
  <c r="P307" i="2" s="1"/>
  <c r="N307" i="2"/>
  <c r="S307" i="2" s="1"/>
  <c r="M306" i="2"/>
  <c r="P306" i="2" s="1"/>
  <c r="N306" i="2"/>
  <c r="S306" i="2" s="1"/>
  <c r="M305" i="2"/>
  <c r="P305" i="2" s="1"/>
  <c r="N305" i="2"/>
  <c r="S305" i="2" s="1"/>
  <c r="M304" i="2"/>
  <c r="P304" i="2" s="1"/>
  <c r="N304" i="2"/>
  <c r="S304" i="2" s="1"/>
  <c r="M303" i="2"/>
  <c r="P303" i="2" s="1"/>
  <c r="N303" i="2"/>
  <c r="S303" i="2" s="1"/>
  <c r="M302" i="2"/>
  <c r="P302" i="2" s="1"/>
  <c r="N302" i="2"/>
  <c r="S302" i="2" s="1"/>
  <c r="M299" i="2"/>
  <c r="P299" i="2" s="1"/>
  <c r="N299" i="2"/>
  <c r="S299" i="2" s="1"/>
  <c r="M298" i="2"/>
  <c r="P298" i="2" s="1"/>
  <c r="N298" i="2"/>
  <c r="S298" i="2" s="1"/>
  <c r="M297" i="2"/>
  <c r="P297" i="2" s="1"/>
  <c r="N297" i="2"/>
  <c r="S297" i="2" s="1"/>
  <c r="M296" i="2"/>
  <c r="P296" i="2" s="1"/>
  <c r="N296" i="2"/>
  <c r="S296" i="2" s="1"/>
  <c r="M295" i="2" l="1"/>
  <c r="N295" i="2"/>
  <c r="M294" i="2" l="1"/>
  <c r="P294" i="2" s="1"/>
  <c r="N294" i="2"/>
  <c r="S294" i="2" s="1"/>
  <c r="M293" i="2"/>
  <c r="P293" i="2" s="1"/>
  <c r="N293" i="2"/>
  <c r="S293" i="2" s="1"/>
  <c r="M292" i="2"/>
  <c r="P292" i="2" s="1"/>
  <c r="N292" i="2"/>
  <c r="S292" i="2" s="1"/>
  <c r="M289" i="2"/>
  <c r="P289" i="2" s="1"/>
  <c r="N289" i="2"/>
  <c r="S289" i="2" s="1"/>
  <c r="M291" i="2"/>
  <c r="P291" i="2" s="1"/>
  <c r="N291" i="2"/>
  <c r="S291" i="2" s="1"/>
  <c r="M290" i="2"/>
  <c r="P290" i="2" s="1"/>
  <c r="N290" i="2"/>
  <c r="S290" i="2" s="1"/>
  <c r="M288" i="2"/>
  <c r="P288" i="2" s="1"/>
  <c r="N288" i="2"/>
  <c r="S288" i="2" s="1"/>
  <c r="N287" i="2"/>
  <c r="S287" i="2" s="1"/>
  <c r="N286" i="2"/>
  <c r="S286" i="2" s="1"/>
  <c r="N285" i="2"/>
  <c r="S285" i="2" s="1"/>
  <c r="M284" i="2"/>
  <c r="P284" i="2" s="1"/>
  <c r="N284" i="2"/>
  <c r="S284" i="2" s="1"/>
  <c r="M283" i="2"/>
  <c r="P283" i="2" s="1"/>
  <c r="N283" i="2"/>
  <c r="S283" i="2" s="1"/>
  <c r="M282" i="2"/>
  <c r="P282" i="2" s="1"/>
  <c r="N282" i="2"/>
  <c r="S282" i="2" s="1"/>
  <c r="M281" i="2"/>
  <c r="P281" i="2" s="1"/>
  <c r="N281" i="2"/>
  <c r="S281" i="2" s="1"/>
  <c r="M280" i="2"/>
  <c r="P280" i="2" s="1"/>
  <c r="N280" i="2"/>
  <c r="S280" i="2" s="1"/>
  <c r="N279" i="2"/>
  <c r="S279" i="2" s="1"/>
  <c r="P279" i="2"/>
  <c r="N278" i="2"/>
  <c r="S278" i="2" s="1"/>
  <c r="P278" i="2"/>
  <c r="M276" i="2"/>
  <c r="P276" i="2" s="1"/>
  <c r="N276" i="2"/>
  <c r="S276" i="2" s="1"/>
  <c r="M277" i="2"/>
  <c r="P277" i="2" s="1"/>
  <c r="N277" i="2"/>
  <c r="S277" i="2" s="1"/>
  <c r="M275" i="2"/>
  <c r="P275" i="2" s="1"/>
  <c r="N275" i="2"/>
  <c r="S275" i="2" s="1"/>
  <c r="M274" i="2"/>
  <c r="P274" i="2" s="1"/>
  <c r="N274" i="2"/>
  <c r="S274" i="2" s="1"/>
  <c r="M273" i="2"/>
  <c r="P273" i="2" s="1"/>
  <c r="N273" i="2"/>
  <c r="S273" i="2" s="1"/>
  <c r="M272" i="2"/>
  <c r="P272" i="2" s="1"/>
  <c r="N272" i="2"/>
  <c r="S272" i="2" s="1"/>
  <c r="M271" i="2"/>
  <c r="P271" i="2" s="1"/>
  <c r="N271" i="2"/>
  <c r="S271" i="2" s="1"/>
  <c r="M270" i="2"/>
  <c r="P270" i="2" s="1"/>
  <c r="N270" i="2"/>
  <c r="S270" i="2" s="1"/>
  <c r="M269" i="2"/>
  <c r="N269" i="2"/>
  <c r="S269" i="2" s="1"/>
  <c r="M268" i="2"/>
  <c r="P268" i="2" s="1"/>
  <c r="N268" i="2"/>
  <c r="S268" i="2" s="1"/>
  <c r="M267" i="2" l="1"/>
  <c r="N267" i="2"/>
  <c r="S267" i="2" s="1"/>
  <c r="M266" i="2"/>
  <c r="N266" i="2"/>
  <c r="S266" i="2" s="1"/>
  <c r="M265" i="2" l="1"/>
  <c r="P265" i="2" s="1"/>
  <c r="N265" i="2"/>
  <c r="S265" i="2" s="1"/>
  <c r="M264" i="2"/>
  <c r="P264" i="2" s="1"/>
  <c r="N264" i="2"/>
  <c r="S264" i="2" s="1"/>
  <c r="M263" i="2"/>
  <c r="P263" i="2" s="1"/>
  <c r="N263" i="2"/>
  <c r="S263" i="2" s="1"/>
  <c r="M262" i="2"/>
  <c r="P262" i="2" s="1"/>
  <c r="N262" i="2"/>
  <c r="S262" i="2" s="1"/>
  <c r="M261" i="2"/>
  <c r="P261" i="2" s="1"/>
  <c r="N261" i="2"/>
  <c r="S261" i="2" s="1"/>
  <c r="M260" i="2"/>
  <c r="P260" i="2" s="1"/>
  <c r="N260" i="2"/>
  <c r="S260" i="2" s="1"/>
  <c r="M259" i="2"/>
  <c r="P259" i="2" s="1"/>
  <c r="N259" i="2"/>
  <c r="S259" i="2" s="1"/>
  <c r="M258" i="2" l="1"/>
  <c r="P258" i="2" s="1"/>
  <c r="M257" i="2"/>
  <c r="P257" i="2" s="1"/>
  <c r="M256" i="2"/>
  <c r="P256" i="2" s="1"/>
  <c r="M255" i="2"/>
  <c r="P255" i="2" s="1"/>
  <c r="M254" i="2"/>
  <c r="P254" i="2" s="1"/>
  <c r="M253" i="2"/>
  <c r="P253" i="2" s="1"/>
  <c r="M252" i="2"/>
  <c r="P252" i="2" s="1"/>
  <c r="M251" i="2"/>
  <c r="P251" i="2" s="1"/>
  <c r="M250" i="2"/>
  <c r="P250" i="2" s="1"/>
  <c r="M249" i="2"/>
  <c r="P249" i="2" s="1"/>
  <c r="M248" i="2"/>
  <c r="P248" i="2" s="1"/>
  <c r="M247" i="2"/>
  <c r="P247" i="2" s="1"/>
  <c r="M246" i="2"/>
  <c r="P246" i="2" s="1"/>
  <c r="M245" i="2"/>
  <c r="P245" i="2" s="1"/>
  <c r="M244" i="2"/>
  <c r="P244" i="2" s="1"/>
  <c r="M243" i="2"/>
  <c r="P243" i="2" s="1"/>
  <c r="M242" i="2"/>
  <c r="P242" i="2" s="1"/>
  <c r="M241" i="2"/>
  <c r="P241" i="2" s="1"/>
  <c r="M240" i="2"/>
  <c r="P240" i="2" s="1"/>
  <c r="N230" i="2" l="1"/>
  <c r="S230" i="2" s="1"/>
  <c r="M239" i="2" l="1"/>
  <c r="P239" i="2" s="1"/>
  <c r="N239" i="2"/>
  <c r="S239" i="2" s="1"/>
  <c r="M238" i="2"/>
  <c r="P238" i="2" s="1"/>
  <c r="N238" i="2"/>
  <c r="S238" i="2" s="1"/>
  <c r="M237" i="2"/>
  <c r="P237" i="2" s="1"/>
  <c r="N237" i="2"/>
  <c r="S237" i="2" s="1"/>
  <c r="M236" i="2" l="1"/>
  <c r="P236" i="2" s="1"/>
  <c r="N236" i="2"/>
  <c r="S236" i="2" s="1"/>
  <c r="M235" i="2"/>
  <c r="P235" i="2" s="1"/>
  <c r="N235" i="2"/>
  <c r="S235" i="2" s="1"/>
  <c r="M234" i="2"/>
  <c r="P234" i="2" s="1"/>
  <c r="N234" i="2"/>
  <c r="S234" i="2" s="1"/>
  <c r="M233" i="2"/>
  <c r="P233" i="2" s="1"/>
  <c r="N233" i="2"/>
  <c r="S233" i="2" s="1"/>
  <c r="M232" i="2"/>
  <c r="P232" i="2" s="1"/>
  <c r="N232" i="2"/>
  <c r="S232" i="2" s="1"/>
  <c r="M231" i="2"/>
  <c r="P231" i="2" s="1"/>
  <c r="N231" i="2"/>
  <c r="S231" i="2" s="1"/>
  <c r="M229" i="2" l="1"/>
  <c r="P229" i="2" s="1"/>
  <c r="N229" i="2"/>
  <c r="S229" i="2" s="1"/>
  <c r="M227" i="2"/>
  <c r="P227" i="2" s="1"/>
  <c r="N227" i="2"/>
  <c r="S227" i="2" s="1"/>
  <c r="M228" i="2"/>
  <c r="P228" i="2" s="1"/>
  <c r="N228" i="2"/>
  <c r="S228" i="2" s="1"/>
  <c r="M225" i="2"/>
  <c r="P225" i="2" s="1"/>
  <c r="N225" i="2"/>
  <c r="S225" i="2" s="1"/>
  <c r="M226" i="2"/>
  <c r="P226" i="2" s="1"/>
  <c r="N226" i="2"/>
  <c r="S226" i="2" s="1"/>
  <c r="M223" i="2"/>
  <c r="P223" i="2" s="1"/>
  <c r="N223" i="2"/>
  <c r="S223" i="2" s="1"/>
  <c r="M224" i="2"/>
  <c r="P224" i="2" s="1"/>
  <c r="N224" i="2"/>
  <c r="S224" i="2" s="1"/>
  <c r="M222" i="2" l="1"/>
  <c r="P222" i="2" s="1"/>
  <c r="N222" i="2"/>
  <c r="S222" i="2" s="1"/>
  <c r="M221" i="2"/>
  <c r="P221" i="2" s="1"/>
  <c r="N221" i="2"/>
  <c r="S221" i="2" s="1"/>
  <c r="M219" i="2"/>
  <c r="P219" i="2" s="1"/>
  <c r="N219" i="2"/>
  <c r="S219" i="2" s="1"/>
  <c r="M220" i="2"/>
  <c r="P220" i="2" s="1"/>
  <c r="N220" i="2"/>
  <c r="S220" i="2" s="1"/>
  <c r="M217" i="2"/>
  <c r="P217" i="2" s="1"/>
  <c r="N217" i="2"/>
  <c r="S217" i="2" s="1"/>
  <c r="M218" i="2"/>
  <c r="P218" i="2" s="1"/>
  <c r="N218" i="2"/>
  <c r="S218" i="2" s="1"/>
  <c r="M215" i="2"/>
  <c r="P215" i="2" s="1"/>
  <c r="N215" i="2"/>
  <c r="S215" i="2" s="1"/>
  <c r="M216" i="2"/>
  <c r="P216" i="2" s="1"/>
  <c r="N216" i="2"/>
  <c r="S216" i="2" s="1"/>
  <c r="M214" i="2"/>
  <c r="P214" i="2" s="1"/>
  <c r="N214" i="2"/>
  <c r="S214" i="2" s="1"/>
  <c r="M213" i="2"/>
  <c r="P213" i="2" s="1"/>
  <c r="N213" i="2"/>
  <c r="S213" i="2" s="1"/>
  <c r="M212" i="2" l="1"/>
  <c r="P212" i="2" s="1"/>
  <c r="N212" i="2"/>
  <c r="S212" i="2" s="1"/>
  <c r="M211" i="2"/>
  <c r="P211" i="2" s="1"/>
  <c r="N211" i="2"/>
  <c r="S211" i="2" s="1"/>
  <c r="M209" i="2"/>
  <c r="P209" i="2" s="1"/>
  <c r="N209" i="2"/>
  <c r="S209" i="2" s="1"/>
  <c r="M210" i="2"/>
  <c r="P210" i="2" s="1"/>
  <c r="N210" i="2"/>
  <c r="S210" i="2" s="1"/>
  <c r="M208" i="2"/>
  <c r="P208" i="2" s="1"/>
  <c r="N208" i="2"/>
  <c r="S208" i="2" s="1"/>
  <c r="M207" i="2"/>
  <c r="P207" i="2" s="1"/>
  <c r="N207" i="2"/>
  <c r="S207" i="2" s="1"/>
  <c r="M204" i="2"/>
  <c r="P204" i="2" s="1"/>
  <c r="N204" i="2"/>
  <c r="S204" i="2" s="1"/>
  <c r="M205" i="2"/>
  <c r="P205" i="2" s="1"/>
  <c r="N205" i="2"/>
  <c r="S205" i="2" s="1"/>
  <c r="M206" i="2"/>
  <c r="P206" i="2" s="1"/>
  <c r="N206" i="2"/>
  <c r="S206" i="2" s="1"/>
  <c r="M203" i="2"/>
  <c r="P203" i="2" s="1"/>
  <c r="N203" i="2"/>
  <c r="S203" i="2" s="1"/>
  <c r="M202" i="2"/>
  <c r="P202" i="2" s="1"/>
  <c r="N202" i="2"/>
  <c r="S202" i="2" s="1"/>
  <c r="M201" i="2"/>
  <c r="P201" i="2" s="1"/>
  <c r="N201" i="2"/>
  <c r="S201" i="2" s="1"/>
  <c r="M199" i="2"/>
  <c r="P199" i="2" s="1"/>
  <c r="N199" i="2"/>
  <c r="S199" i="2" s="1"/>
  <c r="M200" i="2"/>
  <c r="P200" i="2" s="1"/>
  <c r="N200" i="2"/>
  <c r="S200" i="2" s="1"/>
  <c r="M197" i="2"/>
  <c r="P197" i="2" s="1"/>
  <c r="N197" i="2"/>
  <c r="S197" i="2" s="1"/>
  <c r="M198" i="2"/>
  <c r="P198" i="2" s="1"/>
  <c r="N198" i="2"/>
  <c r="S198" i="2" s="1"/>
  <c r="N195" i="2"/>
  <c r="S195" i="2" s="1"/>
  <c r="M196" i="2"/>
  <c r="P196" i="2" s="1"/>
  <c r="N196" i="2"/>
  <c r="S196" i="2" s="1"/>
  <c r="M193" i="2"/>
  <c r="P193" i="2" s="1"/>
  <c r="N193" i="2"/>
  <c r="S193" i="2" s="1"/>
  <c r="M194" i="2"/>
  <c r="P194" i="2" s="1"/>
  <c r="N194" i="2"/>
  <c r="S194" i="2" s="1"/>
  <c r="M191" i="2"/>
  <c r="P191" i="2" s="1"/>
  <c r="N191" i="2"/>
  <c r="S191" i="2" s="1"/>
  <c r="M192" i="2"/>
  <c r="P192" i="2" s="1"/>
  <c r="N192" i="2"/>
  <c r="S192" i="2" s="1"/>
  <c r="M190" i="2"/>
  <c r="P190" i="2" s="1"/>
  <c r="N190" i="2"/>
  <c r="S190" i="2" s="1"/>
  <c r="N189" i="2"/>
  <c r="S189" i="2" s="1"/>
  <c r="P189" i="2"/>
  <c r="N188" i="2"/>
  <c r="S188" i="2" s="1"/>
  <c r="P188" i="2"/>
  <c r="N187" i="2"/>
  <c r="S187" i="2" s="1"/>
  <c r="P187" i="2"/>
  <c r="M185" i="2"/>
  <c r="P185" i="2" s="1"/>
  <c r="N185" i="2"/>
  <c r="S185" i="2" s="1"/>
  <c r="M186" i="2"/>
  <c r="P186" i="2" s="1"/>
  <c r="N186" i="2"/>
  <c r="S186" i="2" s="1"/>
  <c r="M184" i="2"/>
  <c r="P184" i="2" s="1"/>
  <c r="N184" i="2"/>
  <c r="S184" i="2" s="1"/>
  <c r="M182" i="2"/>
  <c r="P182" i="2" s="1"/>
  <c r="N182" i="2"/>
  <c r="S182" i="2" s="1"/>
  <c r="M183" i="2"/>
  <c r="P183" i="2" s="1"/>
  <c r="N183" i="2"/>
  <c r="S183" i="2" s="1"/>
  <c r="M181" i="2" l="1"/>
  <c r="P181" i="2" s="1"/>
  <c r="N181" i="2"/>
  <c r="S181" i="2" s="1"/>
  <c r="M180" i="2"/>
  <c r="P180" i="2" s="1"/>
  <c r="N180" i="2"/>
  <c r="S180" i="2" s="1"/>
  <c r="M179" i="2"/>
  <c r="P179" i="2" s="1"/>
  <c r="N179" i="2"/>
  <c r="S179" i="2" s="1"/>
  <c r="M177" i="2"/>
  <c r="P177" i="2" s="1"/>
  <c r="N177" i="2"/>
  <c r="S177" i="2" s="1"/>
  <c r="M178" i="2"/>
  <c r="P178" i="2" s="1"/>
  <c r="N178" i="2"/>
  <c r="S178" i="2" s="1"/>
  <c r="M175" i="2"/>
  <c r="P175" i="2" s="1"/>
  <c r="N175" i="2"/>
  <c r="S175" i="2" s="1"/>
  <c r="M176" i="2"/>
  <c r="P176" i="2" s="1"/>
  <c r="N176" i="2"/>
  <c r="S176" i="2" s="1"/>
  <c r="M174" i="2"/>
  <c r="P174" i="2" s="1"/>
  <c r="N174" i="2"/>
  <c r="S174" i="2" s="1"/>
  <c r="M173" i="2"/>
  <c r="P173" i="2" s="1"/>
  <c r="N173" i="2"/>
  <c r="S173" i="2" s="1"/>
  <c r="M172" i="2"/>
  <c r="P172" i="2" s="1"/>
  <c r="N172" i="2"/>
  <c r="S172" i="2" s="1"/>
  <c r="M170" i="2"/>
  <c r="P170" i="2" s="1"/>
  <c r="N170" i="2"/>
  <c r="S170" i="2" s="1"/>
  <c r="M171" i="2"/>
  <c r="P171" i="2" s="1"/>
  <c r="N171" i="2"/>
  <c r="S171" i="2" s="1"/>
  <c r="M169" i="2"/>
  <c r="P169" i="2" s="1"/>
  <c r="N169" i="2"/>
  <c r="S169" i="2" s="1"/>
  <c r="M168" i="2"/>
  <c r="P168" i="2" s="1"/>
  <c r="N168" i="2"/>
  <c r="S168" i="2" s="1"/>
  <c r="M167" i="2"/>
  <c r="P167" i="2" s="1"/>
  <c r="N167" i="2"/>
  <c r="S167" i="2" s="1"/>
  <c r="M160" i="2" l="1"/>
  <c r="P160" i="2" s="1"/>
  <c r="N160" i="2"/>
  <c r="S160" i="2" s="1"/>
  <c r="N166" i="2" l="1"/>
  <c r="S166" i="2" s="1"/>
  <c r="M166" i="2"/>
  <c r="P166" i="2" s="1"/>
  <c r="M161" i="2"/>
  <c r="P161" i="2" s="1"/>
  <c r="N161" i="2"/>
  <c r="S161" i="2" s="1"/>
  <c r="M165" i="2"/>
  <c r="P165" i="2" s="1"/>
  <c r="N165" i="2"/>
  <c r="S165" i="2" s="1"/>
  <c r="M164" i="2"/>
  <c r="N164" i="2"/>
  <c r="S164" i="2" s="1"/>
  <c r="M163" i="2"/>
  <c r="P163" i="2" s="1"/>
  <c r="N163" i="2"/>
  <c r="S163" i="2" s="1"/>
  <c r="M157" i="2"/>
  <c r="P157" i="2" s="1"/>
  <c r="N157" i="2"/>
  <c r="S157" i="2" s="1"/>
  <c r="M156" i="2"/>
  <c r="P156" i="2" s="1"/>
  <c r="N156" i="2"/>
  <c r="S156" i="2" s="1"/>
  <c r="M162" i="2"/>
  <c r="P162" i="2" s="1"/>
  <c r="N162" i="2"/>
  <c r="S162" i="2" s="1"/>
  <c r="M159" i="2"/>
  <c r="P159" i="2" s="1"/>
  <c r="N159" i="2"/>
  <c r="S159" i="2" s="1"/>
  <c r="M158" i="2"/>
  <c r="P158" i="2" s="1"/>
  <c r="N158" i="2"/>
  <c r="S158" i="2" s="1"/>
  <c r="M155" i="2" l="1"/>
  <c r="P155" i="2" s="1"/>
  <c r="M154" i="2"/>
  <c r="P154" i="2" s="1"/>
  <c r="M153" i="2"/>
  <c r="P153" i="2" s="1"/>
  <c r="M152" i="2"/>
  <c r="P152" i="2" s="1"/>
  <c r="M151" i="2"/>
  <c r="P151" i="2" s="1"/>
  <c r="M150" i="2"/>
  <c r="P150" i="2" s="1"/>
  <c r="M149" i="2"/>
  <c r="P149" i="2" s="1"/>
  <c r="M148" i="2"/>
  <c r="P148" i="2" s="1"/>
  <c r="M147" i="2"/>
  <c r="P147" i="2" s="1"/>
  <c r="M146" i="2"/>
  <c r="P146" i="2" s="1"/>
  <c r="M145" i="2"/>
  <c r="P145" i="2" s="1"/>
  <c r="M144" i="2"/>
  <c r="P144" i="2" s="1"/>
  <c r="M143" i="2"/>
  <c r="P143" i="2" s="1"/>
  <c r="M142" i="2"/>
  <c r="P142" i="2" s="1"/>
  <c r="M141" i="2"/>
  <c r="P141" i="2" s="1"/>
  <c r="M139" i="2"/>
  <c r="P139" i="2" s="1"/>
  <c r="M140" i="2"/>
  <c r="P140" i="2" s="1"/>
  <c r="M136" i="2"/>
  <c r="P136" i="2" s="1"/>
  <c r="M137" i="2"/>
  <c r="P137" i="2" s="1"/>
  <c r="M135" i="2"/>
  <c r="P135" i="2" s="1"/>
  <c r="M138" i="2"/>
  <c r="P138" i="2" s="1"/>
  <c r="M134" i="2"/>
  <c r="P134" i="2" s="1"/>
  <c r="M133" i="2"/>
  <c r="P133" i="2" s="1"/>
  <c r="M132" i="2"/>
  <c r="P132" i="2" s="1"/>
  <c r="M130" i="2"/>
  <c r="P130" i="2" s="1"/>
  <c r="M131" i="2"/>
  <c r="P131" i="2" s="1"/>
  <c r="M129" i="2"/>
  <c r="P129" i="2" s="1"/>
  <c r="M128" i="2"/>
  <c r="P128" i="2" s="1"/>
  <c r="M127" i="2"/>
  <c r="P127" i="2" s="1"/>
  <c r="M126" i="2"/>
  <c r="P126" i="2" s="1"/>
  <c r="M125" i="2"/>
  <c r="P125" i="2" s="1"/>
  <c r="M124" i="2"/>
  <c r="P124" i="2" s="1"/>
  <c r="M123" i="2"/>
  <c r="P123" i="2" s="1"/>
  <c r="M121" i="2"/>
  <c r="P121" i="2" s="1"/>
  <c r="M122" i="2"/>
  <c r="P122" i="2" s="1"/>
  <c r="M120" i="2"/>
  <c r="P120" i="2" s="1"/>
  <c r="M119" i="2"/>
  <c r="P119" i="2" s="1"/>
  <c r="N118" i="2" l="1"/>
  <c r="S118" i="2" s="1"/>
  <c r="M118" i="2"/>
  <c r="P118" i="2" s="1"/>
  <c r="N117" i="2"/>
  <c r="S117" i="2" s="1"/>
  <c r="M117" i="2"/>
  <c r="P117" i="2" s="1"/>
  <c r="N116" i="2"/>
  <c r="S116" i="2" s="1"/>
  <c r="M116" i="2"/>
  <c r="P116" i="2" s="1"/>
  <c r="N115" i="2"/>
  <c r="S115" i="2" s="1"/>
  <c r="M115" i="2"/>
  <c r="P115" i="2" s="1"/>
  <c r="N114" i="2"/>
  <c r="S114" i="2" s="1"/>
  <c r="M114" i="2"/>
  <c r="P114" i="2" s="1"/>
  <c r="N113" i="2"/>
  <c r="S113" i="2" s="1"/>
  <c r="M113" i="2"/>
  <c r="P113" i="2" s="1"/>
  <c r="N112" i="2"/>
  <c r="S112" i="2" s="1"/>
  <c r="M112" i="2"/>
  <c r="P112" i="2" s="1"/>
  <c r="N111" i="2"/>
  <c r="S111" i="2" s="1"/>
  <c r="M111" i="2"/>
  <c r="P111" i="2" s="1"/>
  <c r="N110" i="2"/>
  <c r="S110" i="2" s="1"/>
  <c r="M110" i="2"/>
  <c r="P110" i="2" s="1"/>
  <c r="N109" i="2"/>
  <c r="S109" i="2" s="1"/>
  <c r="M109" i="2"/>
  <c r="P109" i="2" s="1"/>
  <c r="N108" i="2"/>
  <c r="S108" i="2" s="1"/>
  <c r="M108" i="2"/>
  <c r="M107" i="2"/>
  <c r="P107" i="2" s="1"/>
  <c r="N107" i="2"/>
  <c r="S107" i="2" s="1"/>
  <c r="M106" i="2"/>
  <c r="P106" i="2" s="1"/>
  <c r="N106" i="2"/>
  <c r="S106" i="2" s="1"/>
  <c r="M105" i="2"/>
  <c r="P105" i="2" s="1"/>
  <c r="N105" i="2"/>
  <c r="S105" i="2" s="1"/>
  <c r="M104" i="2"/>
  <c r="P104" i="2" s="1"/>
  <c r="N104" i="2"/>
  <c r="S104" i="2" s="1"/>
  <c r="N103" i="2"/>
  <c r="S103" i="2" s="1"/>
  <c r="M103" i="2"/>
  <c r="P103" i="2" s="1"/>
  <c r="M88" i="2" l="1"/>
  <c r="P88" i="2" s="1"/>
  <c r="M87" i="2"/>
  <c r="P87" i="2" s="1"/>
  <c r="M86" i="2"/>
  <c r="P86" i="2" s="1"/>
  <c r="M85" i="2"/>
  <c r="P85" i="2" s="1"/>
  <c r="M84" i="2"/>
  <c r="P84" i="2" s="1"/>
  <c r="M83" i="2"/>
  <c r="P83" i="2" s="1"/>
  <c r="M82" i="2"/>
  <c r="P82" i="2" s="1"/>
  <c r="M81" i="2"/>
  <c r="P81" i="2" s="1"/>
  <c r="M80" i="2"/>
  <c r="P80" i="2" s="1"/>
  <c r="M79" i="2"/>
  <c r="P79" i="2" s="1"/>
  <c r="M78" i="2"/>
  <c r="P78" i="2" s="1"/>
  <c r="M77" i="2"/>
  <c r="P77" i="2" s="1"/>
  <c r="M76" i="2"/>
  <c r="P76" i="2" s="1"/>
  <c r="M75" i="2"/>
  <c r="P75" i="2" s="1"/>
  <c r="M74" i="2"/>
  <c r="P74" i="2" s="1"/>
  <c r="M73" i="2"/>
  <c r="P73" i="2" s="1"/>
  <c r="M72" i="2"/>
  <c r="P72" i="2" s="1"/>
  <c r="M71" i="2"/>
  <c r="P71" i="2" s="1"/>
  <c r="M70" i="2"/>
  <c r="P70" i="2" s="1"/>
  <c r="M102" i="2" l="1"/>
  <c r="P102" i="2" s="1"/>
  <c r="N102" i="2"/>
  <c r="S102" i="2" s="1"/>
  <c r="M101" i="2"/>
  <c r="P101" i="2" s="1"/>
  <c r="N101" i="2"/>
  <c r="S101" i="2" s="1"/>
  <c r="M100" i="2"/>
  <c r="P100" i="2" s="1"/>
  <c r="N100" i="2"/>
  <c r="S100" i="2" s="1"/>
  <c r="M99" i="2"/>
  <c r="P99" i="2" s="1"/>
  <c r="N99" i="2"/>
  <c r="S99" i="2" s="1"/>
  <c r="M98" i="2"/>
  <c r="P98" i="2" s="1"/>
  <c r="N98" i="2"/>
  <c r="S98" i="2" s="1"/>
  <c r="M97" i="2"/>
  <c r="P97" i="2" s="1"/>
  <c r="N97" i="2"/>
  <c r="S97" i="2" s="1"/>
  <c r="M96" i="2" l="1"/>
  <c r="P96" i="2" s="1"/>
  <c r="N96" i="2"/>
  <c r="S96" i="2" s="1"/>
  <c r="M95" i="2"/>
  <c r="P95" i="2" s="1"/>
  <c r="N95" i="2"/>
  <c r="S95" i="2" s="1"/>
  <c r="M94" i="2"/>
  <c r="P94" i="2" s="1"/>
  <c r="N94" i="2"/>
  <c r="S94" i="2" s="1"/>
  <c r="M93" i="2"/>
  <c r="P93" i="2" s="1"/>
  <c r="N93" i="2"/>
  <c r="S93" i="2" s="1"/>
  <c r="M92" i="2"/>
  <c r="P92" i="2" s="1"/>
  <c r="N92" i="2"/>
  <c r="S92" i="2" s="1"/>
  <c r="M91" i="2"/>
  <c r="P91" i="2" s="1"/>
  <c r="N91" i="2"/>
  <c r="S91" i="2" s="1"/>
  <c r="M90" i="2"/>
  <c r="P90" i="2" s="1"/>
  <c r="N90" i="2"/>
  <c r="S90" i="2" s="1"/>
  <c r="M89" i="2"/>
  <c r="P89" i="2" s="1"/>
  <c r="N89" i="2"/>
  <c r="S89" i="2" s="1"/>
  <c r="N69" i="2" l="1"/>
  <c r="S69" i="2" s="1"/>
  <c r="M68" i="2" l="1"/>
  <c r="P68" i="2" s="1"/>
  <c r="N68" i="2"/>
  <c r="S68" i="2" s="1"/>
  <c r="M67" i="2"/>
  <c r="P67" i="2" s="1"/>
  <c r="N67" i="2"/>
  <c r="S67" i="2" s="1"/>
  <c r="M66" i="2"/>
  <c r="P66" i="2" s="1"/>
  <c r="N66" i="2"/>
  <c r="S66" i="2" s="1"/>
  <c r="M65" i="2"/>
  <c r="P65" i="2" s="1"/>
  <c r="N65" i="2"/>
  <c r="S65" i="2" s="1"/>
  <c r="M64" i="2" l="1"/>
  <c r="P64" i="2" s="1"/>
  <c r="M63" i="2"/>
  <c r="P63" i="2" s="1"/>
  <c r="M62" i="2"/>
  <c r="P62" i="2" s="1"/>
  <c r="M61" i="2"/>
  <c r="P61" i="2" s="1"/>
  <c r="M60" i="2"/>
  <c r="P60" i="2" s="1"/>
  <c r="M59" i="2"/>
  <c r="P59" i="2" s="1"/>
  <c r="M58" i="2"/>
  <c r="P58" i="2" s="1"/>
  <c r="M57" i="2"/>
  <c r="P57" i="2" s="1"/>
  <c r="M56" i="2" l="1"/>
  <c r="P56" i="2" s="1"/>
  <c r="N56" i="2"/>
  <c r="S56" i="2" s="1"/>
  <c r="M55" i="2"/>
  <c r="P55" i="2" s="1"/>
  <c r="N55" i="2"/>
  <c r="S55" i="2" s="1"/>
  <c r="M54" i="2"/>
  <c r="P54" i="2" s="1"/>
  <c r="N54" i="2"/>
  <c r="S54" i="2" s="1"/>
  <c r="M53" i="2"/>
  <c r="P53" i="2" s="1"/>
  <c r="N53" i="2"/>
  <c r="S53" i="2" s="1"/>
  <c r="M52" i="2"/>
  <c r="P52" i="2" s="1"/>
  <c r="N52" i="2"/>
  <c r="S52" i="2" s="1"/>
  <c r="M51" i="2"/>
  <c r="P51" i="2" s="1"/>
  <c r="N51" i="2"/>
  <c r="S51" i="2" s="1"/>
  <c r="M50" i="2"/>
  <c r="P50" i="2" s="1"/>
  <c r="N50" i="2"/>
  <c r="S50" i="2" s="1"/>
  <c r="M49" i="2"/>
  <c r="P49" i="2" s="1"/>
  <c r="N49" i="2"/>
  <c r="S49" i="2" s="1"/>
  <c r="M45" i="2"/>
  <c r="P45" i="2" s="1"/>
  <c r="N45" i="2"/>
  <c r="S45" i="2" s="1"/>
  <c r="N44" i="2"/>
  <c r="S44" i="2" s="1"/>
  <c r="M48" i="2"/>
  <c r="P48" i="2" s="1"/>
  <c r="N48" i="2"/>
  <c r="S48" i="2" s="1"/>
  <c r="M47" i="2"/>
  <c r="P47" i="2" s="1"/>
  <c r="N47" i="2"/>
  <c r="S47" i="2" s="1"/>
  <c r="M46" i="2"/>
  <c r="P46" i="2" s="1"/>
  <c r="N46" i="2"/>
  <c r="S46" i="2" s="1"/>
  <c r="M43" i="2"/>
  <c r="P43" i="2" s="1"/>
  <c r="N43" i="2"/>
  <c r="S43" i="2" s="1"/>
  <c r="M42" i="2"/>
  <c r="P42" i="2" s="1"/>
  <c r="N42" i="2"/>
  <c r="S42" i="2" s="1"/>
  <c r="N41" i="2"/>
  <c r="S41" i="2" s="1"/>
  <c r="M40" i="2"/>
  <c r="P40" i="2" s="1"/>
  <c r="N40" i="2"/>
  <c r="S40" i="2" s="1"/>
  <c r="M39" i="2"/>
  <c r="P39" i="2" s="1"/>
  <c r="N39" i="2"/>
  <c r="S39" i="2" s="1"/>
  <c r="M38" i="2"/>
  <c r="P38" i="2" s="1"/>
  <c r="N38" i="2"/>
  <c r="S38" i="2" s="1"/>
  <c r="M37" i="2"/>
  <c r="P37" i="2" s="1"/>
  <c r="N37" i="2"/>
  <c r="S37" i="2" s="1"/>
  <c r="M36" i="2"/>
  <c r="P36" i="2" s="1"/>
  <c r="N36" i="2"/>
  <c r="S36" i="2" s="1"/>
  <c r="M35" i="2"/>
  <c r="P35" i="2" s="1"/>
  <c r="N35" i="2"/>
  <c r="S35" i="2" s="1"/>
  <c r="M34" i="2"/>
  <c r="P34" i="2" s="1"/>
  <c r="N34" i="2"/>
  <c r="S34" i="2" s="1"/>
  <c r="M33" i="2"/>
  <c r="P33" i="2" s="1"/>
  <c r="N33" i="2"/>
  <c r="S33" i="2" s="1"/>
  <c r="M32" i="2"/>
  <c r="P32" i="2" s="1"/>
  <c r="N32" i="2"/>
  <c r="S32" i="2" s="1"/>
  <c r="M31" i="2"/>
  <c r="P31" i="2" s="1"/>
  <c r="N31" i="2"/>
  <c r="S31" i="2" s="1"/>
  <c r="M30" i="2" l="1"/>
  <c r="P30" i="2" s="1"/>
  <c r="N30" i="2"/>
  <c r="S30" i="2" s="1"/>
  <c r="M29" i="2"/>
  <c r="P29" i="2" s="1"/>
  <c r="N29" i="2"/>
  <c r="S29" i="2" s="1"/>
  <c r="M28" i="2"/>
  <c r="P28" i="2" s="1"/>
  <c r="N28" i="2"/>
  <c r="S28" i="2" s="1"/>
  <c r="M27" i="2"/>
  <c r="P27" i="2" s="1"/>
  <c r="N27" i="2"/>
  <c r="S27" i="2" s="1"/>
  <c r="M26" i="2"/>
  <c r="P26" i="2" s="1"/>
  <c r="N26" i="2"/>
  <c r="S26" i="2" s="1"/>
  <c r="M25" i="2"/>
  <c r="P25" i="2" s="1"/>
  <c r="N25" i="2"/>
  <c r="S25" i="2" s="1"/>
  <c r="M24" i="2"/>
  <c r="P24" i="2" s="1"/>
  <c r="N24" i="2"/>
  <c r="S24" i="2" s="1"/>
  <c r="M23" i="2"/>
  <c r="P23" i="2" s="1"/>
  <c r="N23" i="2"/>
  <c r="S23" i="2" s="1"/>
  <c r="M17" i="2"/>
  <c r="P17" i="2" s="1"/>
  <c r="N17" i="2"/>
  <c r="S17" i="2" s="1"/>
  <c r="M20" i="2"/>
  <c r="P20" i="2" s="1"/>
  <c r="N20" i="2"/>
  <c r="S20" i="2" s="1"/>
  <c r="M22" i="2"/>
  <c r="P22" i="2" s="1"/>
  <c r="N22" i="2"/>
  <c r="S22" i="2" s="1"/>
  <c r="M21" i="2"/>
  <c r="P21" i="2" s="1"/>
  <c r="N21" i="2"/>
  <c r="S21" i="2" s="1"/>
  <c r="M19" i="2"/>
  <c r="P19" i="2" s="1"/>
  <c r="N19" i="2"/>
  <c r="S19" i="2" s="1"/>
  <c r="M18" i="2"/>
  <c r="P18" i="2" s="1"/>
  <c r="N18" i="2"/>
  <c r="S18" i="2" s="1"/>
  <c r="M16" i="2"/>
  <c r="P16" i="2" s="1"/>
  <c r="N16" i="2"/>
  <c r="S16" i="2" s="1"/>
  <c r="M15" i="2"/>
  <c r="P15" i="2" s="1"/>
  <c r="N15" i="2"/>
  <c r="S15" i="2" s="1"/>
  <c r="M14" i="2"/>
  <c r="P14" i="2" s="1"/>
  <c r="N14" i="2"/>
  <c r="S14" i="2" s="1"/>
  <c r="M13" i="2"/>
  <c r="P13" i="2" s="1"/>
  <c r="N13" i="2"/>
  <c r="S13" i="2" s="1"/>
  <c r="M12" i="2"/>
  <c r="P12" i="2" s="1"/>
  <c r="N12" i="2"/>
  <c r="S12" i="2" s="1"/>
  <c r="M11" i="2"/>
  <c r="P11" i="2" s="1"/>
  <c r="N11" i="2"/>
  <c r="S11" i="2" s="1"/>
  <c r="M10" i="2"/>
  <c r="P10" i="2" s="1"/>
  <c r="N10" i="2"/>
  <c r="S10" i="2" s="1"/>
  <c r="M9" i="2"/>
  <c r="P9" i="2" s="1"/>
  <c r="N9" i="2"/>
  <c r="S9" i="2" s="1"/>
  <c r="M8" i="2"/>
  <c r="P8" i="2" s="1"/>
  <c r="N8" i="2"/>
  <c r="S8" i="2" s="1"/>
  <c r="N7" i="2"/>
  <c r="S7" i="2" s="1"/>
  <c r="M6" i="2"/>
  <c r="P6" i="2" s="1"/>
  <c r="N6" i="2"/>
  <c r="S6" i="2" s="1"/>
  <c r="M5" i="2"/>
  <c r="P5" i="2" s="1"/>
  <c r="N5" i="2"/>
  <c r="S5" i="2" s="1"/>
  <c r="M4" i="2"/>
  <c r="P4" i="2" s="1"/>
  <c r="N4" i="2"/>
  <c r="S4" i="2" s="1"/>
  <c r="M3" i="2"/>
  <c r="P3" i="2" s="1"/>
  <c r="N3" i="2"/>
  <c r="S3" i="2" s="1"/>
</calcChain>
</file>

<file path=xl/sharedStrings.xml><?xml version="1.0" encoding="utf-8"?>
<sst xmlns="http://schemas.openxmlformats.org/spreadsheetml/2006/main" count="6890" uniqueCount="941">
  <si>
    <t>Entry date</t>
  </si>
  <si>
    <t>Bill date</t>
  </si>
  <si>
    <t>Bill No</t>
  </si>
  <si>
    <t>Vendor Name</t>
  </si>
  <si>
    <t>Material</t>
  </si>
  <si>
    <t>Bill Amt</t>
  </si>
  <si>
    <t>Sr No</t>
  </si>
  <si>
    <t>Plant</t>
  </si>
  <si>
    <t>RBDPS</t>
  </si>
  <si>
    <t>Bill Qty (MT)</t>
  </si>
  <si>
    <t>Act Qty (MT)</t>
  </si>
  <si>
    <t>GR Date</t>
  </si>
  <si>
    <t>Due Date</t>
  </si>
  <si>
    <t>Pay weight</t>
  </si>
  <si>
    <t>Payable</t>
  </si>
  <si>
    <t>Siddharth Oil</t>
  </si>
  <si>
    <t>PFAD</t>
  </si>
  <si>
    <t>JD Trading Co.</t>
  </si>
  <si>
    <t>Punjab Oils</t>
  </si>
  <si>
    <t>PO</t>
  </si>
  <si>
    <t>RPKO</t>
  </si>
  <si>
    <t>Payment done</t>
  </si>
  <si>
    <t>RPO</t>
  </si>
  <si>
    <t>Godrej Industries Ltd</t>
  </si>
  <si>
    <t>Lok Nath Varinder Kumar Impex ltd</t>
  </si>
  <si>
    <t>Netaji Oil Depot</t>
  </si>
  <si>
    <t>Maheshwari Global Industries Pvt. Ltd.</t>
  </si>
  <si>
    <t>Harkarandas Vedpal</t>
  </si>
  <si>
    <t>Shree Ganpati Enterprises</t>
  </si>
  <si>
    <t>Deepchand Arya Industries</t>
  </si>
  <si>
    <t>Ricela Health Foods Ltd.</t>
  </si>
  <si>
    <t>RBFAD</t>
  </si>
  <si>
    <t>Debit Note no45</t>
  </si>
  <si>
    <t>Debit Note no46</t>
  </si>
  <si>
    <t>Debit Note no47</t>
  </si>
  <si>
    <t>Debit Note no48</t>
  </si>
  <si>
    <t xml:space="preserve">S.R.A Trade Links </t>
  </si>
  <si>
    <t>Amritsar oil Traders</t>
  </si>
  <si>
    <t>Days delayed for Payment</t>
  </si>
  <si>
    <t>Horizon Oil Industries</t>
  </si>
  <si>
    <t>C.N.OIL</t>
  </si>
  <si>
    <t>Franking Chargs</t>
  </si>
  <si>
    <t>Interest Payment</t>
  </si>
  <si>
    <t>DistillatedFatty Acid c16-c18</t>
  </si>
  <si>
    <t>Hindustan Oil Trading</t>
  </si>
  <si>
    <t>Allocation Date</t>
  </si>
  <si>
    <t>CASTOR OIL</t>
  </si>
  <si>
    <t>Osian (India)</t>
  </si>
  <si>
    <t>Lauric Acid</t>
  </si>
  <si>
    <t>M. D. Trading</t>
  </si>
  <si>
    <t>Krishna Oleo Chemical</t>
  </si>
  <si>
    <t>Delta Agrotech p l</t>
  </si>
  <si>
    <t>Adani Wlmar ltd</t>
  </si>
  <si>
    <t>3000027383&amp;27390</t>
  </si>
  <si>
    <t>VVF/225/ B NO213</t>
  </si>
  <si>
    <t>Jai Bhagwati Agro Oil</t>
  </si>
  <si>
    <t>3000028847&amp;28849</t>
  </si>
  <si>
    <t>50KG</t>
  </si>
  <si>
    <t>Khona Drug Agencies</t>
  </si>
  <si>
    <t>400-KG</t>
  </si>
  <si>
    <t>Raha Oils p l</t>
  </si>
  <si>
    <t>COCONUT OIL</t>
  </si>
  <si>
    <t>kamla Oleo p l</t>
  </si>
  <si>
    <t>mustard oil</t>
  </si>
  <si>
    <t>Godrej Agrovet LTD</t>
  </si>
  <si>
    <t>VVF/231/ B NO231</t>
  </si>
  <si>
    <t>3000027932&amp;28098</t>
  </si>
  <si>
    <t>VVF/230/ B NO223</t>
  </si>
  <si>
    <t>3000027512&amp;28103</t>
  </si>
  <si>
    <t>VVF/233/ B NO396</t>
  </si>
  <si>
    <t>VVF/232/ B NO392</t>
  </si>
  <si>
    <t>Sri Jayasakthi Rice AndOil Mills</t>
  </si>
  <si>
    <t>allocation dtd 01/04/2016</t>
  </si>
  <si>
    <t>Myristic Acid</t>
  </si>
  <si>
    <t>50 KG</t>
  </si>
  <si>
    <t>VVF/234/ B NO391</t>
  </si>
  <si>
    <t>Delayed Payment</t>
  </si>
  <si>
    <t>Blasant Agro Exim p l</t>
  </si>
  <si>
    <t>Parisons Foods p l</t>
  </si>
  <si>
    <t>30000028905&amp;29535</t>
  </si>
  <si>
    <t>AAK Kamani p l</t>
  </si>
  <si>
    <t>C N OIL</t>
  </si>
  <si>
    <t>KP193</t>
  </si>
  <si>
    <t>600.KG</t>
  </si>
  <si>
    <t>Ruchi Soya(PDC)dt 31/03/2016</t>
  </si>
  <si>
    <t>GDM/EX/010</t>
  </si>
  <si>
    <t>GDM/EX/011</t>
  </si>
  <si>
    <t>GDM/EX/012</t>
  </si>
  <si>
    <t>GDM/EX/025</t>
  </si>
  <si>
    <t>Debit Note No 1060</t>
  </si>
  <si>
    <t>Debit Note No 1067</t>
  </si>
  <si>
    <t>Debit Note No 1036</t>
  </si>
  <si>
    <t>Debit Note No 1053</t>
  </si>
  <si>
    <t>Debit Note No 1027</t>
  </si>
  <si>
    <t>Debit  Note No 04</t>
  </si>
  <si>
    <t>GDM/EX/028</t>
  </si>
  <si>
    <t>GDM/EX/029</t>
  </si>
  <si>
    <t>Ruchi Soya(PDC)dtd 18/04/2016</t>
  </si>
  <si>
    <t>KP-542</t>
  </si>
  <si>
    <t>RPKO KS/13/16</t>
  </si>
  <si>
    <t>15 KG</t>
  </si>
  <si>
    <t>KP-543</t>
  </si>
  <si>
    <t>KP-544</t>
  </si>
  <si>
    <t>12 KG</t>
  </si>
  <si>
    <t>Vaishnodevi Refoils</t>
  </si>
  <si>
    <t>M R O</t>
  </si>
  <si>
    <t>Suruchi Refinery p l</t>
  </si>
  <si>
    <t>3000029350 &amp; 3000029407</t>
  </si>
  <si>
    <t>R-0027</t>
  </si>
  <si>
    <t>R-0028</t>
  </si>
  <si>
    <t>R-0026</t>
  </si>
  <si>
    <t>Adani Wilmar Ltd.</t>
  </si>
  <si>
    <t>Stearic Acid</t>
  </si>
  <si>
    <t>GDM/EX/059/16-17</t>
  </si>
  <si>
    <t>GDM/EX/065/16-17</t>
  </si>
  <si>
    <t>GDM/EX/060/16-17</t>
  </si>
  <si>
    <t>3000029784&amp;29985</t>
  </si>
  <si>
    <t>3000029629&amp;30173</t>
  </si>
  <si>
    <t>VVF/237/ B NO 06</t>
  </si>
  <si>
    <t>3000028100&amp;29647</t>
  </si>
  <si>
    <t>VVF/236/ B NO 01</t>
  </si>
  <si>
    <t>VVF/235/ B NO 16</t>
  </si>
  <si>
    <t>3000028255&amp;28664</t>
  </si>
  <si>
    <t>VVF/238/ B NO 24&amp;25</t>
  </si>
  <si>
    <t>VVF/239/ B NO 820</t>
  </si>
  <si>
    <t>3000029687&amp;30300</t>
  </si>
  <si>
    <t>VVF/240/ B NO 33</t>
  </si>
  <si>
    <t>Rejectet To Baddi Plant</t>
  </si>
  <si>
    <t>VVF/249/ B NO 58</t>
  </si>
  <si>
    <t>3000029985&amp;29784</t>
  </si>
  <si>
    <t>VVF/248/ B NO 57</t>
  </si>
  <si>
    <t>VVF/247/ B NO 56</t>
  </si>
  <si>
    <t>VVF/246/ B NO 49</t>
  </si>
  <si>
    <t>3000029684&amp;29784</t>
  </si>
  <si>
    <t>VVF/245/ B NO 46</t>
  </si>
  <si>
    <t>3000029679&amp;30173</t>
  </si>
  <si>
    <t>VVF/244/ B NO 40</t>
  </si>
  <si>
    <t>VVF/250/ B NO 45</t>
  </si>
  <si>
    <t>Amarjit Oil Traders</t>
  </si>
  <si>
    <t>3000028620&amp;28866</t>
  </si>
  <si>
    <t>VVF/243/ B NO 12&amp;13</t>
  </si>
  <si>
    <t>3000028333&amp;28621</t>
  </si>
  <si>
    <t>VVF/242/ B NO 10&amp;11</t>
  </si>
  <si>
    <t>VVF/241/ B NO 14</t>
  </si>
  <si>
    <t>Sri Jayasakthi Rice And Oil Mills</t>
  </si>
  <si>
    <t>Puduvai Impex</t>
  </si>
  <si>
    <t>Suruchi Refinery P L</t>
  </si>
  <si>
    <t>VVF/251/ B NO 8957</t>
  </si>
  <si>
    <t>3000030302&amp;30727</t>
  </si>
  <si>
    <t>VVF/252/ B NO 17</t>
  </si>
  <si>
    <t>05/13//2016</t>
  </si>
  <si>
    <t>VVF/253/ B NO 3018</t>
  </si>
  <si>
    <t>Ihsedu Agrochem p l</t>
  </si>
  <si>
    <t>Castor Oil</t>
  </si>
  <si>
    <t>Vaishnodevi Refoils &amp;Solvex</t>
  </si>
  <si>
    <t>Musterd Oil</t>
  </si>
  <si>
    <t>Mustard Oil</t>
  </si>
  <si>
    <t>11085076&amp;549748/Edelweiss</t>
  </si>
  <si>
    <t>Pavithra Oil Mill</t>
  </si>
  <si>
    <t>N.M. Coconut Oil Marcchants</t>
  </si>
  <si>
    <t>Gujarat Ambuja Exports ltd</t>
  </si>
  <si>
    <t>Ruchi Soya Industries ltd</t>
  </si>
  <si>
    <t>Allocation 2 corr</t>
  </si>
  <si>
    <t>Emami Agrotech ltd</t>
  </si>
  <si>
    <t>Advance</t>
  </si>
  <si>
    <t>Gokul Agri International</t>
  </si>
  <si>
    <t>Mustrd Oil</t>
  </si>
  <si>
    <t>30000302299&amp;30414</t>
  </si>
  <si>
    <t>VVF/255/ B NO 74&amp;75</t>
  </si>
  <si>
    <t>Kumaran Oil Mill</t>
  </si>
  <si>
    <t>Shree Kumaravel Oil Mill</t>
  </si>
  <si>
    <t>Shree Vel Industries</t>
  </si>
  <si>
    <t>Srie Bhagawati Oil Industriess</t>
  </si>
  <si>
    <t>3000031147&amp;31607</t>
  </si>
  <si>
    <t>pavithra Oil Industries</t>
  </si>
  <si>
    <t>Gokul Agri International ltd</t>
  </si>
  <si>
    <t>Debit Note no 01</t>
  </si>
  <si>
    <t>Adani Wilmar ltd</t>
  </si>
  <si>
    <t>Debit Note no 17</t>
  </si>
  <si>
    <t>13422221 oil/ 610256 Edelweiss&amp;4100000 cargill Advance/Totel 18132477 dtd 20/06/2016</t>
  </si>
  <si>
    <t>Sivam Traders</t>
  </si>
  <si>
    <t>3000030943&amp;30955</t>
  </si>
  <si>
    <t>PKB.Oil Mills</t>
  </si>
  <si>
    <t>V.P.M.Rice &amp;Oil Mill</t>
  </si>
  <si>
    <t>Sri.Lingeshwarar Traders</t>
  </si>
  <si>
    <t>20167231 dtd 23/06/2016</t>
  </si>
  <si>
    <t>21491576 dtd 26/06/2016</t>
  </si>
  <si>
    <t>Adani Wilmar (PDC)dtd 18/06/2016</t>
  </si>
  <si>
    <t>18/06/2016 PDC</t>
  </si>
  <si>
    <t>5487661dtd 21/06/2016</t>
  </si>
  <si>
    <t>9563848 18/06/2016</t>
  </si>
  <si>
    <t>VVF/257/ B NO 52</t>
  </si>
  <si>
    <t>Viswa Traders</t>
  </si>
  <si>
    <t>159545270 dtd 30/06/2016</t>
  </si>
  <si>
    <t>Total</t>
  </si>
  <si>
    <t>21695506 dtd 30/06/2016</t>
  </si>
  <si>
    <t>3000028972&amp;28971</t>
  </si>
  <si>
    <t>Debit Note no Nil</t>
  </si>
  <si>
    <t>Namratha  Oil Refineries P L</t>
  </si>
  <si>
    <t>G.S.Oil Industries</t>
  </si>
  <si>
    <t>Prema Oil Mill</t>
  </si>
  <si>
    <t>Murali Oil Mills</t>
  </si>
  <si>
    <t>Kumaran Oil Products</t>
  </si>
  <si>
    <t>3000031193&amp;31326</t>
  </si>
  <si>
    <t>VVF/258/ B NO 3075</t>
  </si>
  <si>
    <t>VVF/259/ B NO 848</t>
  </si>
  <si>
    <t>VVF/260/ B NO 849</t>
  </si>
  <si>
    <t>12527889 dtd 06/07/2016</t>
  </si>
  <si>
    <t>3000 kg</t>
  </si>
  <si>
    <t>2000 kg</t>
  </si>
  <si>
    <t>3000028643&amp;28644</t>
  </si>
  <si>
    <t>Debit Note no 01Bill no3&amp;244</t>
  </si>
  <si>
    <t>Devish Oil Industries P L</t>
  </si>
  <si>
    <t>Sri.Gangai Oil Mill</t>
  </si>
  <si>
    <t>Pavithra Oil Industries</t>
  </si>
  <si>
    <t>Kumaran Oil Industries</t>
  </si>
  <si>
    <t>Sri. Amman Oil Mill</t>
  </si>
  <si>
    <t>Full paid</t>
  </si>
  <si>
    <t xml:space="preserve">Ruchi Soya Industries ltd </t>
  </si>
  <si>
    <t>3F Industries LTD  / Advance</t>
  </si>
  <si>
    <t>Cargill India  PL/ ADVANCE</t>
  </si>
  <si>
    <t>37270557 DTD 13/07/2016</t>
  </si>
  <si>
    <t>VVF/261/ B NO 110</t>
  </si>
  <si>
    <t>VVF/262/ B NO 572</t>
  </si>
  <si>
    <t>VVF/263/ B NO 121</t>
  </si>
  <si>
    <t>Murugan Refineries p l</t>
  </si>
  <si>
    <t>3000031782&amp;31817</t>
  </si>
  <si>
    <t>Star Mukesh Trading Co</t>
  </si>
  <si>
    <t>4638602 DTD 18/07/2016</t>
  </si>
  <si>
    <t>RBFA</t>
  </si>
  <si>
    <t>Paid</t>
  </si>
  <si>
    <t>Sri. Vinayaka Mills</t>
  </si>
  <si>
    <t>Neem Oil</t>
  </si>
  <si>
    <t>Debit Note No56</t>
  </si>
  <si>
    <t>Franking Charges</t>
  </si>
  <si>
    <t>Interest Chargs</t>
  </si>
  <si>
    <t>Debit Note No50</t>
  </si>
  <si>
    <t>Debit Note No51</t>
  </si>
  <si>
    <t>Debit Note No52</t>
  </si>
  <si>
    <t>Debit Note No53</t>
  </si>
  <si>
    <t>Debit Note No54</t>
  </si>
  <si>
    <t>Debit Note No55</t>
  </si>
  <si>
    <t>Debit Note No49</t>
  </si>
  <si>
    <t>Debit Note No1</t>
  </si>
  <si>
    <t>Debit Note No2</t>
  </si>
  <si>
    <t>Debit Note No3</t>
  </si>
  <si>
    <t>Debit Note No5</t>
  </si>
  <si>
    <t>Debit Note No6</t>
  </si>
  <si>
    <t>Debit Note No7</t>
  </si>
  <si>
    <t>Debit Note No8</t>
  </si>
  <si>
    <t>Debit Note No9</t>
  </si>
  <si>
    <t>Debit Note No10</t>
  </si>
  <si>
    <t>Debit Note No11</t>
  </si>
  <si>
    <t>Debit Note No12</t>
  </si>
  <si>
    <t>Debit Note No13</t>
  </si>
  <si>
    <t>Debit Note No14</t>
  </si>
  <si>
    <t>Debit Note No15</t>
  </si>
  <si>
    <t>Debit Note No16</t>
  </si>
  <si>
    <t>Debit Note No17</t>
  </si>
  <si>
    <t>Debit Note No4</t>
  </si>
  <si>
    <t>Balaji Industries</t>
  </si>
  <si>
    <t>Srri.Kcc .Oil Mills</t>
  </si>
  <si>
    <t>Winner Copra Products</t>
  </si>
  <si>
    <t>28178935 dtd 22/07/2016 +1962500 Krishna Oleo Totel 30141436</t>
  </si>
  <si>
    <t>3000032210&amp;32687</t>
  </si>
  <si>
    <t>2mt</t>
  </si>
  <si>
    <t>3000031580&amp;31579</t>
  </si>
  <si>
    <t>Uma Agro Products</t>
  </si>
  <si>
    <t>3000032319&amp;32866</t>
  </si>
  <si>
    <t>90%Paid</t>
  </si>
  <si>
    <t>24338408 dtd 27/27/2016+1541965 Krishna Oleo</t>
  </si>
  <si>
    <t>VVF/267/ B NO 9006</t>
  </si>
  <si>
    <t>VVF/266/ B NO 9005</t>
  </si>
  <si>
    <t>3000030909&amp;30992</t>
  </si>
  <si>
    <t>VVF/264/ B NO 40</t>
  </si>
  <si>
    <t>VVF/265/ B NO 123</t>
  </si>
  <si>
    <t>3000032301&amp;32524</t>
  </si>
  <si>
    <t>RBO</t>
  </si>
  <si>
    <t>3000032738&amp;32883</t>
  </si>
  <si>
    <t>10% Balance</t>
  </si>
  <si>
    <t>36056473 dtd 28/07/2016</t>
  </si>
  <si>
    <t>Sri.Venkata Srinivasa Oils p l</t>
  </si>
  <si>
    <t>Gokul Refoils &amp;Solvent Ltd</t>
  </si>
  <si>
    <t>3000030898&amp;36278</t>
  </si>
  <si>
    <t>VVF/268/ B NO 31</t>
  </si>
  <si>
    <t>68280376 dtd 16/08/2016</t>
  </si>
  <si>
    <t>VVF/269/ B NO 508</t>
  </si>
  <si>
    <t>VVF/270/ B NO 516</t>
  </si>
  <si>
    <t>15811104 dtd 25/08/2016</t>
  </si>
  <si>
    <t>56693372 dtd 19/08/2016</t>
  </si>
  <si>
    <t>VVF/271/ B NO 16</t>
  </si>
  <si>
    <t>1760702 dtd 23/08/2016</t>
  </si>
  <si>
    <t>24297903 dtd 29/08/2016</t>
  </si>
  <si>
    <t>12154669 dtd 02/09/2016</t>
  </si>
  <si>
    <t>NEEM OIL</t>
  </si>
  <si>
    <t>101537303 dtd 01/09/2016</t>
  </si>
  <si>
    <t>20357779 dtd 08/09/2016</t>
  </si>
  <si>
    <t xml:space="preserve">  Delayed Payment Debit Note No 499</t>
  </si>
  <si>
    <t xml:space="preserve">  Delayed Payment Debit Note </t>
  </si>
  <si>
    <t>(ADVANCE)Kaleesuwari Refinery p l</t>
  </si>
  <si>
    <r>
      <t>(</t>
    </r>
    <r>
      <rPr>
        <b/>
        <sz val="11"/>
        <color rgb="FFFF0000"/>
        <rFont val="Calibri"/>
        <family val="2"/>
        <scheme val="minor"/>
      </rPr>
      <t>ADVANCE)SKM Animal Feeds And Foods (India) p l</t>
    </r>
  </si>
  <si>
    <t>3000032310&amp;34489</t>
  </si>
  <si>
    <t>19926623 dtd 15/09/2016</t>
  </si>
  <si>
    <t>V.T. Oil Mill</t>
  </si>
  <si>
    <t>4300363 dtd 15/09/2016</t>
  </si>
  <si>
    <t>108749416 dtd 15/09/2016</t>
  </si>
  <si>
    <t>VVF/272/ B NO 63</t>
  </si>
  <si>
    <t>Gokul Agro Reasources ltd</t>
  </si>
  <si>
    <t>Debit Note No18</t>
  </si>
  <si>
    <t>Debit Note No19</t>
  </si>
  <si>
    <t>Debit Note No20</t>
  </si>
  <si>
    <t>Debit Note No21</t>
  </si>
  <si>
    <t>Debit Note No22</t>
  </si>
  <si>
    <t>Debit Note No23</t>
  </si>
  <si>
    <t>Debit Note No24</t>
  </si>
  <si>
    <t>Debit Note No25</t>
  </si>
  <si>
    <t>Debit Note No26</t>
  </si>
  <si>
    <t>Debit Note No27</t>
  </si>
  <si>
    <t>Debit Note No28</t>
  </si>
  <si>
    <t>2874876 dtd 23/09/2016</t>
  </si>
  <si>
    <t>Ruchi Soya Industries ltd(Kolkata)</t>
  </si>
  <si>
    <t>69903960 dtd 29/09/2016</t>
  </si>
  <si>
    <t>30052102 dtd 10/03/2016</t>
  </si>
  <si>
    <t>VVF/273/ B NO 31</t>
  </si>
  <si>
    <t>32456289 dtd 05/10/2016</t>
  </si>
  <si>
    <t>3067649 dtd 07/10/2016</t>
  </si>
  <si>
    <t>VVF/275/ B NO 151</t>
  </si>
  <si>
    <t>VVF/276/ B NO 51</t>
  </si>
  <si>
    <t>21666498  dtd 13/10/2016</t>
  </si>
  <si>
    <t>3043895 dtd 14/10/2016</t>
  </si>
  <si>
    <t>31088507 dtd 19/10/2016</t>
  </si>
  <si>
    <t>VVF/277/ B NO 32</t>
  </si>
  <si>
    <t>VVF/278/ B NO 93</t>
  </si>
  <si>
    <t>Gokul Refoils &amp;Solvent Ltd (Kolkata)</t>
  </si>
  <si>
    <t>99894987 dtd 25/10/2016</t>
  </si>
  <si>
    <t>18609169 dtd 26/10/2016</t>
  </si>
  <si>
    <t>502048779 dtd 27/10/2016</t>
  </si>
  <si>
    <t>3000034726&amp;34965</t>
  </si>
  <si>
    <t>VVF/279/ B NO 95</t>
  </si>
  <si>
    <t>43931707 dtd 11/11/2016</t>
  </si>
  <si>
    <t>S R A Trade Links</t>
  </si>
  <si>
    <t>Ruchi Soya Industries Ltd</t>
  </si>
  <si>
    <t>VVF/281/16-17</t>
  </si>
  <si>
    <t>Low IV In PFAD</t>
  </si>
  <si>
    <t>Hindustan Oil Traders</t>
  </si>
  <si>
    <t xml:space="preserve">PFAD </t>
  </si>
  <si>
    <t>Ruchi Soya Industries Pvt Ltd</t>
  </si>
  <si>
    <t>Rebate</t>
  </si>
  <si>
    <t>Deepchand Arya</t>
  </si>
  <si>
    <t>R-0233</t>
  </si>
  <si>
    <t>R-0234</t>
  </si>
  <si>
    <t>Murugan Refineries (P) Ltd</t>
  </si>
  <si>
    <t>SCO</t>
  </si>
  <si>
    <t>Sri Venkateswara Mills</t>
  </si>
  <si>
    <t>R-0232</t>
  </si>
  <si>
    <t>Liberty Oil Mills Ltd</t>
  </si>
  <si>
    <t>Agencels &amp;Cargo Care ltd</t>
  </si>
  <si>
    <t>Storage Chargs</t>
  </si>
  <si>
    <t>VVF/284/B no3225</t>
  </si>
  <si>
    <t>VVF/285/B NO 3226</t>
  </si>
  <si>
    <t>VVF/283/B NO 3227</t>
  </si>
  <si>
    <t>Sri.Gangai Oil</t>
  </si>
  <si>
    <t>Coconut Oil</t>
  </si>
  <si>
    <t>P K B Oil Mills</t>
  </si>
  <si>
    <t>V.P.M.Rice&amp;Oil Mill</t>
  </si>
  <si>
    <t>Raha Oils</t>
  </si>
  <si>
    <t>17323397 dtd 08/12/2016</t>
  </si>
  <si>
    <t>22361815 dtd 14/12/2016</t>
  </si>
  <si>
    <t>VVF/281/B NO 9131</t>
  </si>
  <si>
    <t>3000035437&amp;35561</t>
  </si>
  <si>
    <t>V V F Bill NO</t>
  </si>
  <si>
    <t>N M Coconut Oil Mercchants</t>
  </si>
  <si>
    <t xml:space="preserve">Tanker  No                  </t>
  </si>
  <si>
    <t>MH 04 GR 2716</t>
  </si>
  <si>
    <t>PB 08 CH 8745</t>
  </si>
  <si>
    <t>MH 43 Y 8802</t>
  </si>
  <si>
    <t>MH 05 AM 1154</t>
  </si>
  <si>
    <t>MH 04 DD 3461</t>
  </si>
  <si>
    <t>MH 04 GC 3468</t>
  </si>
  <si>
    <t>GJ 12AY 8489</t>
  </si>
  <si>
    <t>MH 04 FP 6056</t>
  </si>
  <si>
    <t>MH 04 EB 3780</t>
  </si>
  <si>
    <t>MH 43 Y 510</t>
  </si>
  <si>
    <t>MH 43 Y 2344</t>
  </si>
  <si>
    <t>MH 43 Y 5154</t>
  </si>
  <si>
    <t>MH 43 Y 9035</t>
  </si>
  <si>
    <t>MH 43 HD 5486</t>
  </si>
  <si>
    <t>MH 04 GF 1893</t>
  </si>
  <si>
    <t xml:space="preserve">MH 46 F  7417 </t>
  </si>
  <si>
    <t>TN 52 A 9749</t>
  </si>
  <si>
    <t>MH 04 EL 5717</t>
  </si>
  <si>
    <t>MH 04 EL 4087</t>
  </si>
  <si>
    <t>MH 43 Y  1918</t>
  </si>
  <si>
    <t>MH 46 AF 8678</t>
  </si>
  <si>
    <t>MH 04 DS 1573</t>
  </si>
  <si>
    <t>MH 04 FP 6575</t>
  </si>
  <si>
    <t>MH 04 DS 6636</t>
  </si>
  <si>
    <t>MH 43 Y 6005</t>
  </si>
  <si>
    <t>MH 43 Y 6975</t>
  </si>
  <si>
    <t>TN 52 A 9922</t>
  </si>
  <si>
    <t>MH 43 Y 5119</t>
  </si>
  <si>
    <t>MH 04 GF 8018</t>
  </si>
  <si>
    <t>MH 04 Y 7914</t>
  </si>
  <si>
    <t>MH 04 DS 8344</t>
  </si>
  <si>
    <t>MH 46 F 7212</t>
  </si>
  <si>
    <t>MH 04 GC 5092</t>
  </si>
  <si>
    <t>MH 43 Y 4746</t>
  </si>
  <si>
    <t>TN 52 A 8877</t>
  </si>
  <si>
    <t>MH 04 GD 2715</t>
  </si>
  <si>
    <t>MH 04 GR 0366</t>
  </si>
  <si>
    <t>MH 43 Y 7181</t>
  </si>
  <si>
    <t>NH 43 Y 7248</t>
  </si>
  <si>
    <t>MH 04 HD 3288</t>
  </si>
  <si>
    <t>TN 88 B 9273</t>
  </si>
  <si>
    <t>MH 43 Y 9205</t>
  </si>
  <si>
    <t>MH 04 FF 7917</t>
  </si>
  <si>
    <t>MH 04 GC 5276</t>
  </si>
  <si>
    <t>Srri Kcc Oil  Mills</t>
  </si>
  <si>
    <t>MH 43 Y 7888</t>
  </si>
  <si>
    <t>MH 04 GC 4197</t>
  </si>
  <si>
    <t>MH 04 Y 9205</t>
  </si>
  <si>
    <t>MH 04 FD 2997</t>
  </si>
  <si>
    <t>Shree Kumaravl Oil Mill</t>
  </si>
  <si>
    <t>MH 43 Y 5286</t>
  </si>
  <si>
    <t>MH 46 F 6009</t>
  </si>
  <si>
    <t xml:space="preserve">Devish Oil Industries p l </t>
  </si>
  <si>
    <t>MH 20 CT 2005</t>
  </si>
  <si>
    <t>MH 04 FD 2987</t>
  </si>
  <si>
    <t>DN 09 M 9641</t>
  </si>
  <si>
    <t>GJ 06 AX 5495</t>
  </si>
  <si>
    <t>Balaaji Industries</t>
  </si>
  <si>
    <t>MH 43 Y 3946</t>
  </si>
  <si>
    <t>MH 04 GC 7791</t>
  </si>
  <si>
    <t>Shri Sendhur Oil Mill</t>
  </si>
  <si>
    <t>MH 04HD 7711</t>
  </si>
  <si>
    <t>MH 04 GR 9336</t>
  </si>
  <si>
    <t>MH 04 GR 7447</t>
  </si>
  <si>
    <t>MH 05 AM 1796</t>
  </si>
  <si>
    <t>MH 04 Y 7009</t>
  </si>
  <si>
    <t>MH 04 FU 7342</t>
  </si>
  <si>
    <t>GJ 06 AV 9219</t>
  </si>
  <si>
    <t>MH 04 FD 0857</t>
  </si>
  <si>
    <t>MH 04 GR 7533</t>
  </si>
  <si>
    <t>MH 43 Y 4805</t>
  </si>
  <si>
    <t>MH 46 AR 2185</t>
  </si>
  <si>
    <t>PB 08 DG 4456</t>
  </si>
  <si>
    <t>MH 04 FJ 9015</t>
  </si>
  <si>
    <t>MH 04 GF 7917</t>
  </si>
  <si>
    <t>Velica Oil Mill</t>
  </si>
  <si>
    <t>MH 04 DS 6971</t>
  </si>
  <si>
    <t>MH 43 Y 9681</t>
  </si>
  <si>
    <t>MH 04 GC 2337</t>
  </si>
  <si>
    <t>MH 04 EL 5727</t>
  </si>
  <si>
    <t xml:space="preserve">GJ 12 BT 7089 </t>
  </si>
  <si>
    <t>MH 04 GC 4207</t>
  </si>
  <si>
    <t>MH 04 EB 9601</t>
  </si>
  <si>
    <t>Kabaleeswarar Traders</t>
  </si>
  <si>
    <t>MH 43 Y 7206</t>
  </si>
  <si>
    <t>MH 04 GC 5755</t>
  </si>
  <si>
    <t>TN 28 AM 0137</t>
  </si>
  <si>
    <t>MH 43 Y 7315</t>
  </si>
  <si>
    <t>VVF/286/ B NO 35</t>
  </si>
  <si>
    <t>3000034497&amp;35682</t>
  </si>
  <si>
    <t>VVF/286/ B NO 9135&amp;9136</t>
  </si>
  <si>
    <t>Gokul Refoils &amp;Solvent Ltd (Advance)</t>
  </si>
  <si>
    <t>3367890 DTD 14/12/2016</t>
  </si>
  <si>
    <t>24848538 DTD 26/12/2016</t>
  </si>
  <si>
    <t>43046923 DTD 28/12/2016</t>
  </si>
  <si>
    <t>VVF/293/B NO 153</t>
  </si>
  <si>
    <t>GJ 12 AZ 8060</t>
  </si>
  <si>
    <t>VVF/290/B NO 61</t>
  </si>
  <si>
    <t>MH 04 FP 6955</t>
  </si>
  <si>
    <t>Agencies &amp;Cargo Care ltd</t>
  </si>
  <si>
    <t>Acclk/2016-17/350</t>
  </si>
  <si>
    <t>Terminaling Chargs</t>
  </si>
  <si>
    <t>GJ 12 AZ 7388</t>
  </si>
  <si>
    <t>Sri Amman Oil Mill</t>
  </si>
  <si>
    <t>GJ 43 U 9612</t>
  </si>
  <si>
    <t>TN 52 C 1535</t>
  </si>
  <si>
    <t>GJ 15 AT 1399</t>
  </si>
  <si>
    <t>MH 46 AF 9138</t>
  </si>
  <si>
    <t>MH 04 HD 6915</t>
  </si>
  <si>
    <t>MH 46 F 5191</t>
  </si>
  <si>
    <t>MH 43 Y 0510</t>
  </si>
  <si>
    <t>MH 43 Y 8109</t>
  </si>
  <si>
    <t>MH 43 Y 3587</t>
  </si>
  <si>
    <t>MH 06 BD 1256</t>
  </si>
  <si>
    <t>MH 04 FJ 8147</t>
  </si>
  <si>
    <t>MH 43 Y 3681</t>
  </si>
  <si>
    <t>MH 43 Y 5616</t>
  </si>
  <si>
    <t>MH 04 FD 1136</t>
  </si>
  <si>
    <t>GJ 12 AZ 5026</t>
  </si>
  <si>
    <t>Sri Sampoorani Amma Mills</t>
  </si>
  <si>
    <t>VVF/295/B NO 1047</t>
  </si>
  <si>
    <t>MH 43 Y 7204</t>
  </si>
  <si>
    <t>MH 19 Z 4131</t>
  </si>
  <si>
    <t>MH 43 Y 4697</t>
  </si>
  <si>
    <t>Sri Shanmuga Traders</t>
  </si>
  <si>
    <t>VVF/297/B NO 175</t>
  </si>
  <si>
    <t>GJ 12 AY 8681</t>
  </si>
  <si>
    <t>VVF/296/B NO 202</t>
  </si>
  <si>
    <t>VVF/298/B NO 62</t>
  </si>
  <si>
    <t>MH 04 HD 4278</t>
  </si>
  <si>
    <t>GJ 06 AX 1475</t>
  </si>
  <si>
    <t>MH 04 EY 5137</t>
  </si>
  <si>
    <t>MH 04 GR 4335</t>
  </si>
  <si>
    <t>MH 05 AM 764</t>
  </si>
  <si>
    <t>Shrika Oil Industries</t>
  </si>
  <si>
    <t>MH 04 GR 2144</t>
  </si>
  <si>
    <t xml:space="preserve">Namratha Oil Refineries  p l </t>
  </si>
  <si>
    <t>MH 04 GR 5603</t>
  </si>
  <si>
    <t>MH 05 AM 2734</t>
  </si>
  <si>
    <t>MH 04 FP 3389</t>
  </si>
  <si>
    <t>4772248 dtd 17/11/2016</t>
  </si>
  <si>
    <t>29957848 dtd 05/01/2017</t>
  </si>
  <si>
    <t>KP-14761</t>
  </si>
  <si>
    <t>PKFAD</t>
  </si>
  <si>
    <t>KP-14762</t>
  </si>
  <si>
    <t>AAK Kamani P L (ADVANCE)</t>
  </si>
  <si>
    <t>Advance dtd 15/12/2016 4415683</t>
  </si>
  <si>
    <t>MH 48 AG 2480</t>
  </si>
  <si>
    <t>MH 18 AS 265</t>
  </si>
  <si>
    <t>GJ 06 AV 4175</t>
  </si>
  <si>
    <t>Raasi Trading Company</t>
  </si>
  <si>
    <t>MH 43 Y 7535</t>
  </si>
  <si>
    <t>MH 04 GR 5643</t>
  </si>
  <si>
    <t>VVF/300/B NO 102</t>
  </si>
  <si>
    <t>MH 04 GR 2645</t>
  </si>
  <si>
    <t>Edelweiss Agri Value Chain l</t>
  </si>
  <si>
    <t>MH 43 Y 7737</t>
  </si>
  <si>
    <t>Suruchi Refinery  p l</t>
  </si>
  <si>
    <t>MH 43 Y 9202</t>
  </si>
  <si>
    <t>MH 04 EL 9261</t>
  </si>
  <si>
    <t>MH 04 F G 7186</t>
  </si>
  <si>
    <t>MH 43 Y 0709</t>
  </si>
  <si>
    <t>MH 04 EP 6955</t>
  </si>
  <si>
    <t>MH 04 EB 9543</t>
  </si>
  <si>
    <t>MH 43 Y 6595</t>
  </si>
  <si>
    <t>MH 43 U 4012</t>
  </si>
  <si>
    <t>GJ 06 AV 8175</t>
  </si>
  <si>
    <t>MH 04 GR 7527</t>
  </si>
  <si>
    <t>GJ 06 AX 2875</t>
  </si>
  <si>
    <t>P.K.G.Coconut Products</t>
  </si>
  <si>
    <t>MH 43 Y 5328</t>
  </si>
  <si>
    <t>MH 43 Y 2795</t>
  </si>
  <si>
    <t>MH 46 F 5746</t>
  </si>
  <si>
    <t>MH 43 Y 2109</t>
  </si>
  <si>
    <t>MH 04 HD 6449</t>
  </si>
  <si>
    <t>Sree Yeswin Refinries</t>
  </si>
  <si>
    <t>MH 43 Y 2346</t>
  </si>
  <si>
    <t xml:space="preserve"> Allocation dtd 12/01/2017Amont 42386211</t>
  </si>
  <si>
    <t xml:space="preserve"> Allocation dtd 16/01/2017Amont 8009202</t>
  </si>
  <si>
    <t>VVF/302/ B NO 169</t>
  </si>
  <si>
    <t>VVF/303/ B NO 160</t>
  </si>
  <si>
    <t>MH 43 Y 5765</t>
  </si>
  <si>
    <t>MH 46 F 4711</t>
  </si>
  <si>
    <t>MH 46 F 5360</t>
  </si>
  <si>
    <t>MH 04 FU 7215</t>
  </si>
  <si>
    <t>MH 04 GC 6835</t>
  </si>
  <si>
    <t>MH 43 U 747</t>
  </si>
  <si>
    <t>MH 04 F 8872</t>
  </si>
  <si>
    <t>MH 04 DS 1705</t>
  </si>
  <si>
    <t>MH 04 FP 3788</t>
  </si>
  <si>
    <t>MH 46 F 1505</t>
  </si>
  <si>
    <t>MH 43 U 6584</t>
  </si>
  <si>
    <t>MH 43 Y 9004</t>
  </si>
  <si>
    <t>Internaional Oil Corporation</t>
  </si>
  <si>
    <t>NL 01 L 1581</t>
  </si>
  <si>
    <t>MH 04 GC 0159</t>
  </si>
  <si>
    <t>MH 43 U 2047</t>
  </si>
  <si>
    <t>MH 04 U 4761</t>
  </si>
  <si>
    <t>VVF/304/ B NO 1589</t>
  </si>
  <si>
    <t>MH 43 Y 8288</t>
  </si>
  <si>
    <t>MH 43 Y 3741</t>
  </si>
  <si>
    <t>MH 43 Y 8621</t>
  </si>
  <si>
    <t>MH 04 EL 8600</t>
  </si>
  <si>
    <t>MH 04 EY 1303</t>
  </si>
  <si>
    <t>MH 04 CP 7902</t>
  </si>
  <si>
    <t>TN 52 A 7711</t>
  </si>
  <si>
    <t xml:space="preserve">Olivia Impex P L </t>
  </si>
  <si>
    <t>Frigorifco Allana</t>
  </si>
  <si>
    <t>Aravindh Oil Mills</t>
  </si>
  <si>
    <t>Sri Ganapathy Oil Mill</t>
  </si>
  <si>
    <t>VVF/306/B NO 8</t>
  </si>
  <si>
    <t xml:space="preserve"> Allocation dtd 20/01/2017Amont 7306407</t>
  </si>
  <si>
    <t xml:space="preserve"> Allocation dtd 23/01/2017Amont 12841784</t>
  </si>
  <si>
    <t>VVF/307/B NO 179</t>
  </si>
  <si>
    <t>MH 04 HD 5754</t>
  </si>
  <si>
    <t>VVF/308/B NO 85</t>
  </si>
  <si>
    <t>MH 04 GR 3385</t>
  </si>
  <si>
    <t xml:space="preserve"> Allocation dtd 01/01/2017Amont 14913740</t>
  </si>
  <si>
    <t>VVF/310/ B NO 251</t>
  </si>
  <si>
    <t>Balaji Agro Products</t>
  </si>
  <si>
    <t>VVF/309/ B NO 226</t>
  </si>
  <si>
    <t>VVF/311/ B NO 963</t>
  </si>
  <si>
    <t>VVF/312/ B NO 170</t>
  </si>
  <si>
    <t>Adani Wilmar ltd (Advance)</t>
  </si>
  <si>
    <t>RIFI1600770</t>
  </si>
  <si>
    <t>Sri Vinayaka Mills</t>
  </si>
  <si>
    <t>Siddharh Oils</t>
  </si>
  <si>
    <t>PKG Coconut Products</t>
  </si>
  <si>
    <t>Sri Gangai Oil  Mill</t>
  </si>
  <si>
    <t>RIFI1600769</t>
  </si>
  <si>
    <t>PKB oil Mills</t>
  </si>
  <si>
    <t>Debit Note No.</t>
  </si>
  <si>
    <t>VVF/319 B.No. 193</t>
  </si>
  <si>
    <t>VVF/320 B.No. 194</t>
  </si>
  <si>
    <t>VVF/318 B.No. 192</t>
  </si>
  <si>
    <t>VVF/315 B No. 93</t>
  </si>
  <si>
    <t>VVF/316 B No. 187</t>
  </si>
  <si>
    <t>VVF/317 B No. 99</t>
  </si>
  <si>
    <t>VVF/314 B No. 242</t>
  </si>
  <si>
    <t>Amritsar Oil Traders</t>
  </si>
  <si>
    <t>Harkarandas Vedpal , Noida</t>
  </si>
  <si>
    <t>Harkarandas Vedpal , Ludhiana</t>
  </si>
  <si>
    <t>Srimadhi Agro Industries Pvt Ltd (Advance)</t>
  </si>
  <si>
    <t>G S Oil Industries</t>
  </si>
  <si>
    <t>09.02.17</t>
  </si>
  <si>
    <t>13.02.17</t>
  </si>
  <si>
    <t>14.02.17</t>
  </si>
  <si>
    <t>08.02.17</t>
  </si>
  <si>
    <t>Harkaran Dass Vedpal</t>
  </si>
  <si>
    <t>15.02.17</t>
  </si>
  <si>
    <t>Frigorico Allana P L (Advance)</t>
  </si>
  <si>
    <t xml:space="preserve">Raha Oil  P L </t>
  </si>
  <si>
    <t>MH 18 BA 265</t>
  </si>
  <si>
    <t>VVF/325 B.No. 333</t>
  </si>
  <si>
    <t>MH 46 F 1548</t>
  </si>
  <si>
    <t>Tanker    no</t>
  </si>
  <si>
    <t>MH 04 GR 4336</t>
  </si>
  <si>
    <t>MH 43 Y 5956</t>
  </si>
  <si>
    <t>MH 04 GR 1736</t>
  </si>
  <si>
    <t>MH 04 HD 6973</t>
  </si>
  <si>
    <t>MH 43 Y 4571</t>
  </si>
  <si>
    <t>Acclk/2016/17/373</t>
  </si>
  <si>
    <t>Tanker  No</t>
  </si>
  <si>
    <t>PB 10 FV 5602</t>
  </si>
  <si>
    <t>PB 11 AG 8269</t>
  </si>
  <si>
    <t>HR 63 C 6512</t>
  </si>
  <si>
    <t>PB 10 BZ 0851</t>
  </si>
  <si>
    <t>PB 11 AS 9947</t>
  </si>
  <si>
    <t>B 13 AR 1475</t>
  </si>
  <si>
    <t>PB 13 AL 2487</t>
  </si>
  <si>
    <t>MH 43 Y 5207</t>
  </si>
  <si>
    <t>3000038740&amp;38759</t>
  </si>
  <si>
    <t>Edelweiss Agri Chain limited</t>
  </si>
  <si>
    <t>Debit Note No29</t>
  </si>
  <si>
    <t>Diffarence Against Suppied Quantity</t>
  </si>
  <si>
    <t>VVF/326 B.No. 195</t>
  </si>
  <si>
    <t>PB11BY 7392</t>
  </si>
  <si>
    <t>3000038505&amp;38823</t>
  </si>
  <si>
    <t>VVF/327 B.No. 196</t>
  </si>
  <si>
    <t>PB 11 BY 3792</t>
  </si>
  <si>
    <t>VVF/328 B.No. 3351</t>
  </si>
  <si>
    <t>PB 11 BY 8735</t>
  </si>
  <si>
    <t>3000036563&amp;37338</t>
  </si>
  <si>
    <t>VVF/329 B.No. 3353</t>
  </si>
  <si>
    <t>PB 11 BU 7555</t>
  </si>
  <si>
    <t>3000037338&amp;38822</t>
  </si>
  <si>
    <t>VVF/330 B.No. 3354</t>
  </si>
  <si>
    <t>PB 11 BY 4777</t>
  </si>
  <si>
    <t>VVF/336/ B NO 1195</t>
  </si>
  <si>
    <t>VVF/335/ B NO 1196</t>
  </si>
  <si>
    <t>VVF/334/ B NO 1197</t>
  </si>
  <si>
    <t>VVF/332/ B NO 1204</t>
  </si>
  <si>
    <t>VVF/331/ B NO 1206</t>
  </si>
  <si>
    <t>GJ 12AZ 0782</t>
  </si>
  <si>
    <t>PB 10 DD 8011</t>
  </si>
  <si>
    <t>PB 12 J 3569</t>
  </si>
  <si>
    <t>GJ 12 AZ 0559</t>
  </si>
  <si>
    <t>MH 43 U 4146</t>
  </si>
  <si>
    <t>MH 04 HD 5444</t>
  </si>
  <si>
    <t>MH 04 EB 9061</t>
  </si>
  <si>
    <t>MH 04 HD 2655</t>
  </si>
  <si>
    <t>MH 04 DD 1619</t>
  </si>
  <si>
    <t>MH 04 HS 0955</t>
  </si>
  <si>
    <t>MH 04 HD 6611</t>
  </si>
  <si>
    <t>MH 43 Y 7914</t>
  </si>
  <si>
    <t>MH 43 HD 1625</t>
  </si>
  <si>
    <t>3000038821&amp;38934</t>
  </si>
  <si>
    <t>HR 55 Q 4537</t>
  </si>
  <si>
    <t>HR 55 Q 4483</t>
  </si>
  <si>
    <t>PB 11 BU 1269</t>
  </si>
  <si>
    <t>PB 12H 5569</t>
  </si>
  <si>
    <t>PB 13 AR 1475</t>
  </si>
  <si>
    <t>MH 43 Y 9507</t>
  </si>
  <si>
    <t>MH 43 Y 8009</t>
  </si>
  <si>
    <t>GJ 06 AV 4375</t>
  </si>
  <si>
    <t>MH 04 EY 9015</t>
  </si>
  <si>
    <t>MH 04 DS 5303</t>
  </si>
  <si>
    <t>MH 43 Y 5451</t>
  </si>
  <si>
    <t>3000038602&amp;38931</t>
  </si>
  <si>
    <t>PB 13 AL 8713</t>
  </si>
  <si>
    <t>Maheshwari Global</t>
  </si>
  <si>
    <t>Debit Note No39</t>
  </si>
  <si>
    <t>Debit Note No32</t>
  </si>
  <si>
    <t>Interest Of Due Payment</t>
  </si>
  <si>
    <t>MH 04 PD 6219</t>
  </si>
  <si>
    <t>Debit Note No31</t>
  </si>
  <si>
    <t>Debit Note No33</t>
  </si>
  <si>
    <t>Debit Note No34</t>
  </si>
  <si>
    <t>Debit Note No35</t>
  </si>
  <si>
    <t>Debit Note No36</t>
  </si>
  <si>
    <t>Debit Note No37</t>
  </si>
  <si>
    <t>Debit Note No38</t>
  </si>
  <si>
    <t>Harharan Das Ved Pal (Advance)</t>
  </si>
  <si>
    <t>MH 46 AF 7336</t>
  </si>
  <si>
    <t>MH 46 AF 9803</t>
  </si>
  <si>
    <t>Adjusted against our Note dt.17.02.2017 (being the intrest calculated between our payment to Maheshwari thru Navsari Po No.300030847) and receipt of payment fromMaheshwari on various dates.</t>
  </si>
  <si>
    <t>MH 46 F 0934</t>
  </si>
  <si>
    <t>MH 43 U 3595</t>
  </si>
  <si>
    <t>MH 06 AQ 1693</t>
  </si>
  <si>
    <t>MH 04 FD 7336</t>
  </si>
  <si>
    <t>MH 43 Y 7248</t>
  </si>
  <si>
    <t>MH 43 Y 8217</t>
  </si>
  <si>
    <t>MH 43 Y 5725</t>
  </si>
  <si>
    <t>MH 43 U 8405</t>
  </si>
  <si>
    <t>MH 43 Y 3594</t>
  </si>
  <si>
    <t>MH 43 HD 2010</t>
  </si>
  <si>
    <t>MH 43 Y 1972</t>
  </si>
  <si>
    <t>MH 46 AF 9937</t>
  </si>
  <si>
    <t>MH 46 AF 0802</t>
  </si>
  <si>
    <t>Debit Note No40</t>
  </si>
  <si>
    <t>Debit Note No41</t>
  </si>
  <si>
    <t>Debit Note No42</t>
  </si>
  <si>
    <t>Debit Note No43</t>
  </si>
  <si>
    <t>Debit Note No44</t>
  </si>
  <si>
    <t>Debit Note No45</t>
  </si>
  <si>
    <t>Debit Note No46</t>
  </si>
  <si>
    <t>Debit Note No47</t>
  </si>
  <si>
    <t>Debit Note No48</t>
  </si>
  <si>
    <t>RJ 47 GA 0447</t>
  </si>
  <si>
    <t>RJ 14 GB 7775</t>
  </si>
  <si>
    <t>MH 04 GC 6438</t>
  </si>
  <si>
    <t>PB 11 AX 8557</t>
  </si>
  <si>
    <t>MH 04 FP 0522</t>
  </si>
  <si>
    <t>PB 11 BR 5977</t>
  </si>
  <si>
    <t>PB 11 BR 5319</t>
  </si>
  <si>
    <t>NL 01 L 9568</t>
  </si>
  <si>
    <t>WB 11 13 7954</t>
  </si>
  <si>
    <t>WB 23 B 6554</t>
  </si>
  <si>
    <t>WB 11 B 7954</t>
  </si>
  <si>
    <t>WB 23 D 0859</t>
  </si>
  <si>
    <t>CRO8480</t>
  </si>
  <si>
    <t>CRO8513</t>
  </si>
  <si>
    <t>CRO8619</t>
  </si>
  <si>
    <t>CRO8636</t>
  </si>
  <si>
    <t>CRO8620</t>
  </si>
  <si>
    <t>UP 78 BT 6133</t>
  </si>
  <si>
    <t>PB 11 AY 7929</t>
  </si>
  <si>
    <t>PB 13 AL 2251</t>
  </si>
  <si>
    <t>PB 11 BR 0419</t>
  </si>
  <si>
    <t>PB 11 CB 5269</t>
  </si>
  <si>
    <t>RJ 47 GA 0365</t>
  </si>
  <si>
    <t>RJ 14 GH 2743</t>
  </si>
  <si>
    <t>HR 37 B 9770</t>
  </si>
  <si>
    <t>PB 03 AA 8011</t>
  </si>
  <si>
    <t>PB 11 AV 6569</t>
  </si>
  <si>
    <t>MH 46 AR 7789</t>
  </si>
  <si>
    <t>MH 46 AF 5489</t>
  </si>
  <si>
    <t>MH 46 AF 5789</t>
  </si>
  <si>
    <t>NL 01 N 0026</t>
  </si>
  <si>
    <t>NL 01 L 9317</t>
  </si>
  <si>
    <t>MH 46 AF 6437</t>
  </si>
  <si>
    <t>MH 04 HD 8789</t>
  </si>
  <si>
    <t>MH 04 FP 0716</t>
  </si>
  <si>
    <t>MH 43 Y 6477</t>
  </si>
  <si>
    <t>MH 46 AF 7979</t>
  </si>
  <si>
    <t>MH 43 Y 2796</t>
  </si>
  <si>
    <t>Sindhvai Agro Industries</t>
  </si>
  <si>
    <t>R/M/612</t>
  </si>
  <si>
    <t>MH 04 GF 6585</t>
  </si>
  <si>
    <t>Mustured Oil</t>
  </si>
  <si>
    <t>R/M/613</t>
  </si>
  <si>
    <t>NL 01 L 5767</t>
  </si>
  <si>
    <t>R/M/615</t>
  </si>
  <si>
    <t>MH 43 Y 9244</t>
  </si>
  <si>
    <t>R/M/616</t>
  </si>
  <si>
    <t>MH 43 Y 2909</t>
  </si>
  <si>
    <t>MH 04 GR 9761</t>
  </si>
  <si>
    <t>04/03/217</t>
  </si>
  <si>
    <t>MH 04 EB 3347</t>
  </si>
  <si>
    <t>MH 12 HD 6098</t>
  </si>
  <si>
    <t>MH 04 FJ 2418</t>
  </si>
  <si>
    <t>GJ 12 AZ 8844</t>
  </si>
  <si>
    <t>R.M.O</t>
  </si>
  <si>
    <t>GJ 12 AZ 8814</t>
  </si>
  <si>
    <t>R/M/621</t>
  </si>
  <si>
    <t>MH 43 Y 5853</t>
  </si>
  <si>
    <t>GJ 12 AZ 8820</t>
  </si>
  <si>
    <t>GJ 12 BT 8852</t>
  </si>
  <si>
    <t>GJ 12 BT 8834</t>
  </si>
  <si>
    <t>GJ 12 BV 8882</t>
  </si>
  <si>
    <t>GJ 12 BT 2825</t>
  </si>
  <si>
    <t>GJ 12 BT 8840</t>
  </si>
  <si>
    <t>GJ 12 BT 8824</t>
  </si>
  <si>
    <t>GJ 12 BV 8880</t>
  </si>
  <si>
    <t>GJ 12 AY 8866</t>
  </si>
  <si>
    <t>GJ 12 BV 8874</t>
  </si>
  <si>
    <t>MH 46 F 2881</t>
  </si>
  <si>
    <t>GJ 12 BT 8832</t>
  </si>
  <si>
    <t>GJ 12 BT 8830</t>
  </si>
  <si>
    <t>GJ 12 AW 1988</t>
  </si>
  <si>
    <t>GJ 12 BV 8870</t>
  </si>
  <si>
    <t>GJ 12 BV 8878</t>
  </si>
  <si>
    <t>GJ 12 BT 8860</t>
  </si>
  <si>
    <t>949974229&amp;229</t>
  </si>
  <si>
    <t>GJ 12 AZ 8800</t>
  </si>
  <si>
    <t>9499740221&amp;419</t>
  </si>
  <si>
    <t>Maheshwari Global Industries Pvt. Ltd.Advance</t>
  </si>
  <si>
    <t>PB 10 BV 0381</t>
  </si>
  <si>
    <t>PB 10 CX 4702</t>
  </si>
  <si>
    <t>PB 13 AL 8640</t>
  </si>
  <si>
    <t>PB 13 Y 8089</t>
  </si>
  <si>
    <t>PB 10 DJ 7551</t>
  </si>
  <si>
    <t>PB 11 BN 4613</t>
  </si>
  <si>
    <t>HR 45 A 6884</t>
  </si>
  <si>
    <t>HR 74 4486</t>
  </si>
  <si>
    <t>MH 04 EY 2063</t>
  </si>
  <si>
    <t>PB 13 AR 9851</t>
  </si>
  <si>
    <t>PB 13 N 8889</t>
  </si>
  <si>
    <t>GJ 12 Y 6546</t>
  </si>
  <si>
    <t>3000038352&amp;39051</t>
  </si>
  <si>
    <t>NL 01 N 0023</t>
  </si>
  <si>
    <t>PB 10 BJ 3802</t>
  </si>
  <si>
    <t>HR 55 V 4452</t>
  </si>
  <si>
    <t>PB 10 DB 1389</t>
  </si>
  <si>
    <t>HR 55 R 5294</t>
  </si>
  <si>
    <t>PB 11 BU 5892</t>
  </si>
  <si>
    <t>Debit  Note No31</t>
  </si>
  <si>
    <t>Debit  Note No24</t>
  </si>
  <si>
    <t>Debit  Note No22</t>
  </si>
  <si>
    <t>MH 06 AQ 2534</t>
  </si>
  <si>
    <t>R/M/618</t>
  </si>
  <si>
    <t>UP62AT2016</t>
  </si>
  <si>
    <t>R/M/619</t>
  </si>
  <si>
    <t>MH 43 Y 5493</t>
  </si>
  <si>
    <t>R/M/620</t>
  </si>
  <si>
    <t>NL 01 L 6366</t>
  </si>
  <si>
    <t>R/M/622</t>
  </si>
  <si>
    <t>NL 01 N 6075</t>
  </si>
  <si>
    <t>R/M/623</t>
  </si>
  <si>
    <t>NL 01 L 6340</t>
  </si>
  <si>
    <t>R/M/624</t>
  </si>
  <si>
    <t>MH 04 GC 1775</t>
  </si>
  <si>
    <t>R/M/625</t>
  </si>
  <si>
    <t>NL 01 L 4851</t>
  </si>
  <si>
    <t>R/M/626</t>
  </si>
  <si>
    <t>MH 04 HD 4273</t>
  </si>
  <si>
    <t>R/M/627</t>
  </si>
  <si>
    <t>R/M/628</t>
  </si>
  <si>
    <t>MH 04 HD 2133</t>
  </si>
  <si>
    <t>R/M/629</t>
  </si>
  <si>
    <t>NL 01 L 6365</t>
  </si>
  <si>
    <t>R/M/630</t>
  </si>
  <si>
    <t>MH 04 HD 3881</t>
  </si>
  <si>
    <t>R/M/632</t>
  </si>
  <si>
    <t>MH 04 FU 6150</t>
  </si>
  <si>
    <t>GJ 12 Z 3625</t>
  </si>
  <si>
    <t>PB 13 AL 8513</t>
  </si>
  <si>
    <t>PB 13 AL 4513</t>
  </si>
  <si>
    <t>PB 10 CZ 5047</t>
  </si>
  <si>
    <t>PB 11 AY 7569</t>
  </si>
  <si>
    <t>GJ 12 AY 3067</t>
  </si>
  <si>
    <t>PB 13 AB 7505</t>
  </si>
  <si>
    <t>PB 11 Z 2902</t>
  </si>
  <si>
    <t>PB 13 AR 9482</t>
  </si>
  <si>
    <t>MH 46 AF 5502</t>
  </si>
  <si>
    <t>GJ 12 AZ 2315</t>
  </si>
  <si>
    <t>GJ 12 BT 6900</t>
  </si>
  <si>
    <t>MH 43 Y 4581</t>
  </si>
  <si>
    <t>R/M/642</t>
  </si>
  <si>
    <t>MH 46 AF 6969</t>
  </si>
  <si>
    <t>MH 43 Y 7505</t>
  </si>
  <si>
    <t>VVF/340 B.No. 234</t>
  </si>
  <si>
    <t>VVF/339 B.No. 329&amp;328</t>
  </si>
  <si>
    <t>PB 08 CX 2387</t>
  </si>
  <si>
    <t>VVF/338 B.No. 330</t>
  </si>
  <si>
    <t>PB 08 BU 9385</t>
  </si>
  <si>
    <t>VVF/341 B.No. 367</t>
  </si>
  <si>
    <t>PB 32 K 8667</t>
  </si>
  <si>
    <t>MH 46 F 5209</t>
  </si>
  <si>
    <t>Srimadhi Agro Industries P L( Advance)</t>
  </si>
  <si>
    <t>Debit Note No74</t>
  </si>
  <si>
    <t>GJ 12 BV 8872</t>
  </si>
  <si>
    <t>GJ 12 AY 8805</t>
  </si>
  <si>
    <t>9499740234&amp;232</t>
  </si>
  <si>
    <t>R/M/644</t>
  </si>
  <si>
    <t>NL 01 L 5917</t>
  </si>
  <si>
    <t>R/M/643</t>
  </si>
  <si>
    <t>MH 43 Y 7214</t>
  </si>
  <si>
    <t>VVF/342 B.No. EX/001</t>
  </si>
  <si>
    <t>GJ 12 BT 8836</t>
  </si>
  <si>
    <t>EX/001</t>
  </si>
  <si>
    <t>GJ 12 AY 8833</t>
  </si>
  <si>
    <t>EX/002</t>
  </si>
  <si>
    <t>EX/004</t>
  </si>
  <si>
    <t>GJ 12 AZ 8810</t>
  </si>
  <si>
    <t>Gokul Refoils&amp;Solvent ltd</t>
  </si>
  <si>
    <t>WB 11 B 7454</t>
  </si>
  <si>
    <t>WB 23 D 0854</t>
  </si>
  <si>
    <t>NL 01 L 9870</t>
  </si>
  <si>
    <t>PB 10 CC 0490</t>
  </si>
  <si>
    <t>NL 01 K 4927</t>
  </si>
  <si>
    <t>PB 10 EH 4612</t>
  </si>
  <si>
    <t>RJ 14 GF 5170</t>
  </si>
  <si>
    <t>PB 19 C 5189</t>
  </si>
  <si>
    <t>PB 10 DS 8212</t>
  </si>
  <si>
    <t>PB 10 DD 3712</t>
  </si>
  <si>
    <t>PB 11 CB 9786</t>
  </si>
  <si>
    <t>PB 11 BK 2104</t>
  </si>
  <si>
    <t>R/M/649</t>
  </si>
  <si>
    <t>MH 46 AF 3539</t>
  </si>
  <si>
    <t>R/M/651</t>
  </si>
  <si>
    <t>MH 04 EL 2175</t>
  </si>
  <si>
    <t>MH 43 Y 5268</t>
  </si>
  <si>
    <t>GJ 12 AY 8899</t>
  </si>
  <si>
    <t>GJ 12 AY 8891</t>
  </si>
  <si>
    <t>CRO9133</t>
  </si>
  <si>
    <t>WB 03C 6754</t>
  </si>
  <si>
    <t>CRO9132</t>
  </si>
  <si>
    <t>PB 23 K 7915</t>
  </si>
  <si>
    <t>PB 12 Y 3179</t>
  </si>
  <si>
    <t>PB 10 DZ 6402</t>
  </si>
  <si>
    <t>PB 10 CE 2902</t>
  </si>
  <si>
    <t>RJ 01 GB 5177</t>
  </si>
  <si>
    <t>RJ 01 GB 5677</t>
  </si>
  <si>
    <t>MH 46 F 4423</t>
  </si>
  <si>
    <t>PB 10 CR 9112</t>
  </si>
  <si>
    <t>PB 29 R  5889</t>
  </si>
  <si>
    <t>PB 13 Q 5289</t>
  </si>
  <si>
    <t>PB 13 Q 8701</t>
  </si>
  <si>
    <t>WB 39 A 5216</t>
  </si>
  <si>
    <t>WB 39 A5210</t>
  </si>
  <si>
    <t>NL 01 Q 4315</t>
  </si>
  <si>
    <t>NL 01 Q 1372</t>
  </si>
  <si>
    <t>PB 13 AA 8385</t>
  </si>
  <si>
    <t>PB 13 AL 3531</t>
  </si>
  <si>
    <t>Bhai Gehla Singh Jaswant Singh</t>
  </si>
  <si>
    <t>pb 11 bk 5376</t>
  </si>
  <si>
    <t>deduct Rs 48.885.this deduction is account of excess mode as advance against  p o no 3/36866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</si>
</sst>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[$-409]d/mmm/yy;@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1" applyFont="1" applyFill="1" applyBorder="1"/>
    <xf numFmtId="166" fontId="0" fillId="0" borderId="1" xfId="0" applyNumberFormat="1" applyBorder="1"/>
    <xf numFmtId="0" fontId="5" fillId="0" borderId="1" xfId="0" applyFont="1" applyBorder="1"/>
    <xf numFmtId="0" fontId="5" fillId="0" borderId="0" xfId="0" applyFont="1"/>
    <xf numFmtId="0" fontId="2" fillId="0" borderId="1" xfId="0" applyFont="1" applyBorder="1"/>
    <xf numFmtId="166" fontId="5" fillId="0" borderId="1" xfId="0" applyNumberFormat="1" applyFont="1" applyBorder="1"/>
    <xf numFmtId="166" fontId="0" fillId="0" borderId="0" xfId="0" applyNumberFormat="1" applyBorder="1"/>
    <xf numFmtId="0" fontId="9" fillId="0" borderId="0" xfId="0" applyFont="1" applyBorder="1"/>
    <xf numFmtId="165" fontId="0" fillId="2" borderId="0" xfId="0" applyNumberFormat="1" applyFill="1" applyBorder="1"/>
    <xf numFmtId="0" fontId="5" fillId="0" borderId="0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6" fillId="0" borderId="1" xfId="0" applyFont="1" applyBorder="1"/>
    <xf numFmtId="1" fontId="0" fillId="0" borderId="0" xfId="0" applyNumberFormat="1" applyBorder="1"/>
    <xf numFmtId="0" fontId="0" fillId="2" borderId="1" xfId="0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166" fontId="5" fillId="0" borderId="1" xfId="0" applyNumberFormat="1" applyFont="1" applyFill="1" applyBorder="1"/>
    <xf numFmtId="165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7" fillId="0" borderId="1" xfId="0" applyFont="1" applyFill="1" applyBorder="1"/>
    <xf numFmtId="166" fontId="3" fillId="0" borderId="1" xfId="0" applyNumberFormat="1" applyFont="1" applyFill="1" applyBorder="1"/>
    <xf numFmtId="164" fontId="1" fillId="0" borderId="1" xfId="1" applyFont="1" applyFill="1" applyBorder="1" applyAlignment="1">
      <alignment vertical="top"/>
    </xf>
    <xf numFmtId="0" fontId="9" fillId="0" borderId="4" xfId="0" applyFont="1" applyBorder="1"/>
    <xf numFmtId="166" fontId="3" fillId="2" borderId="1" xfId="0" applyNumberFormat="1" applyFont="1" applyFill="1" applyBorder="1"/>
    <xf numFmtId="165" fontId="2" fillId="2" borderId="1" xfId="0" applyNumberFormat="1" applyFont="1" applyFill="1" applyBorder="1" applyAlignment="1">
      <alignment vertical="top"/>
    </xf>
    <xf numFmtId="166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vertical="top"/>
    </xf>
    <xf numFmtId="164" fontId="2" fillId="2" borderId="1" xfId="1" applyFont="1" applyFill="1" applyBorder="1" applyAlignment="1">
      <alignment vertical="top"/>
    </xf>
    <xf numFmtId="164" fontId="7" fillId="0" borderId="1" xfId="1" applyFont="1" applyFill="1" applyBorder="1" applyAlignment="1">
      <alignment vertical="top"/>
    </xf>
    <xf numFmtId="0" fontId="9" fillId="0" borderId="4" xfId="0" applyFont="1" applyFill="1" applyBorder="1"/>
    <xf numFmtId="164" fontId="6" fillId="0" borderId="1" xfId="1" applyFont="1" applyFill="1" applyBorder="1" applyAlignment="1">
      <alignment vertical="top"/>
    </xf>
    <xf numFmtId="0" fontId="0" fillId="0" borderId="1" xfId="0" applyFont="1" applyFill="1" applyBorder="1"/>
    <xf numFmtId="166" fontId="0" fillId="0" borderId="1" xfId="0" applyNumberFormat="1" applyFont="1" applyFill="1" applyBorder="1"/>
    <xf numFmtId="0" fontId="7" fillId="0" borderId="0" xfId="0" applyFont="1" applyBorder="1"/>
    <xf numFmtId="165" fontId="0" fillId="0" borderId="1" xfId="0" applyNumberFormat="1" applyFont="1" applyFill="1" applyBorder="1" applyAlignment="1">
      <alignment vertical="top"/>
    </xf>
    <xf numFmtId="166" fontId="0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/>
    <xf numFmtId="165" fontId="7" fillId="0" borderId="1" xfId="0" applyNumberFormat="1" applyFont="1" applyFill="1" applyBorder="1" applyAlignment="1">
      <alignment vertical="top"/>
    </xf>
    <xf numFmtId="166" fontId="7" fillId="0" borderId="1" xfId="0" applyNumberFormat="1" applyFont="1" applyFill="1" applyBorder="1" applyAlignment="1">
      <alignment vertical="top"/>
    </xf>
    <xf numFmtId="166" fontId="7" fillId="0" borderId="1" xfId="0" applyNumberFormat="1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64" fontId="8" fillId="2" borderId="1" xfId="1" applyFont="1" applyFill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0" fillId="0" borderId="0" xfId="0" applyFont="1" applyBorder="1"/>
    <xf numFmtId="165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/>
    <xf numFmtId="166" fontId="5" fillId="0" borderId="1" xfId="0" applyNumberFormat="1" applyFont="1" applyFill="1" applyBorder="1" applyAlignment="1">
      <alignment vertical="top"/>
    </xf>
    <xf numFmtId="164" fontId="5" fillId="0" borderId="1" xfId="1" applyFont="1" applyFill="1" applyBorder="1" applyAlignment="1">
      <alignment vertical="top"/>
    </xf>
    <xf numFmtId="0" fontId="5" fillId="2" borderId="1" xfId="0" applyFont="1" applyFill="1" applyBorder="1"/>
    <xf numFmtId="0" fontId="8" fillId="2" borderId="1" xfId="0" applyFont="1" applyFill="1" applyBorder="1"/>
    <xf numFmtId="165" fontId="6" fillId="0" borderId="1" xfId="0" applyNumberFormat="1" applyFont="1" applyBorder="1" applyAlignment="1">
      <alignment vertical="top"/>
    </xf>
    <xf numFmtId="166" fontId="6" fillId="0" borderId="1" xfId="0" applyNumberFormat="1" applyFont="1" applyBorder="1" applyAlignment="1">
      <alignment vertical="top"/>
    </xf>
    <xf numFmtId="166" fontId="6" fillId="0" borderId="1" xfId="0" applyNumberFormat="1" applyFont="1" applyBorder="1"/>
    <xf numFmtId="0" fontId="6" fillId="0" borderId="1" xfId="0" applyFont="1" applyFill="1" applyBorder="1"/>
    <xf numFmtId="0" fontId="8" fillId="0" borderId="0" xfId="0" applyFont="1" applyFill="1" applyBorder="1"/>
    <xf numFmtId="0" fontId="6" fillId="0" borderId="0" xfId="0" applyFont="1" applyBorder="1"/>
    <xf numFmtId="166" fontId="6" fillId="0" borderId="1" xfId="0" applyNumberFormat="1" applyFont="1" applyFill="1" applyBorder="1"/>
    <xf numFmtId="165" fontId="8" fillId="2" borderId="1" xfId="0" applyNumberFormat="1" applyFont="1" applyFill="1" applyBorder="1" applyAlignment="1">
      <alignment vertical="top"/>
    </xf>
    <xf numFmtId="166" fontId="8" fillId="2" borderId="1" xfId="0" applyNumberFormat="1" applyFont="1" applyFill="1" applyBorder="1" applyAlignment="1">
      <alignment vertical="top"/>
    </xf>
    <xf numFmtId="166" fontId="8" fillId="2" borderId="1" xfId="0" applyNumberFormat="1" applyFont="1" applyFill="1" applyBorder="1"/>
    <xf numFmtId="0" fontId="8" fillId="2" borderId="0" xfId="0" applyFont="1" applyFill="1" applyBorder="1"/>
    <xf numFmtId="164" fontId="6" fillId="0" borderId="1" xfId="1" applyFont="1" applyFill="1" applyBorder="1"/>
    <xf numFmtId="0" fontId="7" fillId="0" borderId="0" xfId="0" applyFont="1" applyFill="1" applyBorder="1"/>
    <xf numFmtId="166" fontId="0" fillId="0" borderId="4" xfId="0" applyNumberFormat="1" applyFont="1" applyFill="1" applyBorder="1" applyAlignment="1">
      <alignment vertical="top"/>
    </xf>
    <xf numFmtId="166" fontId="0" fillId="0" borderId="4" xfId="0" applyNumberFormat="1" applyBorder="1" applyAlignment="1">
      <alignment vertical="top"/>
    </xf>
    <xf numFmtId="0" fontId="0" fillId="0" borderId="4" xfId="0" applyBorder="1"/>
    <xf numFmtId="0" fontId="0" fillId="0" borderId="3" xfId="0" applyFont="1" applyFill="1" applyBorder="1"/>
    <xf numFmtId="0" fontId="0" fillId="0" borderId="3" xfId="0" applyBorder="1"/>
    <xf numFmtId="165" fontId="0" fillId="3" borderId="1" xfId="0" applyNumberFormat="1" applyFill="1" applyBorder="1" applyAlignment="1">
      <alignment vertical="top"/>
    </xf>
    <xf numFmtId="0" fontId="0" fillId="3" borderId="1" xfId="0" applyFill="1" applyBorder="1"/>
    <xf numFmtId="166" fontId="0" fillId="3" borderId="1" xfId="0" applyNumberFormat="1" applyFill="1" applyBorder="1" applyAlignment="1">
      <alignment vertical="top"/>
    </xf>
    <xf numFmtId="166" fontId="0" fillId="3" borderId="1" xfId="0" applyNumberFormat="1" applyFill="1" applyBorder="1"/>
    <xf numFmtId="164" fontId="0" fillId="3" borderId="1" xfId="1" applyFont="1" applyFill="1" applyBorder="1" applyAlignment="1">
      <alignment vertical="top"/>
    </xf>
    <xf numFmtId="0" fontId="0" fillId="3" borderId="0" xfId="0" applyFill="1" applyBorder="1"/>
    <xf numFmtId="0" fontId="9" fillId="0" borderId="1" xfId="0" applyFont="1" applyBorder="1"/>
    <xf numFmtId="0" fontId="0" fillId="0" borderId="0" xfId="0" applyFill="1" applyBorder="1"/>
    <xf numFmtId="0" fontId="5" fillId="0" borderId="0" xfId="0" applyFont="1" applyFill="1" applyBorder="1"/>
    <xf numFmtId="0" fontId="6" fillId="3" borderId="1" xfId="0" applyFont="1" applyFill="1" applyBorder="1"/>
    <xf numFmtId="0" fontId="0" fillId="0" borderId="1" xfId="0" applyFont="1" applyBorder="1"/>
    <xf numFmtId="164" fontId="6" fillId="3" borderId="1" xfId="1" applyFont="1" applyFill="1" applyBorder="1" applyAlignment="1">
      <alignment vertical="top"/>
    </xf>
    <xf numFmtId="165" fontId="0" fillId="0" borderId="6" xfId="0" applyNumberFormat="1" applyBorder="1" applyAlignment="1">
      <alignment vertical="top"/>
    </xf>
    <xf numFmtId="0" fontId="0" fillId="0" borderId="6" xfId="0" applyBorder="1"/>
    <xf numFmtId="166" fontId="0" fillId="0" borderId="6" xfId="0" applyNumberFormat="1" applyBorder="1" applyAlignment="1">
      <alignment vertical="top"/>
    </xf>
    <xf numFmtId="166" fontId="0" fillId="0" borderId="7" xfId="0" applyNumberFormat="1" applyBorder="1" applyAlignment="1">
      <alignment vertical="top"/>
    </xf>
    <xf numFmtId="166" fontId="0" fillId="0" borderId="6" xfId="0" applyNumberFormat="1" applyBorder="1"/>
    <xf numFmtId="0" fontId="9" fillId="0" borderId="1" xfId="0" applyFont="1" applyFill="1" applyBorder="1"/>
    <xf numFmtId="0" fontId="10" fillId="0" borderId="1" xfId="0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0" fontId="10" fillId="2" borderId="4" xfId="0" applyFont="1" applyFill="1" applyBorder="1"/>
    <xf numFmtId="166" fontId="2" fillId="2" borderId="4" xfId="0" applyNumberFormat="1" applyFont="1" applyFill="1" applyBorder="1" applyAlignment="1">
      <alignment vertical="top"/>
    </xf>
    <xf numFmtId="0" fontId="2" fillId="2" borderId="3" xfId="0" applyFont="1" applyFill="1" applyBorder="1"/>
    <xf numFmtId="0" fontId="5" fillId="0" borderId="4" xfId="0" applyFont="1" applyBorder="1"/>
    <xf numFmtId="165" fontId="5" fillId="0" borderId="1" xfId="0" applyNumberFormat="1" applyFont="1" applyBorder="1" applyAlignment="1">
      <alignment vertical="top"/>
    </xf>
    <xf numFmtId="166" fontId="5" fillId="0" borderId="1" xfId="0" applyNumberFormat="1" applyFont="1" applyBorder="1" applyAlignment="1">
      <alignment vertical="top"/>
    </xf>
    <xf numFmtId="166" fontId="5" fillId="0" borderId="4" xfId="0" applyNumberFormat="1" applyFont="1" applyBorder="1" applyAlignment="1">
      <alignment vertical="top"/>
    </xf>
    <xf numFmtId="0" fontId="5" fillId="0" borderId="3" xfId="0" applyFont="1" applyBorder="1"/>
    <xf numFmtId="164" fontId="0" fillId="2" borderId="1" xfId="1" applyFont="1" applyFill="1" applyBorder="1" applyAlignment="1">
      <alignment vertical="top"/>
    </xf>
    <xf numFmtId="164" fontId="7" fillId="0" borderId="1" xfId="1" applyFont="1" applyFill="1" applyBorder="1"/>
    <xf numFmtId="0" fontId="6" fillId="0" borderId="4" xfId="0" applyFont="1" applyFill="1" applyBorder="1"/>
    <xf numFmtId="165" fontId="6" fillId="0" borderId="1" xfId="0" applyNumberFormat="1" applyFont="1" applyFill="1" applyBorder="1" applyAlignment="1">
      <alignment vertical="top"/>
    </xf>
    <xf numFmtId="166" fontId="6" fillId="0" borderId="1" xfId="0" applyNumberFormat="1" applyFont="1" applyFill="1" applyBorder="1" applyAlignment="1">
      <alignment vertical="top"/>
    </xf>
    <xf numFmtId="166" fontId="6" fillId="0" borderId="4" xfId="0" applyNumberFormat="1" applyFont="1" applyFill="1" applyBorder="1" applyAlignment="1">
      <alignment vertical="top"/>
    </xf>
    <xf numFmtId="0" fontId="6" fillId="0" borderId="3" xfId="0" applyFont="1" applyFill="1" applyBorder="1"/>
    <xf numFmtId="164" fontId="5" fillId="2" borderId="1" xfId="1" applyFont="1" applyFill="1" applyBorder="1" applyAlignment="1">
      <alignment vertical="top"/>
    </xf>
    <xf numFmtId="165" fontId="0" fillId="4" borderId="1" xfId="0" applyNumberFormat="1" applyFill="1" applyBorder="1" applyAlignment="1">
      <alignment vertical="top"/>
    </xf>
    <xf numFmtId="0" fontId="0" fillId="4" borderId="1" xfId="0" applyFill="1" applyBorder="1"/>
    <xf numFmtId="0" fontId="5" fillId="4" borderId="1" xfId="0" applyFont="1" applyFill="1" applyBorder="1"/>
    <xf numFmtId="166" fontId="0" fillId="4" borderId="1" xfId="0" applyNumberFormat="1" applyFill="1" applyBorder="1" applyAlignment="1">
      <alignment vertical="top"/>
    </xf>
    <xf numFmtId="0" fontId="0" fillId="4" borderId="3" xfId="0" applyFill="1" applyBorder="1"/>
    <xf numFmtId="166" fontId="0" fillId="4" borderId="1" xfId="0" applyNumberFormat="1" applyFill="1" applyBorder="1"/>
    <xf numFmtId="164" fontId="0" fillId="4" borderId="1" xfId="1" applyFont="1" applyFill="1" applyBorder="1" applyAlignment="1">
      <alignment vertical="top"/>
    </xf>
    <xf numFmtId="0" fontId="7" fillId="0" borderId="4" xfId="0" applyFont="1" applyBorder="1"/>
    <xf numFmtId="166" fontId="7" fillId="0" borderId="4" xfId="0" applyNumberFormat="1" applyFont="1" applyBorder="1" applyAlignment="1">
      <alignment vertical="top"/>
    </xf>
    <xf numFmtId="0" fontId="7" fillId="0" borderId="3" xfId="0" applyFont="1" applyBorder="1"/>
    <xf numFmtId="0" fontId="9" fillId="2" borderId="4" xfId="0" applyFont="1" applyFill="1" applyBorder="1"/>
    <xf numFmtId="165" fontId="0" fillId="2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0" fontId="0" fillId="2" borderId="3" xfId="0" applyFill="1" applyBorder="1"/>
    <xf numFmtId="166" fontId="0" fillId="2" borderId="1" xfId="0" applyNumberFormat="1" applyFill="1" applyBorder="1"/>
    <xf numFmtId="166" fontId="0" fillId="0" borderId="4" xfId="0" applyNumberFormat="1" applyBorder="1"/>
    <xf numFmtId="166" fontId="6" fillId="0" borderId="0" xfId="0" applyNumberFormat="1" applyFont="1" applyFill="1" applyBorder="1"/>
    <xf numFmtId="0" fontId="4" fillId="0" borderId="0" xfId="0" applyFont="1" applyFill="1" applyBorder="1"/>
    <xf numFmtId="14" fontId="6" fillId="0" borderId="1" xfId="0" applyNumberFormat="1" applyFont="1" applyBorder="1"/>
    <xf numFmtId="0" fontId="9" fillId="0" borderId="7" xfId="0" applyFont="1" applyBorder="1"/>
    <xf numFmtId="0" fontId="7" fillId="0" borderId="6" xfId="0" applyFont="1" applyBorder="1"/>
    <xf numFmtId="0" fontId="0" fillId="0" borderId="8" xfId="0" applyBorder="1"/>
    <xf numFmtId="0" fontId="0" fillId="0" borderId="6" xfId="0" applyFont="1" applyBorder="1"/>
    <xf numFmtId="0" fontId="9" fillId="0" borderId="9" xfId="0" applyFont="1" applyBorder="1"/>
    <xf numFmtId="165" fontId="0" fillId="0" borderId="2" xfId="0" applyNumberFormat="1" applyBorder="1" applyAlignment="1">
      <alignment vertical="top"/>
    </xf>
    <xf numFmtId="0" fontId="0" fillId="0" borderId="2" xfId="0" applyBorder="1"/>
    <xf numFmtId="0" fontId="6" fillId="0" borderId="2" xfId="0" applyFont="1" applyFill="1" applyBorder="1"/>
    <xf numFmtId="166" fontId="0" fillId="0" borderId="2" xfId="0" applyNumberFormat="1" applyBorder="1" applyAlignment="1">
      <alignment vertical="top"/>
    </xf>
    <xf numFmtId="0" fontId="0" fillId="0" borderId="10" xfId="0" applyBorder="1"/>
    <xf numFmtId="166" fontId="0" fillId="0" borderId="2" xfId="0" applyNumberFormat="1" applyBorder="1"/>
    <xf numFmtId="164" fontId="7" fillId="0" borderId="2" xfId="1" applyFont="1" applyFill="1" applyBorder="1" applyAlignment="1">
      <alignment vertical="top"/>
    </xf>
    <xf numFmtId="0" fontId="6" fillId="0" borderId="4" xfId="0" applyFont="1" applyBorder="1"/>
    <xf numFmtId="0" fontId="11" fillId="0" borderId="0" xfId="0" applyNumberFormat="1" applyFont="1" applyFill="1" applyBorder="1"/>
    <xf numFmtId="1" fontId="11" fillId="0" borderId="0" xfId="0" applyNumberFormat="1" applyFont="1" applyFill="1" applyBorder="1"/>
    <xf numFmtId="0" fontId="6" fillId="0" borderId="3" xfId="0" applyFont="1" applyBorder="1"/>
    <xf numFmtId="0" fontId="10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6" fillId="2" borderId="1" xfId="0" applyFont="1" applyFill="1" applyBorder="1"/>
    <xf numFmtId="164" fontId="0" fillId="0" borderId="6" xfId="1" applyFont="1" applyFill="1" applyBorder="1" applyAlignment="1">
      <alignment vertical="top"/>
    </xf>
    <xf numFmtId="0" fontId="10" fillId="0" borderId="6" xfId="0" applyFont="1" applyFill="1" applyBorder="1" applyAlignment="1">
      <alignment horizontal="right"/>
    </xf>
    <xf numFmtId="164" fontId="8" fillId="0" borderId="1" xfId="1" applyFont="1" applyFill="1" applyBorder="1" applyAlignment="1">
      <alignment vertical="top"/>
    </xf>
    <xf numFmtId="0" fontId="8" fillId="0" borderId="0" xfId="0" applyFont="1" applyBorder="1"/>
    <xf numFmtId="0" fontId="5" fillId="0" borderId="7" xfId="0" applyFont="1" applyBorder="1"/>
    <xf numFmtId="165" fontId="5" fillId="0" borderId="6" xfId="0" applyNumberFormat="1" applyFont="1" applyBorder="1" applyAlignment="1">
      <alignment vertical="top"/>
    </xf>
    <xf numFmtId="0" fontId="5" fillId="0" borderId="6" xfId="0" applyFont="1" applyBorder="1"/>
    <xf numFmtId="166" fontId="5" fillId="0" borderId="6" xfId="0" applyNumberFormat="1" applyFont="1" applyBorder="1" applyAlignment="1">
      <alignment vertical="top"/>
    </xf>
    <xf numFmtId="0" fontId="5" fillId="0" borderId="8" xfId="0" applyFont="1" applyBorder="1"/>
    <xf numFmtId="166" fontId="5" fillId="0" borderId="6" xfId="0" applyNumberFormat="1" applyFont="1" applyBorder="1"/>
    <xf numFmtId="164" fontId="5" fillId="0" borderId="6" xfId="1" applyFont="1" applyFill="1" applyBorder="1" applyAlignment="1">
      <alignment vertical="top"/>
    </xf>
    <xf numFmtId="0" fontId="12" fillId="2" borderId="0" xfId="0" applyFont="1" applyFill="1" applyBorder="1"/>
    <xf numFmtId="0" fontId="12" fillId="0" borderId="0" xfId="0" applyFont="1" applyFill="1" applyBorder="1"/>
    <xf numFmtId="0" fontId="2" fillId="2" borderId="0" xfId="0" applyFont="1" applyFill="1" applyBorder="1"/>
    <xf numFmtId="164" fontId="7" fillId="0" borderId="0" xfId="1" applyFont="1" applyFill="1" applyBorder="1" applyAlignment="1">
      <alignment vertical="top"/>
    </xf>
    <xf numFmtId="166" fontId="6" fillId="0" borderId="4" xfId="0" applyNumberFormat="1" applyFont="1" applyFill="1" applyBorder="1"/>
    <xf numFmtId="166" fontId="3" fillId="0" borderId="4" xfId="0" applyNumberFormat="1" applyFont="1" applyFill="1" applyBorder="1"/>
    <xf numFmtId="166" fontId="3" fillId="2" borderId="4" xfId="0" applyNumberFormat="1" applyFont="1" applyFill="1" applyBorder="1"/>
    <xf numFmtId="166" fontId="0" fillId="0" borderId="4" xfId="0" applyNumberFormat="1" applyFont="1" applyFill="1" applyBorder="1"/>
    <xf numFmtId="166" fontId="5" fillId="0" borderId="4" xfId="0" applyNumberFormat="1" applyFont="1" applyFill="1" applyBorder="1"/>
    <xf numFmtId="166" fontId="7" fillId="0" borderId="4" xfId="0" applyNumberFormat="1" applyFont="1" applyFill="1" applyBorder="1"/>
    <xf numFmtId="166" fontId="6" fillId="3" borderId="4" xfId="0" applyNumberFormat="1" applyFont="1" applyFill="1" applyBorder="1"/>
    <xf numFmtId="166" fontId="8" fillId="2" borderId="4" xfId="0" applyNumberFormat="1" applyFont="1" applyFill="1" applyBorder="1"/>
    <xf numFmtId="166" fontId="6" fillId="0" borderId="7" xfId="0" applyNumberFormat="1" applyFont="1" applyFill="1" applyBorder="1"/>
    <xf numFmtId="166" fontId="6" fillId="4" borderId="7" xfId="0" applyNumberFormat="1" applyFont="1" applyFill="1" applyBorder="1"/>
    <xf numFmtId="166" fontId="5" fillId="0" borderId="7" xfId="0" applyNumberFormat="1" applyFont="1" applyFill="1" applyBorder="1"/>
    <xf numFmtId="166" fontId="0" fillId="0" borderId="7" xfId="0" applyNumberFormat="1" applyBorder="1"/>
    <xf numFmtId="166" fontId="6" fillId="0" borderId="5" xfId="0" applyNumberFormat="1" applyFont="1" applyFill="1" applyBorder="1"/>
    <xf numFmtId="166" fontId="7" fillId="0" borderId="4" xfId="0" applyNumberFormat="1" applyFont="1" applyBorder="1"/>
    <xf numFmtId="0" fontId="2" fillId="0" borderId="3" xfId="0" applyFont="1" applyBorder="1"/>
    <xf numFmtId="0" fontId="3" fillId="0" borderId="3" xfId="0" applyFont="1" applyFill="1" applyBorder="1"/>
    <xf numFmtId="0" fontId="4" fillId="2" borderId="3" xfId="0" applyFont="1" applyFill="1" applyBorder="1"/>
    <xf numFmtId="0" fontId="4" fillId="0" borderId="3" xfId="0" applyFont="1" applyFill="1" applyBorder="1"/>
    <xf numFmtId="0" fontId="4" fillId="0" borderId="8" xfId="0" applyFont="1" applyFill="1" applyBorder="1"/>
    <xf numFmtId="0" fontId="4" fillId="0" borderId="10" xfId="0" applyFont="1" applyFill="1" applyBorder="1"/>
    <xf numFmtId="0" fontId="5" fillId="0" borderId="3" xfId="0" applyFont="1" applyFill="1" applyBorder="1"/>
    <xf numFmtId="0" fontId="6" fillId="0" borderId="8" xfId="0" applyFont="1" applyFill="1" applyBorder="1"/>
    <xf numFmtId="0" fontId="5" fillId="0" borderId="8" xfId="0" applyFont="1" applyFill="1" applyBorder="1"/>
    <xf numFmtId="166" fontId="6" fillId="4" borderId="1" xfId="0" applyNumberFormat="1" applyFont="1" applyFill="1" applyBorder="1"/>
    <xf numFmtId="165" fontId="5" fillId="2" borderId="1" xfId="0" applyNumberFormat="1" applyFont="1" applyFill="1" applyBorder="1" applyAlignment="1">
      <alignment vertical="top"/>
    </xf>
    <xf numFmtId="166" fontId="5" fillId="2" borderId="1" xfId="0" applyNumberFormat="1" applyFont="1" applyFill="1" applyBorder="1" applyAlignment="1">
      <alignment vertical="top"/>
    </xf>
    <xf numFmtId="0" fontId="5" fillId="2" borderId="3" xfId="0" applyFont="1" applyFill="1" applyBorder="1"/>
    <xf numFmtId="166" fontId="5" fillId="2" borderId="1" xfId="0" applyNumberFormat="1" applyFont="1" applyFill="1" applyBorder="1"/>
    <xf numFmtId="0" fontId="5" fillId="2" borderId="0" xfId="0" applyFont="1" applyFill="1" applyBorder="1"/>
    <xf numFmtId="164" fontId="0" fillId="0" borderId="4" xfId="1" applyFont="1" applyFill="1" applyBorder="1" applyAlignment="1">
      <alignment vertical="top"/>
    </xf>
    <xf numFmtId="164" fontId="5" fillId="2" borderId="4" xfId="1" applyFont="1" applyFill="1" applyBorder="1" applyAlignment="1">
      <alignment vertical="top"/>
    </xf>
    <xf numFmtId="0" fontId="5" fillId="2" borderId="4" xfId="0" applyFont="1" applyFill="1" applyBorder="1"/>
    <xf numFmtId="164" fontId="7" fillId="0" borderId="4" xfId="1" applyFont="1" applyFill="1" applyBorder="1" applyAlignment="1">
      <alignment vertical="top"/>
    </xf>
    <xf numFmtId="0" fontId="0" fillId="0" borderId="0" xfId="0" applyFont="1" applyFill="1" applyBorder="1"/>
    <xf numFmtId="15" fontId="0" fillId="0" borderId="1" xfId="0" applyNumberFormat="1" applyBorder="1"/>
    <xf numFmtId="15" fontId="0" fillId="0" borderId="4" xfId="0" applyNumberFormat="1" applyBorder="1"/>
    <xf numFmtId="164" fontId="0" fillId="0" borderId="4" xfId="1" applyFont="1" applyBorder="1"/>
    <xf numFmtId="0" fontId="0" fillId="0" borderId="4" xfId="0" applyFont="1" applyBorder="1"/>
    <xf numFmtId="165" fontId="0" fillId="0" borderId="1" xfId="0" applyNumberFormat="1" applyFont="1" applyBorder="1" applyAlignment="1">
      <alignment vertical="top"/>
    </xf>
    <xf numFmtId="166" fontId="0" fillId="0" borderId="1" xfId="0" applyNumberFormat="1" applyFont="1" applyBorder="1" applyAlignment="1">
      <alignment vertical="top"/>
    </xf>
    <xf numFmtId="0" fontId="0" fillId="0" borderId="3" xfId="0" applyFont="1" applyBorder="1"/>
    <xf numFmtId="166" fontId="0" fillId="0" borderId="1" xfId="0" applyNumberFormat="1" applyFont="1" applyBorder="1"/>
    <xf numFmtId="0" fontId="9" fillId="0" borderId="0" xfId="0" applyFont="1" applyFill="1" applyBorder="1"/>
    <xf numFmtId="15" fontId="0" fillId="0" borderId="1" xfId="0" applyNumberFormat="1" applyFont="1" applyBorder="1"/>
    <xf numFmtId="164" fontId="0" fillId="0" borderId="4" xfId="1" applyFont="1" applyFill="1" applyBorder="1"/>
    <xf numFmtId="15" fontId="0" fillId="0" borderId="4" xfId="0" applyNumberFormat="1" applyFont="1" applyBorder="1"/>
    <xf numFmtId="0" fontId="13" fillId="0" borderId="4" xfId="0" applyFont="1" applyFill="1" applyBorder="1"/>
    <xf numFmtId="165" fontId="13" fillId="0" borderId="1" xfId="0" applyNumberFormat="1" applyFont="1" applyFill="1" applyBorder="1" applyAlignment="1">
      <alignment vertical="top"/>
    </xf>
    <xf numFmtId="0" fontId="13" fillId="0" borderId="1" xfId="0" applyFont="1" applyFill="1" applyBorder="1"/>
    <xf numFmtId="166" fontId="13" fillId="0" borderId="1" xfId="0" applyNumberFormat="1" applyFont="1" applyFill="1" applyBorder="1" applyAlignment="1">
      <alignment vertical="top"/>
    </xf>
    <xf numFmtId="0" fontId="13" fillId="0" borderId="3" xfId="0" applyFont="1" applyFill="1" applyBorder="1"/>
    <xf numFmtId="166" fontId="13" fillId="0" borderId="1" xfId="0" applyNumberFormat="1" applyFont="1" applyFill="1" applyBorder="1"/>
    <xf numFmtId="164" fontId="13" fillId="0" borderId="4" xfId="1" applyFont="1" applyFill="1" applyBorder="1" applyAlignment="1">
      <alignment vertical="top"/>
    </xf>
    <xf numFmtId="0" fontId="0" fillId="0" borderId="7" xfId="0" applyFont="1" applyBorder="1"/>
    <xf numFmtId="165" fontId="0" fillId="0" borderId="6" xfId="0" applyNumberFormat="1" applyFont="1" applyBorder="1" applyAlignment="1">
      <alignment vertical="top"/>
    </xf>
    <xf numFmtId="164" fontId="0" fillId="0" borderId="1" xfId="1" applyFont="1" applyBorder="1"/>
    <xf numFmtId="0" fontId="6" fillId="5" borderId="4" xfId="0" applyFont="1" applyFill="1" applyBorder="1"/>
    <xf numFmtId="165" fontId="6" fillId="5" borderId="1" xfId="0" applyNumberFormat="1" applyFont="1" applyFill="1" applyBorder="1" applyAlignment="1">
      <alignment vertical="top"/>
    </xf>
    <xf numFmtId="0" fontId="6" fillId="5" borderId="1" xfId="0" applyFont="1" applyFill="1" applyBorder="1"/>
    <xf numFmtId="166" fontId="6" fillId="5" borderId="1" xfId="0" applyNumberFormat="1" applyFont="1" applyFill="1" applyBorder="1" applyAlignment="1">
      <alignment vertical="top"/>
    </xf>
    <xf numFmtId="0" fontId="6" fillId="5" borderId="3" xfId="0" applyFont="1" applyFill="1" applyBorder="1"/>
    <xf numFmtId="166" fontId="6" fillId="5" borderId="1" xfId="0" applyNumberFormat="1" applyFont="1" applyFill="1" applyBorder="1"/>
    <xf numFmtId="164" fontId="6" fillId="5" borderId="1" xfId="1" applyFont="1" applyFill="1" applyBorder="1" applyAlignment="1">
      <alignment vertical="top"/>
    </xf>
    <xf numFmtId="166" fontId="6" fillId="5" borderId="4" xfId="0" applyNumberFormat="1" applyFont="1" applyFill="1" applyBorder="1"/>
    <xf numFmtId="0" fontId="6" fillId="5" borderId="0" xfId="0" applyFont="1" applyFill="1" applyBorder="1"/>
    <xf numFmtId="0" fontId="9" fillId="5" borderId="4" xfId="0" applyFont="1" applyFill="1" applyBorder="1"/>
    <xf numFmtId="165" fontId="0" fillId="5" borderId="1" xfId="0" applyNumberFormat="1" applyFill="1" applyBorder="1" applyAlignment="1">
      <alignment vertical="top"/>
    </xf>
    <xf numFmtId="0" fontId="0" fillId="5" borderId="1" xfId="0" applyFill="1" applyBorder="1"/>
    <xf numFmtId="166" fontId="0" fillId="5" borderId="1" xfId="0" applyNumberFormat="1" applyFill="1" applyBorder="1" applyAlignment="1">
      <alignment vertical="top"/>
    </xf>
    <xf numFmtId="0" fontId="0" fillId="5" borderId="3" xfId="0" applyFill="1" applyBorder="1"/>
    <xf numFmtId="166" fontId="0" fillId="5" borderId="1" xfId="0" applyNumberFormat="1" applyFill="1" applyBorder="1"/>
    <xf numFmtId="0" fontId="0" fillId="5" borderId="0" xfId="0" applyFill="1" applyBorder="1"/>
    <xf numFmtId="0" fontId="10" fillId="5" borderId="4" xfId="0" applyFont="1" applyFill="1" applyBorder="1"/>
    <xf numFmtId="0" fontId="0" fillId="5" borderId="1" xfId="0" applyFont="1" applyFill="1" applyBorder="1"/>
    <xf numFmtId="0" fontId="7" fillId="5" borderId="4" xfId="0" applyFont="1" applyFill="1" applyBorder="1"/>
    <xf numFmtId="165" fontId="7" fillId="5" borderId="1" xfId="0" applyNumberFormat="1" applyFont="1" applyFill="1" applyBorder="1" applyAlignment="1">
      <alignment vertical="top"/>
    </xf>
    <xf numFmtId="0" fontId="7" fillId="5" borderId="1" xfId="0" applyFont="1" applyFill="1" applyBorder="1"/>
    <xf numFmtId="166" fontId="7" fillId="5" borderId="1" xfId="0" applyNumberFormat="1" applyFont="1" applyFill="1" applyBorder="1" applyAlignment="1">
      <alignment vertical="top"/>
    </xf>
    <xf numFmtId="0" fontId="7" fillId="5" borderId="3" xfId="0" applyFont="1" applyFill="1" applyBorder="1"/>
    <xf numFmtId="166" fontId="7" fillId="5" borderId="1" xfId="0" applyNumberFormat="1" applyFont="1" applyFill="1" applyBorder="1"/>
    <xf numFmtId="0" fontId="7" fillId="5" borderId="0" xfId="0" applyFont="1" applyFill="1" applyBorder="1"/>
    <xf numFmtId="0" fontId="5" fillId="5" borderId="0" xfId="0" applyFont="1" applyFill="1" applyBorder="1"/>
    <xf numFmtId="0" fontId="0" fillId="5" borderId="0" xfId="0" applyFill="1"/>
    <xf numFmtId="0" fontId="5" fillId="5" borderId="4" xfId="0" applyFont="1" applyFill="1" applyBorder="1"/>
    <xf numFmtId="164" fontId="7" fillId="5" borderId="1" xfId="1" applyFont="1" applyFill="1" applyBorder="1"/>
    <xf numFmtId="166" fontId="7" fillId="5" borderId="4" xfId="0" applyNumberFormat="1" applyFont="1" applyFill="1" applyBorder="1"/>
    <xf numFmtId="164" fontId="0" fillId="0" borderId="3" xfId="1" applyFont="1" applyBorder="1"/>
    <xf numFmtId="164" fontId="2" fillId="0" borderId="1" xfId="1" applyFont="1" applyFill="1" applyBorder="1" applyAlignment="1">
      <alignment horizontal="right"/>
    </xf>
    <xf numFmtId="15" fontId="6" fillId="0" borderId="1" xfId="0" applyNumberFormat="1" applyFont="1" applyBorder="1"/>
    <xf numFmtId="164" fontId="6" fillId="0" borderId="1" xfId="1" applyFont="1" applyBorder="1"/>
    <xf numFmtId="0" fontId="6" fillId="0" borderId="0" xfId="0" applyFont="1" applyFill="1" applyBorder="1"/>
    <xf numFmtId="15" fontId="6" fillId="0" borderId="4" xfId="0" applyNumberFormat="1" applyFont="1" applyBorder="1"/>
    <xf numFmtId="164" fontId="5" fillId="0" borderId="0" xfId="1" applyFont="1" applyBorder="1"/>
    <xf numFmtId="15" fontId="7" fillId="0" borderId="1" xfId="0" applyNumberFormat="1" applyFont="1" applyBorder="1"/>
    <xf numFmtId="15" fontId="7" fillId="0" borderId="4" xfId="0" applyNumberFormat="1" applyFont="1" applyBorder="1"/>
    <xf numFmtId="164" fontId="7" fillId="0" borderId="0" xfId="1" applyFont="1" applyBorder="1"/>
    <xf numFmtId="164" fontId="7" fillId="0" borderId="1" xfId="1" applyFont="1" applyBorder="1"/>
    <xf numFmtId="166" fontId="6" fillId="0" borderId="4" xfId="0" applyNumberFormat="1" applyFont="1" applyBorder="1" applyAlignment="1">
      <alignment vertical="top"/>
    </xf>
    <xf numFmtId="0" fontId="8" fillId="0" borderId="4" xfId="0" applyFont="1" applyBorder="1"/>
    <xf numFmtId="0" fontId="6" fillId="0" borderId="5" xfId="0" applyFont="1" applyFill="1" applyBorder="1"/>
    <xf numFmtId="14" fontId="0" fillId="0" borderId="1" xfId="0" applyNumberFormat="1" applyBorder="1"/>
    <xf numFmtId="0" fontId="9" fillId="0" borderId="6" xfId="0" applyFont="1" applyBorder="1"/>
    <xf numFmtId="15" fontId="0" fillId="0" borderId="6" xfId="0" applyNumberFormat="1" applyBorder="1"/>
    <xf numFmtId="15" fontId="0" fillId="0" borderId="7" xfId="0" applyNumberFormat="1" applyBorder="1"/>
    <xf numFmtId="0" fontId="0" fillId="0" borderId="7" xfId="0" applyBorder="1"/>
    <xf numFmtId="164" fontId="6" fillId="0" borderId="4" xfId="1" applyFont="1" applyFill="1" applyBorder="1" applyAlignment="1">
      <alignment vertical="top"/>
    </xf>
    <xf numFmtId="164" fontId="0" fillId="0" borderId="3" xfId="1" applyFont="1" applyFill="1" applyBorder="1" applyAlignment="1">
      <alignment vertical="top"/>
    </xf>
    <xf numFmtId="14" fontId="0" fillId="0" borderId="1" xfId="0" applyNumberFormat="1" applyFill="1" applyBorder="1"/>
    <xf numFmtId="165" fontId="0" fillId="0" borderId="1" xfId="0" applyNumberFormat="1" applyFill="1" applyBorder="1" applyAlignment="1">
      <alignment vertical="top"/>
    </xf>
    <xf numFmtId="166" fontId="0" fillId="0" borderId="1" xfId="0" applyNumberFormat="1" applyFill="1" applyBorder="1" applyAlignment="1">
      <alignment vertical="top"/>
    </xf>
    <xf numFmtId="166" fontId="0" fillId="0" borderId="1" xfId="0" applyNumberFormat="1" applyFill="1" applyBorder="1"/>
    <xf numFmtId="0" fontId="0" fillId="0" borderId="3" xfId="0" applyFill="1" applyBorder="1"/>
    <xf numFmtId="15" fontId="0" fillId="0" borderId="1" xfId="0" applyNumberFormat="1" applyFill="1" applyBorder="1"/>
    <xf numFmtId="15" fontId="0" fillId="0" borderId="4" xfId="0" applyNumberFormat="1" applyFill="1" applyBorder="1"/>
    <xf numFmtId="0" fontId="0" fillId="0" borderId="4" xfId="0" applyFill="1" applyBorder="1"/>
    <xf numFmtId="15" fontId="6" fillId="0" borderId="1" xfId="0" applyNumberFormat="1" applyFont="1" applyFill="1" applyBorder="1"/>
    <xf numFmtId="0" fontId="0" fillId="2" borderId="6" xfId="0" applyFill="1" applyBorder="1"/>
    <xf numFmtId="0" fontId="0" fillId="0" borderId="11" xfId="0" applyBorder="1"/>
    <xf numFmtId="164" fontId="7" fillId="0" borderId="6" xfId="1" applyFont="1" applyFill="1" applyBorder="1" applyAlignment="1">
      <alignment vertical="top"/>
    </xf>
    <xf numFmtId="14" fontId="7" fillId="0" borderId="1" xfId="0" applyNumberFormat="1" applyFont="1" applyBorder="1"/>
    <xf numFmtId="0" fontId="0" fillId="0" borderId="1" xfId="0" applyBorder="1" applyAlignment="1">
      <alignment horizontal="left" indent="6"/>
    </xf>
    <xf numFmtId="0" fontId="0" fillId="6" borderId="1" xfId="0" applyFill="1" applyBorder="1"/>
    <xf numFmtId="15" fontId="0" fillId="6" borderId="1" xfId="0" applyNumberFormat="1" applyFill="1" applyBorder="1"/>
    <xf numFmtId="0" fontId="0" fillId="6" borderId="1" xfId="0" applyFont="1" applyFill="1" applyBorder="1"/>
    <xf numFmtId="166" fontId="6" fillId="6" borderId="1" xfId="0" applyNumberFormat="1" applyFont="1" applyFill="1" applyBorder="1"/>
    <xf numFmtId="164" fontId="6" fillId="6" borderId="1" xfId="1" applyFont="1" applyFill="1" applyBorder="1" applyAlignment="1">
      <alignment vertical="top"/>
    </xf>
    <xf numFmtId="0" fontId="7" fillId="2" borderId="1" xfId="0" applyFont="1" applyFill="1" applyBorder="1"/>
    <xf numFmtId="43" fontId="0" fillId="0" borderId="1" xfId="0" applyNumberFormat="1" applyBorder="1"/>
    <xf numFmtId="15" fontId="0" fillId="0" borderId="0" xfId="0" applyNumberFormat="1" applyBorder="1"/>
    <xf numFmtId="0" fontId="0" fillId="0" borderId="11" xfId="0" applyFill="1" applyBorder="1"/>
    <xf numFmtId="0" fontId="5" fillId="0" borderId="11" xfId="0" applyFont="1" applyFill="1" applyBorder="1"/>
    <xf numFmtId="164" fontId="6" fillId="0" borderId="11" xfId="1" applyFont="1" applyFill="1" applyBorder="1" applyAlignment="1">
      <alignment vertical="top"/>
    </xf>
    <xf numFmtId="0" fontId="7" fillId="0" borderId="11" xfId="0" applyFont="1" applyFill="1" applyBorder="1"/>
    <xf numFmtId="166" fontId="6" fillId="0" borderId="6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1" applyNumberFormat="1" applyFont="1" applyFill="1" applyBorder="1" applyAlignment="1">
      <alignment vertical="top"/>
    </xf>
    <xf numFmtId="15" fontId="0" fillId="0" borderId="3" xfId="0" applyNumberFormat="1" applyBorder="1"/>
    <xf numFmtId="164" fontId="0" fillId="0" borderId="0" xfId="1" applyFont="1"/>
    <xf numFmtId="164" fontId="2" fillId="0" borderId="1" xfId="0" applyNumberFormat="1" applyFont="1" applyBorder="1"/>
    <xf numFmtId="164" fontId="6" fillId="0" borderId="6" xfId="1" applyFont="1" applyFill="1" applyBorder="1" applyAlignment="1">
      <alignment vertical="top"/>
    </xf>
    <xf numFmtId="164" fontId="0" fillId="0" borderId="10" xfId="1" applyFont="1" applyBorder="1"/>
    <xf numFmtId="0" fontId="0" fillId="0" borderId="6" xfId="0" applyFill="1" applyBorder="1"/>
    <xf numFmtId="43" fontId="7" fillId="0" borderId="1" xfId="0" applyNumberFormat="1" applyFont="1" applyBorder="1"/>
    <xf numFmtId="164" fontId="7" fillId="0" borderId="1" xfId="0" applyNumberFormat="1" applyFont="1" applyBorder="1"/>
    <xf numFmtId="43" fontId="0" fillId="0" borderId="1" xfId="0" applyNumberFormat="1" applyFill="1" applyBorder="1"/>
    <xf numFmtId="164" fontId="0" fillId="0" borderId="6" xfId="1" applyFont="1" applyBorder="1"/>
    <xf numFmtId="164" fontId="5" fillId="0" borderId="1" xfId="1" applyFont="1" applyBorder="1"/>
    <xf numFmtId="164" fontId="0" fillId="0" borderId="2" xfId="1" applyFont="1" applyBorder="1"/>
    <xf numFmtId="14" fontId="5" fillId="0" borderId="0" xfId="0" applyNumberFormat="1" applyFont="1"/>
    <xf numFmtId="164" fontId="7" fillId="0" borderId="6" xfId="1" applyFont="1" applyBorder="1"/>
    <xf numFmtId="0" fontId="7" fillId="0" borderId="6" xfId="0" applyFont="1" applyFill="1" applyBorder="1"/>
    <xf numFmtId="0" fontId="6" fillId="5" borderId="8" xfId="0" applyFont="1" applyFill="1" applyBorder="1"/>
    <xf numFmtId="0" fontId="0" fillId="7" borderId="1" xfId="0" applyFill="1" applyBorder="1"/>
    <xf numFmtId="15" fontId="0" fillId="7" borderId="1" xfId="0" applyNumberFormat="1" applyFill="1" applyBorder="1"/>
    <xf numFmtId="166" fontId="6" fillId="7" borderId="1" xfId="0" applyNumberFormat="1" applyFont="1" applyFill="1" applyBorder="1"/>
    <xf numFmtId="164" fontId="6" fillId="7" borderId="1" xfId="1" applyFont="1" applyFill="1" applyBorder="1" applyAlignment="1">
      <alignment vertical="top"/>
    </xf>
    <xf numFmtId="0" fontId="2" fillId="0" borderId="6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0" xfId="0" applyFont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166" fontId="2" fillId="5" borderId="1" xfId="0" applyNumberFormat="1" applyFont="1" applyFill="1" applyBorder="1"/>
    <xf numFmtId="164" fontId="2" fillId="5" borderId="1" xfId="1" applyFont="1" applyFill="1" applyBorder="1"/>
    <xf numFmtId="164" fontId="2" fillId="5" borderId="1" xfId="1" applyNumberFormat="1" applyFont="1" applyFill="1" applyBorder="1" applyAlignment="1">
      <alignment vertical="top"/>
    </xf>
    <xf numFmtId="0" fontId="2" fillId="0" borderId="6" xfId="0" applyFont="1" applyFill="1" applyBorder="1" applyAlignment="1">
      <alignment horizontal="left"/>
    </xf>
    <xf numFmtId="164" fontId="2" fillId="0" borderId="6" xfId="1" applyFont="1" applyFill="1" applyBorder="1" applyAlignment="1">
      <alignment horizontal="right"/>
    </xf>
    <xf numFmtId="0" fontId="14" fillId="0" borderId="0" xfId="0" applyFont="1" applyBorder="1"/>
    <xf numFmtId="15" fontId="14" fillId="0" borderId="1" xfId="0" applyNumberFormat="1" applyFont="1" applyBorder="1"/>
    <xf numFmtId="0" fontId="14" fillId="0" borderId="1" xfId="0" applyFont="1" applyBorder="1"/>
    <xf numFmtId="166" fontId="14" fillId="0" borderId="1" xfId="0" applyNumberFormat="1" applyFont="1" applyFill="1" applyBorder="1"/>
    <xf numFmtId="164" fontId="14" fillId="0" borderId="1" xfId="1" applyFont="1" applyBorder="1"/>
    <xf numFmtId="0" fontId="0" fillId="8" borderId="1" xfId="0" applyFill="1" applyBorder="1"/>
    <xf numFmtId="15" fontId="0" fillId="8" borderId="1" xfId="0" applyNumberFormat="1" applyFill="1" applyBorder="1"/>
    <xf numFmtId="166" fontId="2" fillId="8" borderId="1" xfId="0" applyNumberFormat="1" applyFont="1" applyFill="1" applyBorder="1"/>
    <xf numFmtId="164" fontId="0" fillId="8" borderId="1" xfId="1" applyNumberFormat="1" applyFont="1" applyFill="1" applyBorder="1" applyAlignment="1">
      <alignment vertical="top"/>
    </xf>
    <xf numFmtId="0" fontId="7" fillId="7" borderId="6" xfId="0" applyFont="1" applyFill="1" applyBorder="1" applyAlignment="1">
      <alignment horizontal="center" wrapText="1"/>
    </xf>
    <xf numFmtId="0" fontId="7" fillId="7" borderId="11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9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2151</xdr:row>
      <xdr:rowOff>18553</xdr:rowOff>
    </xdr:from>
    <xdr:to>
      <xdr:col>23</xdr:col>
      <xdr:colOff>161925</xdr:colOff>
      <xdr:row>2255</xdr:row>
      <xdr:rowOff>171946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0" y="409688803"/>
          <a:ext cx="4105275" cy="130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gesh.pai/AppData/Local/Microsoft/Windows/Temporary%20Internet%20Files/Content.Outlook/LJARJ9NT/Out%20standing%20Bill%20Register%2009%2012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V F India Out Standing"/>
      <sheetName val="closed"/>
      <sheetName val="V V F LTD Out Standing "/>
      <sheetName val="close"/>
      <sheetName val="06.12.2016 Allocation"/>
      <sheetName val="Maheshwari 7 crores For Navsar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2"/>
  <sheetViews>
    <sheetView tabSelected="1" zoomScaleNormal="100" workbookViewId="0">
      <pane ySplit="2" topLeftCell="A3" activePane="bottomLeft" state="frozen"/>
      <selection pane="bottomLeft" activeCell="N224" sqref="N224"/>
    </sheetView>
  </sheetViews>
  <sheetFormatPr defaultRowHeight="15" x14ac:dyDescent="0.25"/>
  <cols>
    <col min="1" max="1" width="5.5703125" style="13" hidden="1" customWidth="1"/>
    <col min="2" max="2" width="10.140625" style="3" customWidth="1"/>
    <col min="3" max="3" width="5.5703125" style="3" bestFit="1" customWidth="1"/>
    <col min="4" max="4" width="11.140625" style="3" customWidth="1"/>
    <col min="5" max="5" width="26.28515625" style="3" customWidth="1"/>
    <col min="6" max="6" width="15.42578125" style="3" customWidth="1"/>
    <col min="7" max="7" width="11.140625" style="3" customWidth="1"/>
    <col min="8" max="8" width="13.85546875" style="3" customWidth="1"/>
    <col min="9" max="9" width="13.140625" style="3" customWidth="1"/>
    <col min="10" max="10" width="14.5703125" style="1" customWidth="1"/>
    <col min="11" max="11" width="10.42578125" style="3" customWidth="1"/>
    <col min="12" max="12" width="8.140625" style="3" customWidth="1"/>
    <col min="13" max="13" width="9.28515625" style="3" customWidth="1"/>
    <col min="14" max="14" width="14.28515625" style="3" customWidth="1"/>
    <col min="15" max="15" width="12" style="3" customWidth="1"/>
    <col min="16" max="16" width="14.140625" style="225" customWidth="1"/>
    <col min="17" max="17" width="17" style="256" customWidth="1"/>
    <col min="18" max="18" width="9.140625" style="1"/>
    <col min="19" max="21" width="9.140625" style="3"/>
    <col min="22" max="23" width="10" style="3" bestFit="1" customWidth="1"/>
    <col min="24" max="16384" width="9.140625" style="3"/>
  </cols>
  <sheetData>
    <row r="1" spans="1:64" x14ac:dyDescent="0.25">
      <c r="N1" s="14">
        <f ca="1">NOW()</f>
        <v>42838.659634837961</v>
      </c>
      <c r="P1" s="3"/>
      <c r="Q1" s="308"/>
    </row>
    <row r="2" spans="1:64" ht="15.75" customHeight="1" x14ac:dyDescent="0.25">
      <c r="A2" s="150"/>
      <c r="B2" s="151" t="s">
        <v>0</v>
      </c>
      <c r="C2" s="151" t="s">
        <v>7</v>
      </c>
      <c r="D2" s="4" t="s">
        <v>19</v>
      </c>
      <c r="E2" s="151" t="s">
        <v>3</v>
      </c>
      <c r="F2" s="151" t="s">
        <v>2</v>
      </c>
      <c r="G2" s="151" t="s">
        <v>1</v>
      </c>
      <c r="H2" s="152" t="s">
        <v>628</v>
      </c>
      <c r="I2" s="152" t="s">
        <v>11</v>
      </c>
      <c r="J2" s="151" t="s">
        <v>4</v>
      </c>
      <c r="K2" s="153" t="s">
        <v>9</v>
      </c>
      <c r="L2" s="151" t="s">
        <v>10</v>
      </c>
      <c r="M2" s="151" t="s">
        <v>13</v>
      </c>
      <c r="N2" s="151" t="s">
        <v>12</v>
      </c>
      <c r="O2" s="152" t="s">
        <v>5</v>
      </c>
      <c r="P2" s="257" t="s">
        <v>14</v>
      </c>
      <c r="R2" s="8"/>
      <c r="S2" s="15"/>
    </row>
    <row r="3" spans="1:64" s="53" customFormat="1" x14ac:dyDescent="0.25">
      <c r="A3" s="207">
        <v>868</v>
      </c>
      <c r="B3" s="208">
        <v>42656</v>
      </c>
      <c r="C3" s="88">
        <v>103</v>
      </c>
      <c r="D3" s="88">
        <v>3000033761</v>
      </c>
      <c r="E3" s="88" t="s">
        <v>145</v>
      </c>
      <c r="F3" s="88">
        <v>67</v>
      </c>
      <c r="G3" s="209">
        <v>42645</v>
      </c>
      <c r="H3" s="209"/>
      <c r="I3" s="209">
        <v>42652</v>
      </c>
      <c r="J3" s="88" t="s">
        <v>61</v>
      </c>
      <c r="K3" s="210">
        <v>19.829999999999998</v>
      </c>
      <c r="L3" s="88">
        <v>19.77</v>
      </c>
      <c r="M3" s="88">
        <f>IF(L3&gt;K3,K3,L3)</f>
        <v>19.77</v>
      </c>
      <c r="N3" s="47">
        <f>+I3+20-1</f>
        <v>42671</v>
      </c>
      <c r="O3" s="207">
        <v>2072216</v>
      </c>
      <c r="P3" s="26">
        <f>(+O3/K3*M3)</f>
        <v>2065946.0574886538</v>
      </c>
      <c r="Q3" s="225"/>
      <c r="R3" s="210"/>
    </row>
    <row r="4" spans="1:64" s="198" customFormat="1" x14ac:dyDescent="0.25">
      <c r="A4" s="30">
        <v>866</v>
      </c>
      <c r="B4" s="24">
        <v>42656</v>
      </c>
      <c r="C4" s="1">
        <v>103</v>
      </c>
      <c r="D4" s="1">
        <v>3000033761</v>
      </c>
      <c r="E4" s="1" t="s">
        <v>145</v>
      </c>
      <c r="F4" s="1">
        <v>66</v>
      </c>
      <c r="G4" s="25">
        <v>42645</v>
      </c>
      <c r="H4" s="25"/>
      <c r="I4" s="25">
        <v>42654</v>
      </c>
      <c r="J4" s="1" t="s">
        <v>61</v>
      </c>
      <c r="K4" s="77">
        <v>20.55</v>
      </c>
      <c r="L4" s="1">
        <v>20.52</v>
      </c>
      <c r="M4" s="1">
        <f>IF(L4&gt;K4,K4,L4)</f>
        <v>20.52</v>
      </c>
      <c r="N4" s="47">
        <f>+I4+20-1</f>
        <v>42673</v>
      </c>
      <c r="O4" s="75">
        <v>2147455</v>
      </c>
      <c r="P4" s="26">
        <f>(+O4/K4*M4)</f>
        <v>2144320.0291970801</v>
      </c>
      <c r="Q4" s="225"/>
      <c r="R4" s="7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30">
        <v>867</v>
      </c>
      <c r="B5" s="24">
        <v>42656</v>
      </c>
      <c r="C5" s="1">
        <v>103</v>
      </c>
      <c r="D5" s="1">
        <v>3000033761</v>
      </c>
      <c r="E5" s="1" t="s">
        <v>145</v>
      </c>
      <c r="F5" s="1">
        <v>68</v>
      </c>
      <c r="G5" s="25">
        <v>42645</v>
      </c>
      <c r="H5" s="25"/>
      <c r="I5" s="25">
        <v>42654</v>
      </c>
      <c r="J5" s="1" t="s">
        <v>61</v>
      </c>
      <c r="K5" s="77">
        <v>20.16</v>
      </c>
      <c r="L5" s="1">
        <v>20.010000000000002</v>
      </c>
      <c r="M5" s="1">
        <f>IF(L5&gt;K5,K5,L5)</f>
        <v>20.010000000000002</v>
      </c>
      <c r="N5" s="47">
        <f>+I5+20-1</f>
        <v>42673</v>
      </c>
      <c r="O5" s="75">
        <v>2106700</v>
      </c>
      <c r="P5" s="26">
        <f>(+O5/K5*M5)</f>
        <v>2091025.1488095238</v>
      </c>
      <c r="Q5" s="225"/>
      <c r="R5" s="77"/>
    </row>
    <row r="6" spans="1:64" x14ac:dyDescent="0.25">
      <c r="A6" s="3">
        <v>1019</v>
      </c>
      <c r="B6" s="204">
        <v>42697</v>
      </c>
      <c r="C6" s="1">
        <v>114</v>
      </c>
      <c r="D6" s="1">
        <v>3000030425</v>
      </c>
      <c r="E6" s="1" t="s">
        <v>17</v>
      </c>
      <c r="F6" s="1">
        <v>93</v>
      </c>
      <c r="G6" s="204">
        <v>42689</v>
      </c>
      <c r="H6" s="205"/>
      <c r="I6" s="205">
        <v>42693</v>
      </c>
      <c r="J6" s="1" t="s">
        <v>8</v>
      </c>
      <c r="K6" s="77">
        <v>9.4949999999999992</v>
      </c>
      <c r="L6" s="1">
        <v>9.4949999999999992</v>
      </c>
      <c r="M6" s="1">
        <v>9.4949999999999992</v>
      </c>
      <c r="N6" s="47">
        <f>+I6+15-1</f>
        <v>42707</v>
      </c>
      <c r="O6" s="75">
        <v>518427</v>
      </c>
      <c r="P6" s="26">
        <f>(+O6/K6*M6)</f>
        <v>518427</v>
      </c>
      <c r="Q6" s="225"/>
      <c r="R6" s="3"/>
    </row>
    <row r="7" spans="1:64" x14ac:dyDescent="0.25">
      <c r="A7" s="13">
        <v>1020</v>
      </c>
      <c r="B7" s="204">
        <v>42697</v>
      </c>
      <c r="C7" s="1">
        <v>114</v>
      </c>
      <c r="D7" s="1">
        <v>3000036274</v>
      </c>
      <c r="E7" s="1" t="s">
        <v>17</v>
      </c>
      <c r="F7" s="1">
        <v>94</v>
      </c>
      <c r="G7" s="204">
        <v>42689</v>
      </c>
      <c r="H7" s="205"/>
      <c r="I7" s="205">
        <v>42693</v>
      </c>
      <c r="J7" s="1" t="s">
        <v>8</v>
      </c>
      <c r="K7" s="77">
        <v>19</v>
      </c>
      <c r="L7" s="1">
        <v>18.864999999999998</v>
      </c>
      <c r="M7" s="1">
        <v>18.864999999999998</v>
      </c>
      <c r="N7" s="47">
        <f>+I7+15-1</f>
        <v>42707</v>
      </c>
      <c r="O7" s="75">
        <v>1054500</v>
      </c>
      <c r="P7" s="26">
        <f>(+O7/K7*M7)</f>
        <v>1047007.4999999999</v>
      </c>
      <c r="Q7" s="225"/>
      <c r="R7" s="3"/>
    </row>
    <row r="8" spans="1:64" x14ac:dyDescent="0.25">
      <c r="A8" s="3">
        <v>1021</v>
      </c>
      <c r="B8" s="204">
        <v>42732</v>
      </c>
      <c r="C8" s="1">
        <v>114</v>
      </c>
      <c r="D8" s="1">
        <v>3000031191</v>
      </c>
      <c r="E8" s="39" t="s">
        <v>24</v>
      </c>
      <c r="F8" s="20" t="s">
        <v>461</v>
      </c>
      <c r="G8" s="204">
        <v>42719</v>
      </c>
      <c r="H8" s="205"/>
      <c r="I8" s="205">
        <v>42707</v>
      </c>
      <c r="J8" s="1" t="s">
        <v>16</v>
      </c>
      <c r="K8" s="77"/>
      <c r="L8" s="1"/>
      <c r="M8" s="1">
        <f t="shared" ref="M8:M14" si="0">IF(L8&gt;K8,K8,L8)</f>
        <v>0</v>
      </c>
      <c r="N8" s="47">
        <f>+I8+15-1</f>
        <v>42721</v>
      </c>
      <c r="O8" s="75">
        <v>20348</v>
      </c>
      <c r="P8" s="38"/>
      <c r="Q8" s="225"/>
      <c r="R8" s="3"/>
    </row>
    <row r="9" spans="1:64" x14ac:dyDescent="0.25">
      <c r="A9" s="13">
        <v>1022</v>
      </c>
      <c r="B9" s="204">
        <v>42732</v>
      </c>
      <c r="C9" s="1">
        <v>114</v>
      </c>
      <c r="D9" s="1">
        <v>3000031191</v>
      </c>
      <c r="E9" s="1" t="s">
        <v>24</v>
      </c>
      <c r="F9" s="16">
        <v>35</v>
      </c>
      <c r="G9" s="204">
        <v>42697</v>
      </c>
      <c r="H9" s="205"/>
      <c r="I9" s="205">
        <v>42707</v>
      </c>
      <c r="J9" s="1" t="s">
        <v>16</v>
      </c>
      <c r="K9" s="77">
        <v>30.47</v>
      </c>
      <c r="L9" s="1">
        <v>30.37</v>
      </c>
      <c r="M9" s="1">
        <f t="shared" si="0"/>
        <v>30.37</v>
      </c>
      <c r="N9" s="47">
        <f>+I9+15-1</f>
        <v>42721</v>
      </c>
      <c r="O9" s="75">
        <v>1523500</v>
      </c>
      <c r="P9" s="38">
        <f>(+O9/K9*M9)-20348</f>
        <v>1498152</v>
      </c>
      <c r="Q9" s="225"/>
      <c r="R9" s="3"/>
    </row>
    <row r="10" spans="1:64" s="1" customFormat="1" x14ac:dyDescent="0.25">
      <c r="A10" s="84"/>
      <c r="B10" s="204">
        <v>42795</v>
      </c>
      <c r="C10" s="1">
        <v>103</v>
      </c>
      <c r="E10" s="1" t="s">
        <v>693</v>
      </c>
      <c r="F10" s="1" t="s">
        <v>694</v>
      </c>
      <c r="G10" s="213">
        <v>42714</v>
      </c>
      <c r="I10" s="204">
        <v>42714</v>
      </c>
      <c r="J10" s="1" t="s">
        <v>41</v>
      </c>
      <c r="M10" s="5">
        <f t="shared" si="0"/>
        <v>0</v>
      </c>
      <c r="N10" s="66">
        <f>+I10+20-1</f>
        <v>42733</v>
      </c>
      <c r="O10" s="1">
        <v>54792</v>
      </c>
      <c r="P10" s="38">
        <v>54792</v>
      </c>
      <c r="Q10" s="225"/>
    </row>
    <row r="11" spans="1:64" s="1" customFormat="1" x14ac:dyDescent="0.25">
      <c r="A11" s="84"/>
      <c r="B11" s="204">
        <v>42795</v>
      </c>
      <c r="C11" s="1">
        <v>103</v>
      </c>
      <c r="E11" s="1" t="s">
        <v>693</v>
      </c>
      <c r="F11" s="1" t="s">
        <v>695</v>
      </c>
      <c r="G11" s="213">
        <v>42714</v>
      </c>
      <c r="I11" s="204">
        <v>42714</v>
      </c>
      <c r="J11" s="1" t="s">
        <v>696</v>
      </c>
      <c r="M11" s="5">
        <f t="shared" si="0"/>
        <v>0</v>
      </c>
      <c r="N11" s="66">
        <f>+I11+20-1</f>
        <v>42733</v>
      </c>
      <c r="O11" s="1">
        <v>101976</v>
      </c>
      <c r="P11" s="71">
        <f>(O11- (O11*10%))</f>
        <v>91778.4</v>
      </c>
      <c r="Q11" s="225"/>
    </row>
    <row r="12" spans="1:64" s="1" customFormat="1" x14ac:dyDescent="0.25">
      <c r="A12" s="84"/>
      <c r="B12" s="204">
        <v>42786</v>
      </c>
      <c r="C12" s="5">
        <v>114</v>
      </c>
      <c r="D12" s="1">
        <v>3000037981</v>
      </c>
      <c r="E12" s="1" t="s">
        <v>612</v>
      </c>
      <c r="F12" s="1">
        <v>335</v>
      </c>
      <c r="G12" s="204">
        <v>42775</v>
      </c>
      <c r="H12" s="204"/>
      <c r="I12" s="204">
        <v>42780</v>
      </c>
      <c r="J12" s="1" t="s">
        <v>16</v>
      </c>
      <c r="K12" s="1">
        <v>19.86</v>
      </c>
      <c r="L12" s="1">
        <v>19.739999999999998</v>
      </c>
      <c r="M12" s="5">
        <f t="shared" si="0"/>
        <v>19.739999999999998</v>
      </c>
      <c r="N12" s="211">
        <f>+I12+15-1</f>
        <v>42794</v>
      </c>
      <c r="O12" s="1">
        <v>1119111</v>
      </c>
      <c r="P12" s="38">
        <f>(+O12/K12*M12)</f>
        <v>1112349</v>
      </c>
      <c r="Q12" s="225"/>
    </row>
    <row r="13" spans="1:64" s="1" customFormat="1" x14ac:dyDescent="0.25">
      <c r="A13" s="84"/>
      <c r="B13" s="204">
        <v>42782</v>
      </c>
      <c r="C13" s="5">
        <v>103</v>
      </c>
      <c r="D13" s="1">
        <v>3000038756</v>
      </c>
      <c r="E13" s="5" t="s">
        <v>603</v>
      </c>
      <c r="F13" s="1">
        <v>250</v>
      </c>
      <c r="G13" s="204">
        <v>42774</v>
      </c>
      <c r="H13" s="204"/>
      <c r="I13" s="204">
        <v>42779</v>
      </c>
      <c r="J13" s="1" t="s">
        <v>61</v>
      </c>
      <c r="K13" s="1">
        <v>20.05</v>
      </c>
      <c r="L13" s="1">
        <v>20.04</v>
      </c>
      <c r="M13" s="5">
        <f t="shared" si="0"/>
        <v>20.04</v>
      </c>
      <c r="N13" s="66">
        <f t="shared" ref="N13:N59" si="1">+I13+20-1</f>
        <v>42798</v>
      </c>
      <c r="O13" s="1">
        <v>2666606</v>
      </c>
      <c r="P13" s="38">
        <f>(+O13/K13*M13)</f>
        <v>2665276.0219451371</v>
      </c>
      <c r="Q13" s="225"/>
    </row>
    <row r="14" spans="1:64" s="1" customFormat="1" x14ac:dyDescent="0.25">
      <c r="A14" s="84"/>
      <c r="B14" s="204">
        <v>42782</v>
      </c>
      <c r="C14" s="5">
        <v>103</v>
      </c>
      <c r="D14" s="1">
        <v>3000038758</v>
      </c>
      <c r="E14" s="1" t="s">
        <v>371</v>
      </c>
      <c r="F14" s="1">
        <v>1199</v>
      </c>
      <c r="G14" s="204">
        <v>42774</v>
      </c>
      <c r="H14" s="204"/>
      <c r="I14" s="204">
        <v>42779</v>
      </c>
      <c r="J14" s="1" t="s">
        <v>61</v>
      </c>
      <c r="K14" s="1">
        <v>20.27</v>
      </c>
      <c r="L14" s="1">
        <v>20.23</v>
      </c>
      <c r="M14" s="5">
        <f t="shared" si="0"/>
        <v>20.23</v>
      </c>
      <c r="N14" s="66">
        <f t="shared" si="1"/>
        <v>42798</v>
      </c>
      <c r="O14" s="1">
        <v>2695911</v>
      </c>
      <c r="P14" s="38">
        <f>(+O14/K14*M14)</f>
        <v>2690590.9980266406</v>
      </c>
      <c r="Q14" s="225"/>
    </row>
    <row r="15" spans="1:64" s="1" customFormat="1" x14ac:dyDescent="0.25">
      <c r="A15" s="84"/>
      <c r="B15" s="204">
        <v>42782</v>
      </c>
      <c r="C15" s="5">
        <v>103</v>
      </c>
      <c r="D15" s="1">
        <v>3000038758</v>
      </c>
      <c r="E15" s="1" t="s">
        <v>371</v>
      </c>
      <c r="F15" s="20" t="s">
        <v>665</v>
      </c>
      <c r="G15" s="204">
        <v>42790</v>
      </c>
      <c r="H15" s="204"/>
      <c r="I15" s="204">
        <v>42780</v>
      </c>
      <c r="J15" s="1" t="s">
        <v>61</v>
      </c>
      <c r="M15" s="5"/>
      <c r="N15" s="66">
        <f t="shared" si="1"/>
        <v>42799</v>
      </c>
      <c r="O15" s="1">
        <v>43652</v>
      </c>
      <c r="P15" s="38"/>
      <c r="Q15" s="225"/>
    </row>
    <row r="16" spans="1:64" s="1" customFormat="1" x14ac:dyDescent="0.25">
      <c r="A16" s="84"/>
      <c r="B16" s="204">
        <v>42782</v>
      </c>
      <c r="C16" s="5">
        <v>103</v>
      </c>
      <c r="D16" s="1">
        <v>3000038758</v>
      </c>
      <c r="E16" s="1" t="s">
        <v>371</v>
      </c>
      <c r="F16" s="16">
        <v>1206</v>
      </c>
      <c r="G16" s="204">
        <v>42775</v>
      </c>
      <c r="H16" s="204"/>
      <c r="I16" s="204">
        <v>42780</v>
      </c>
      <c r="J16" s="1" t="s">
        <v>61</v>
      </c>
      <c r="K16" s="1">
        <v>19.93</v>
      </c>
      <c r="L16" s="1">
        <v>19.86</v>
      </c>
      <c r="M16" s="5">
        <f t="shared" ref="M16:M30" si="2">IF(L16&gt;K16,K16,L16)</f>
        <v>19.86</v>
      </c>
      <c r="N16" s="66">
        <f t="shared" si="1"/>
        <v>42799</v>
      </c>
      <c r="O16" s="1">
        <v>2650691</v>
      </c>
      <c r="P16" s="38">
        <f>(+O16/K16*M16)-43652</f>
        <v>2597728.9964877069</v>
      </c>
      <c r="Q16" s="225"/>
    </row>
    <row r="17" spans="1:17" s="1" customFormat="1" x14ac:dyDescent="0.25">
      <c r="A17" s="84"/>
      <c r="B17" s="204">
        <v>42786</v>
      </c>
      <c r="C17" s="5">
        <v>103</v>
      </c>
      <c r="D17" s="1">
        <v>3000038758</v>
      </c>
      <c r="E17" s="1" t="s">
        <v>371</v>
      </c>
      <c r="F17" s="1">
        <v>1200</v>
      </c>
      <c r="G17" s="204">
        <v>42774</v>
      </c>
      <c r="H17" s="204"/>
      <c r="I17" s="204">
        <v>42780</v>
      </c>
      <c r="J17" s="1" t="s">
        <v>61</v>
      </c>
      <c r="K17" s="1">
        <v>20.23</v>
      </c>
      <c r="L17" s="1">
        <v>20.190000000000001</v>
      </c>
      <c r="M17" s="5">
        <f t="shared" si="2"/>
        <v>20.190000000000001</v>
      </c>
      <c r="N17" s="66">
        <f t="shared" si="1"/>
        <v>42799</v>
      </c>
      <c r="O17" s="1">
        <v>2690591</v>
      </c>
      <c r="P17" s="38">
        <f>(+O17/K17*M17)</f>
        <v>2685270.9980227384</v>
      </c>
      <c r="Q17" s="225"/>
    </row>
    <row r="18" spans="1:17" s="1" customFormat="1" x14ac:dyDescent="0.25">
      <c r="A18" s="84"/>
      <c r="B18" s="204">
        <v>42786</v>
      </c>
      <c r="C18" s="1">
        <v>103</v>
      </c>
      <c r="D18" s="1">
        <v>3000038760</v>
      </c>
      <c r="E18" s="1" t="s">
        <v>592</v>
      </c>
      <c r="F18" s="1">
        <v>238</v>
      </c>
      <c r="G18" s="204">
        <v>42778</v>
      </c>
      <c r="H18" s="204"/>
      <c r="I18" s="204">
        <v>42781</v>
      </c>
      <c r="J18" s="1" t="s">
        <v>61</v>
      </c>
      <c r="K18" s="1">
        <v>20.079999999999998</v>
      </c>
      <c r="L18" s="1">
        <v>20.14</v>
      </c>
      <c r="M18" s="5">
        <f t="shared" si="2"/>
        <v>20.079999999999998</v>
      </c>
      <c r="N18" s="66">
        <f t="shared" si="1"/>
        <v>42800</v>
      </c>
      <c r="O18" s="1">
        <v>2670640</v>
      </c>
      <c r="P18" s="38">
        <f>(+O18/K18*M18)</f>
        <v>2670640</v>
      </c>
      <c r="Q18" s="225"/>
    </row>
    <row r="19" spans="1:17" s="1" customFormat="1" x14ac:dyDescent="0.25">
      <c r="A19" s="84"/>
      <c r="B19" s="204">
        <v>42797</v>
      </c>
      <c r="C19" s="1">
        <v>103</v>
      </c>
      <c r="E19" s="1" t="s">
        <v>693</v>
      </c>
      <c r="F19" s="1" t="s">
        <v>722</v>
      </c>
      <c r="G19" s="213">
        <v>42781</v>
      </c>
      <c r="I19" s="204">
        <v>42781</v>
      </c>
      <c r="J19" s="1" t="s">
        <v>696</v>
      </c>
      <c r="M19" s="5">
        <f t="shared" si="2"/>
        <v>0</v>
      </c>
      <c r="N19" s="66">
        <f t="shared" si="1"/>
        <v>42800</v>
      </c>
      <c r="O19" s="1">
        <v>183885</v>
      </c>
      <c r="P19" s="71">
        <f t="shared" ref="P19:P29" si="3">(O19- (O19*10%))</f>
        <v>165496.5</v>
      </c>
      <c r="Q19" s="225"/>
    </row>
    <row r="20" spans="1:17" s="1" customFormat="1" x14ac:dyDescent="0.25">
      <c r="A20" s="84"/>
      <c r="B20" s="204">
        <v>42797</v>
      </c>
      <c r="C20" s="1">
        <v>103</v>
      </c>
      <c r="E20" s="1" t="s">
        <v>693</v>
      </c>
      <c r="F20" s="1" t="s">
        <v>723</v>
      </c>
      <c r="G20" s="213">
        <v>42781</v>
      </c>
      <c r="I20" s="204">
        <v>42781</v>
      </c>
      <c r="J20" s="1" t="s">
        <v>696</v>
      </c>
      <c r="M20" s="5">
        <f t="shared" si="2"/>
        <v>0</v>
      </c>
      <c r="N20" s="66">
        <f t="shared" si="1"/>
        <v>42800</v>
      </c>
      <c r="O20" s="1">
        <v>159453</v>
      </c>
      <c r="P20" s="71">
        <f t="shared" si="3"/>
        <v>143507.70000000001</v>
      </c>
      <c r="Q20" s="225"/>
    </row>
    <row r="21" spans="1:17" s="1" customFormat="1" x14ac:dyDescent="0.25">
      <c r="A21" s="84"/>
      <c r="B21" s="204">
        <v>42797</v>
      </c>
      <c r="C21" s="1">
        <v>103</v>
      </c>
      <c r="E21" s="1" t="s">
        <v>693</v>
      </c>
      <c r="F21" s="1" t="s">
        <v>724</v>
      </c>
      <c r="G21" s="213">
        <v>42781</v>
      </c>
      <c r="I21" s="204">
        <v>42781</v>
      </c>
      <c r="J21" s="1" t="s">
        <v>696</v>
      </c>
      <c r="M21" s="5">
        <f t="shared" si="2"/>
        <v>0</v>
      </c>
      <c r="N21" s="66">
        <f t="shared" si="1"/>
        <v>42800</v>
      </c>
      <c r="O21" s="1">
        <v>357530</v>
      </c>
      <c r="P21" s="71">
        <f t="shared" si="3"/>
        <v>321777</v>
      </c>
      <c r="Q21" s="225"/>
    </row>
    <row r="22" spans="1:17" s="1" customFormat="1" x14ac:dyDescent="0.25">
      <c r="A22" s="84"/>
      <c r="B22" s="204">
        <v>42797</v>
      </c>
      <c r="C22" s="1">
        <v>103</v>
      </c>
      <c r="E22" s="1" t="s">
        <v>693</v>
      </c>
      <c r="F22" s="1" t="s">
        <v>725</v>
      </c>
      <c r="G22" s="213">
        <v>42781</v>
      </c>
      <c r="I22" s="204">
        <v>42781</v>
      </c>
      <c r="J22" s="1" t="s">
        <v>696</v>
      </c>
      <c r="M22" s="5">
        <f t="shared" si="2"/>
        <v>0</v>
      </c>
      <c r="N22" s="66">
        <f t="shared" si="1"/>
        <v>42800</v>
      </c>
      <c r="O22" s="1">
        <v>8582</v>
      </c>
      <c r="P22" s="71">
        <f t="shared" si="3"/>
        <v>7723.8</v>
      </c>
      <c r="Q22" s="225"/>
    </row>
    <row r="23" spans="1:17" s="21" customFormat="1" x14ac:dyDescent="0.25">
      <c r="A23" s="84"/>
      <c r="B23" s="204">
        <v>42797</v>
      </c>
      <c r="C23" s="1">
        <v>103</v>
      </c>
      <c r="D23" s="1"/>
      <c r="E23" s="1" t="s">
        <v>693</v>
      </c>
      <c r="F23" s="1" t="s">
        <v>726</v>
      </c>
      <c r="G23" s="213">
        <v>42781</v>
      </c>
      <c r="H23" s="1"/>
      <c r="I23" s="204">
        <v>42781</v>
      </c>
      <c r="J23" s="1" t="s">
        <v>696</v>
      </c>
      <c r="K23" s="1"/>
      <c r="L23" s="1"/>
      <c r="M23" s="5">
        <f t="shared" si="2"/>
        <v>0</v>
      </c>
      <c r="N23" s="66">
        <f t="shared" si="1"/>
        <v>42800</v>
      </c>
      <c r="O23" s="1">
        <v>95281</v>
      </c>
      <c r="P23" s="71">
        <f t="shared" si="3"/>
        <v>85752.9</v>
      </c>
      <c r="Q23" s="225"/>
    </row>
    <row r="24" spans="1:17" s="21" customFormat="1" x14ac:dyDescent="0.25">
      <c r="A24" s="84"/>
      <c r="B24" s="204">
        <v>42797</v>
      </c>
      <c r="C24" s="1">
        <v>103</v>
      </c>
      <c r="D24" s="1"/>
      <c r="E24" s="1" t="s">
        <v>693</v>
      </c>
      <c r="F24" s="1" t="s">
        <v>727</v>
      </c>
      <c r="G24" s="213">
        <v>42781</v>
      </c>
      <c r="H24" s="1"/>
      <c r="I24" s="204">
        <v>42781</v>
      </c>
      <c r="J24" s="1" t="s">
        <v>696</v>
      </c>
      <c r="K24" s="1"/>
      <c r="L24" s="1"/>
      <c r="M24" s="5">
        <f t="shared" si="2"/>
        <v>0</v>
      </c>
      <c r="N24" s="66">
        <f t="shared" si="1"/>
        <v>42800</v>
      </c>
      <c r="O24" s="1">
        <v>785865</v>
      </c>
      <c r="P24" s="71">
        <f t="shared" si="3"/>
        <v>707278.5</v>
      </c>
      <c r="Q24" s="225"/>
    </row>
    <row r="25" spans="1:17" s="21" customFormat="1" x14ac:dyDescent="0.25">
      <c r="A25" s="84"/>
      <c r="B25" s="204">
        <v>42797</v>
      </c>
      <c r="C25" s="1">
        <v>103</v>
      </c>
      <c r="D25" s="1"/>
      <c r="E25" s="1" t="s">
        <v>693</v>
      </c>
      <c r="F25" s="1" t="s">
        <v>728</v>
      </c>
      <c r="G25" s="213">
        <v>42781</v>
      </c>
      <c r="H25" s="1"/>
      <c r="I25" s="204">
        <v>42781</v>
      </c>
      <c r="J25" s="1" t="s">
        <v>696</v>
      </c>
      <c r="K25" s="1"/>
      <c r="L25" s="1"/>
      <c r="M25" s="5">
        <f t="shared" si="2"/>
        <v>0</v>
      </c>
      <c r="N25" s="66">
        <f t="shared" si="1"/>
        <v>42800</v>
      </c>
      <c r="O25" s="1">
        <v>591144</v>
      </c>
      <c r="P25" s="71">
        <f t="shared" si="3"/>
        <v>532029.6</v>
      </c>
      <c r="Q25" s="225"/>
    </row>
    <row r="26" spans="1:17" s="21" customFormat="1" x14ac:dyDescent="0.25">
      <c r="A26" s="84"/>
      <c r="B26" s="204">
        <v>42797</v>
      </c>
      <c r="C26" s="1">
        <v>103</v>
      </c>
      <c r="D26" s="1"/>
      <c r="E26" s="1" t="s">
        <v>693</v>
      </c>
      <c r="F26" s="1" t="s">
        <v>729</v>
      </c>
      <c r="G26" s="213">
        <v>42781</v>
      </c>
      <c r="H26" s="1"/>
      <c r="I26" s="204">
        <v>42781</v>
      </c>
      <c r="J26" s="1" t="s">
        <v>696</v>
      </c>
      <c r="K26" s="1"/>
      <c r="L26" s="1"/>
      <c r="M26" s="5">
        <f t="shared" si="2"/>
        <v>0</v>
      </c>
      <c r="N26" s="66">
        <f t="shared" si="1"/>
        <v>42800</v>
      </c>
      <c r="O26" s="1">
        <v>279876</v>
      </c>
      <c r="P26" s="71">
        <f t="shared" si="3"/>
        <v>251888.4</v>
      </c>
      <c r="Q26" s="225"/>
    </row>
    <row r="27" spans="1:17" s="21" customFormat="1" x14ac:dyDescent="0.25">
      <c r="A27" s="84"/>
      <c r="B27" s="204">
        <v>42797</v>
      </c>
      <c r="C27" s="1">
        <v>103</v>
      </c>
      <c r="D27" s="1"/>
      <c r="E27" s="1" t="s">
        <v>693</v>
      </c>
      <c r="F27" s="1" t="s">
        <v>730</v>
      </c>
      <c r="G27" s="213">
        <v>42781</v>
      </c>
      <c r="H27" s="1"/>
      <c r="I27" s="204">
        <v>42781</v>
      </c>
      <c r="J27" s="1" t="s">
        <v>696</v>
      </c>
      <c r="K27" s="1"/>
      <c r="L27" s="1"/>
      <c r="M27" s="5">
        <f t="shared" si="2"/>
        <v>0</v>
      </c>
      <c r="N27" s="66">
        <f t="shared" si="1"/>
        <v>42800</v>
      </c>
      <c r="O27" s="1">
        <v>682751</v>
      </c>
      <c r="P27" s="71">
        <f t="shared" si="3"/>
        <v>614475.9</v>
      </c>
      <c r="Q27" s="225"/>
    </row>
    <row r="28" spans="1:17" s="21" customFormat="1" x14ac:dyDescent="0.25">
      <c r="A28" s="84"/>
      <c r="B28" s="204">
        <v>42797</v>
      </c>
      <c r="C28" s="1">
        <v>103</v>
      </c>
      <c r="D28" s="1"/>
      <c r="E28" s="1" t="s">
        <v>693</v>
      </c>
      <c r="F28" s="1" t="s">
        <v>242</v>
      </c>
      <c r="G28" s="213">
        <v>42781</v>
      </c>
      <c r="H28" s="1"/>
      <c r="I28" s="204">
        <v>42781</v>
      </c>
      <c r="J28" s="1" t="s">
        <v>696</v>
      </c>
      <c r="K28" s="1"/>
      <c r="L28" s="1"/>
      <c r="M28" s="5">
        <f t="shared" si="2"/>
        <v>0</v>
      </c>
      <c r="N28" s="66">
        <f t="shared" si="1"/>
        <v>42800</v>
      </c>
      <c r="O28" s="1">
        <v>305482</v>
      </c>
      <c r="P28" s="71">
        <f t="shared" si="3"/>
        <v>274933.8</v>
      </c>
      <c r="Q28" s="225"/>
    </row>
    <row r="29" spans="1:17" s="1" customFormat="1" x14ac:dyDescent="0.25">
      <c r="A29" s="84"/>
      <c r="B29" s="204">
        <v>42797</v>
      </c>
      <c r="C29" s="1">
        <v>103</v>
      </c>
      <c r="E29" s="1" t="s">
        <v>693</v>
      </c>
      <c r="F29" s="1" t="s">
        <v>236</v>
      </c>
      <c r="G29" s="213">
        <v>42781</v>
      </c>
      <c r="I29" s="204">
        <v>42781</v>
      </c>
      <c r="J29" s="1" t="s">
        <v>696</v>
      </c>
      <c r="M29" s="5">
        <f t="shared" si="2"/>
        <v>0</v>
      </c>
      <c r="N29" s="66">
        <f t="shared" si="1"/>
        <v>42800</v>
      </c>
      <c r="O29" s="1">
        <v>769659</v>
      </c>
      <c r="P29" s="71">
        <f t="shared" si="3"/>
        <v>692693.1</v>
      </c>
      <c r="Q29" s="225"/>
    </row>
    <row r="30" spans="1:17" s="1" customFormat="1" x14ac:dyDescent="0.25">
      <c r="A30" s="84"/>
      <c r="B30" s="204">
        <v>42797</v>
      </c>
      <c r="C30" s="1">
        <v>103</v>
      </c>
      <c r="E30" s="1" t="s">
        <v>693</v>
      </c>
      <c r="F30" s="1" t="s">
        <v>237</v>
      </c>
      <c r="G30" s="213">
        <v>42781</v>
      </c>
      <c r="I30" s="204">
        <v>42781</v>
      </c>
      <c r="J30" s="1" t="s">
        <v>41</v>
      </c>
      <c r="M30" s="5">
        <f t="shared" si="2"/>
        <v>0</v>
      </c>
      <c r="N30" s="66">
        <f t="shared" si="1"/>
        <v>42800</v>
      </c>
      <c r="O30" s="1">
        <v>23221</v>
      </c>
      <c r="P30" s="38">
        <v>23221</v>
      </c>
      <c r="Q30" s="225"/>
    </row>
    <row r="31" spans="1:17" s="1" customFormat="1" x14ac:dyDescent="0.25">
      <c r="A31" s="84"/>
      <c r="B31" s="204">
        <v>42786</v>
      </c>
      <c r="C31" s="5">
        <v>103</v>
      </c>
      <c r="D31" s="1">
        <v>3000038759</v>
      </c>
      <c r="E31" s="1" t="s">
        <v>371</v>
      </c>
      <c r="F31" s="20" t="s">
        <v>664</v>
      </c>
      <c r="G31" s="204">
        <v>42790</v>
      </c>
      <c r="H31" s="204"/>
      <c r="I31" s="204">
        <v>42782</v>
      </c>
      <c r="J31" s="1" t="s">
        <v>61</v>
      </c>
      <c r="M31" s="5"/>
      <c r="N31" s="66">
        <f t="shared" si="1"/>
        <v>42801</v>
      </c>
      <c r="O31" s="1">
        <v>39592</v>
      </c>
      <c r="P31" s="38"/>
      <c r="Q31" s="225"/>
    </row>
    <row r="32" spans="1:17" s="1" customFormat="1" x14ac:dyDescent="0.25">
      <c r="A32" s="84"/>
      <c r="B32" s="204">
        <v>42786</v>
      </c>
      <c r="C32" s="5">
        <v>103</v>
      </c>
      <c r="D32" s="1">
        <v>3000038758</v>
      </c>
      <c r="E32" s="1" t="s">
        <v>371</v>
      </c>
      <c r="F32" s="16">
        <v>1204</v>
      </c>
      <c r="G32" s="204">
        <v>42775</v>
      </c>
      <c r="H32" s="204"/>
      <c r="I32" s="204">
        <v>42782</v>
      </c>
      <c r="J32" s="1" t="s">
        <v>61</v>
      </c>
      <c r="K32" s="1">
        <v>20.23</v>
      </c>
      <c r="L32" s="1">
        <v>20.2</v>
      </c>
      <c r="M32" s="5">
        <f>IF(L32&gt;K32,K32,L32)</f>
        <v>20.2</v>
      </c>
      <c r="N32" s="66">
        <f t="shared" si="1"/>
        <v>42801</v>
      </c>
      <c r="O32" s="1">
        <v>2690591</v>
      </c>
      <c r="P32" s="38">
        <f>(+O32/K32*M32)-39592</f>
        <v>2647008.9985170537</v>
      </c>
      <c r="Q32" s="316" t="s">
        <v>347</v>
      </c>
    </row>
    <row r="33" spans="1:17" s="1" customFormat="1" x14ac:dyDescent="0.25">
      <c r="A33" s="84"/>
      <c r="B33" s="204">
        <v>42786</v>
      </c>
      <c r="C33" s="1">
        <v>103</v>
      </c>
      <c r="D33" s="1">
        <v>3000038740</v>
      </c>
      <c r="E33" s="1" t="s">
        <v>624</v>
      </c>
      <c r="F33" s="1">
        <v>1193</v>
      </c>
      <c r="G33" s="204">
        <v>42779</v>
      </c>
      <c r="H33" s="204"/>
      <c r="I33" s="204">
        <v>42782</v>
      </c>
      <c r="J33" s="1" t="s">
        <v>61</v>
      </c>
      <c r="K33" s="1">
        <v>16.260000000000002</v>
      </c>
      <c r="L33" s="1">
        <v>16.28</v>
      </c>
      <c r="M33" s="5">
        <f>IF(L33&gt;K33,K33,L33)</f>
        <v>16.260000000000002</v>
      </c>
      <c r="N33" s="66">
        <f t="shared" si="1"/>
        <v>42801</v>
      </c>
      <c r="O33" s="1">
        <v>2146291</v>
      </c>
      <c r="P33" s="38">
        <f>(+O33/K33*M33)</f>
        <v>2146291</v>
      </c>
      <c r="Q33" s="225"/>
    </row>
    <row r="34" spans="1:17" s="1" customFormat="1" x14ac:dyDescent="0.25">
      <c r="A34" s="84"/>
      <c r="B34" s="204">
        <v>42786</v>
      </c>
      <c r="C34" s="1">
        <v>103</v>
      </c>
      <c r="D34" s="1">
        <v>3000038694</v>
      </c>
      <c r="E34" s="1" t="s">
        <v>201</v>
      </c>
      <c r="F34" s="1">
        <v>352</v>
      </c>
      <c r="G34" s="204">
        <v>42776</v>
      </c>
      <c r="H34" s="204"/>
      <c r="I34" s="204">
        <v>42782</v>
      </c>
      <c r="J34" s="1" t="s">
        <v>61</v>
      </c>
      <c r="K34" s="1">
        <v>20.329999999999998</v>
      </c>
      <c r="L34" s="1">
        <v>20.329999999999998</v>
      </c>
      <c r="M34" s="5">
        <f>IF(L34&gt;K34,K34,L34)</f>
        <v>20.329999999999998</v>
      </c>
      <c r="N34" s="66">
        <f t="shared" si="1"/>
        <v>42801</v>
      </c>
      <c r="O34" s="1">
        <v>2643916</v>
      </c>
      <c r="P34" s="38">
        <f>(+O34/K34*M34)</f>
        <v>2643916</v>
      </c>
      <c r="Q34" s="225"/>
    </row>
    <row r="35" spans="1:17" s="1" customFormat="1" x14ac:dyDescent="0.25">
      <c r="A35" s="84"/>
      <c r="B35" s="204">
        <v>42786</v>
      </c>
      <c r="C35" s="1">
        <v>103</v>
      </c>
      <c r="D35" s="1">
        <v>3000038696</v>
      </c>
      <c r="E35" s="1" t="s">
        <v>158</v>
      </c>
      <c r="F35" s="1">
        <v>197</v>
      </c>
      <c r="G35" s="204">
        <v>42778</v>
      </c>
      <c r="H35" s="204"/>
      <c r="I35" s="204">
        <v>42782</v>
      </c>
      <c r="J35" s="1" t="s">
        <v>61</v>
      </c>
      <c r="K35" s="1">
        <v>20.52</v>
      </c>
      <c r="L35" s="1">
        <v>20.54</v>
      </c>
      <c r="M35" s="5">
        <f>IF(L35&gt;K35,K35,L35)</f>
        <v>20.52</v>
      </c>
      <c r="N35" s="66">
        <f t="shared" si="1"/>
        <v>42801</v>
      </c>
      <c r="O35" s="1">
        <v>2667600</v>
      </c>
      <c r="P35" s="38">
        <f>(+O35/K35*M35)</f>
        <v>2667600</v>
      </c>
      <c r="Q35" s="225"/>
    </row>
    <row r="36" spans="1:17" s="1" customFormat="1" x14ac:dyDescent="0.25">
      <c r="A36" s="84"/>
      <c r="B36" s="204">
        <v>42787</v>
      </c>
      <c r="C36" s="1">
        <v>103</v>
      </c>
      <c r="D36" s="1">
        <v>3000038740</v>
      </c>
      <c r="E36" s="1" t="s">
        <v>624</v>
      </c>
      <c r="F36" s="1">
        <v>1194</v>
      </c>
      <c r="G36" s="213">
        <v>42779</v>
      </c>
      <c r="H36" s="213" t="s">
        <v>489</v>
      </c>
      <c r="I36" s="204">
        <v>42783</v>
      </c>
      <c r="J36" s="1" t="s">
        <v>61</v>
      </c>
      <c r="K36" s="1">
        <v>20.440000000000001</v>
      </c>
      <c r="L36" s="1">
        <v>20.43</v>
      </c>
      <c r="M36" s="5">
        <f>IF(L36&gt;K36,K36,L36)</f>
        <v>20.43</v>
      </c>
      <c r="N36" s="66">
        <f t="shared" si="1"/>
        <v>42802</v>
      </c>
      <c r="O36" s="1">
        <v>2698043</v>
      </c>
      <c r="P36" s="38">
        <f>(+O36/K36*M36)</f>
        <v>2696723.0181017607</v>
      </c>
      <c r="Q36" s="266" t="s">
        <v>347</v>
      </c>
    </row>
    <row r="37" spans="1:17" s="1" customFormat="1" x14ac:dyDescent="0.25">
      <c r="A37" s="84"/>
      <c r="B37" s="263">
        <v>42787</v>
      </c>
      <c r="C37" s="21">
        <v>103</v>
      </c>
      <c r="D37" s="21">
        <v>3000038759</v>
      </c>
      <c r="E37" s="21" t="s">
        <v>624</v>
      </c>
      <c r="F37" s="296" t="s">
        <v>662</v>
      </c>
      <c r="G37" s="263">
        <v>42790</v>
      </c>
      <c r="H37" s="263"/>
      <c r="I37" s="263">
        <v>42784</v>
      </c>
      <c r="J37" s="21" t="s">
        <v>61</v>
      </c>
      <c r="K37" s="21"/>
      <c r="L37" s="21"/>
      <c r="M37" s="27"/>
      <c r="N37" s="66">
        <f t="shared" si="1"/>
        <v>42803</v>
      </c>
      <c r="O37" s="21">
        <v>40682</v>
      </c>
      <c r="P37" s="36"/>
      <c r="Q37" s="266"/>
    </row>
    <row r="38" spans="1:17" s="1" customFormat="1" x14ac:dyDescent="0.25">
      <c r="A38" s="84"/>
      <c r="B38" s="263">
        <v>42787</v>
      </c>
      <c r="C38" s="21">
        <v>103</v>
      </c>
      <c r="D38" s="21">
        <v>3000038759</v>
      </c>
      <c r="E38" s="21" t="s">
        <v>624</v>
      </c>
      <c r="F38" s="296">
        <v>1196</v>
      </c>
      <c r="G38" s="263">
        <v>42780</v>
      </c>
      <c r="H38" s="263" t="s">
        <v>630</v>
      </c>
      <c r="I38" s="263">
        <v>42784</v>
      </c>
      <c r="J38" s="21" t="s">
        <v>61</v>
      </c>
      <c r="K38" s="21">
        <v>20.079999999999998</v>
      </c>
      <c r="L38" s="21">
        <v>20.059999999999999</v>
      </c>
      <c r="M38" s="27">
        <f>IF(L38&gt;K38,K38,L38)</f>
        <v>20.059999999999999</v>
      </c>
      <c r="N38" s="66">
        <f t="shared" si="1"/>
        <v>42803</v>
      </c>
      <c r="O38" s="21">
        <v>2650524</v>
      </c>
      <c r="P38" s="36">
        <f>(+O38/K38*M38)-40682</f>
        <v>2607202.0358565738</v>
      </c>
      <c r="Q38" s="266" t="s">
        <v>347</v>
      </c>
    </row>
    <row r="39" spans="1:17" s="1" customFormat="1" x14ac:dyDescent="0.25">
      <c r="A39" s="84"/>
      <c r="B39" s="263">
        <v>42787</v>
      </c>
      <c r="C39" s="21">
        <v>103</v>
      </c>
      <c r="D39" s="21">
        <v>3000038759</v>
      </c>
      <c r="E39" s="21" t="s">
        <v>624</v>
      </c>
      <c r="F39" s="296" t="s">
        <v>663</v>
      </c>
      <c r="G39" s="263">
        <v>42790</v>
      </c>
      <c r="H39" s="263"/>
      <c r="I39" s="263">
        <v>42784</v>
      </c>
      <c r="J39" s="21"/>
      <c r="K39" s="21"/>
      <c r="L39" s="21"/>
      <c r="M39" s="27"/>
      <c r="N39" s="66">
        <f t="shared" si="1"/>
        <v>42803</v>
      </c>
      <c r="O39" s="21">
        <v>35445</v>
      </c>
      <c r="P39" s="36"/>
      <c r="Q39" s="266"/>
    </row>
    <row r="40" spans="1:17" s="1" customFormat="1" x14ac:dyDescent="0.25">
      <c r="A40" s="84"/>
      <c r="B40" s="263">
        <v>42787</v>
      </c>
      <c r="C40" s="21">
        <v>103</v>
      </c>
      <c r="D40" s="21">
        <v>3000038759</v>
      </c>
      <c r="E40" s="21" t="s">
        <v>624</v>
      </c>
      <c r="F40" s="296">
        <v>1197</v>
      </c>
      <c r="G40" s="263">
        <v>42780</v>
      </c>
      <c r="H40" s="263" t="s">
        <v>631</v>
      </c>
      <c r="I40" s="263">
        <v>42784</v>
      </c>
      <c r="J40" s="21" t="s">
        <v>61</v>
      </c>
      <c r="K40" s="21">
        <v>20.5</v>
      </c>
      <c r="L40" s="21">
        <v>20.5</v>
      </c>
      <c r="M40" s="27">
        <f>IF(L40&gt;K40,K40,L40)</f>
        <v>20.5</v>
      </c>
      <c r="N40" s="66">
        <f t="shared" si="1"/>
        <v>42803</v>
      </c>
      <c r="O40" s="21">
        <v>2705963</v>
      </c>
      <c r="P40" s="36">
        <f>(+O40/K40*M40)-35445</f>
        <v>2670518</v>
      </c>
      <c r="Q40" s="266" t="s">
        <v>347</v>
      </c>
    </row>
    <row r="41" spans="1:17" s="1" customFormat="1" x14ac:dyDescent="0.25">
      <c r="A41" s="84"/>
      <c r="B41" s="263">
        <v>42789</v>
      </c>
      <c r="C41" s="21">
        <v>103</v>
      </c>
      <c r="D41" s="21">
        <v>3000038740</v>
      </c>
      <c r="E41" s="21" t="s">
        <v>624</v>
      </c>
      <c r="F41" s="296" t="s">
        <v>661</v>
      </c>
      <c r="G41" s="263">
        <v>42790</v>
      </c>
      <c r="H41" s="21"/>
      <c r="I41" s="263">
        <v>42784</v>
      </c>
      <c r="J41" s="21" t="s">
        <v>61</v>
      </c>
      <c r="K41" s="21"/>
      <c r="L41" s="21"/>
      <c r="M41" s="27"/>
      <c r="N41" s="66">
        <f t="shared" si="1"/>
        <v>42803</v>
      </c>
      <c r="O41" s="21">
        <v>2746</v>
      </c>
      <c r="P41" s="36"/>
      <c r="Q41" s="266"/>
    </row>
    <row r="42" spans="1:17" s="1" customFormat="1" x14ac:dyDescent="0.25">
      <c r="A42" s="84"/>
      <c r="B42" s="263">
        <v>42789</v>
      </c>
      <c r="C42" s="21">
        <v>103</v>
      </c>
      <c r="D42" s="21" t="s">
        <v>644</v>
      </c>
      <c r="E42" s="21" t="s">
        <v>624</v>
      </c>
      <c r="F42" s="296">
        <v>1195</v>
      </c>
      <c r="G42" s="263">
        <v>42779</v>
      </c>
      <c r="H42" s="21" t="s">
        <v>643</v>
      </c>
      <c r="I42" s="263">
        <v>42784</v>
      </c>
      <c r="J42" s="21" t="s">
        <v>61</v>
      </c>
      <c r="K42" s="21">
        <v>20.34</v>
      </c>
      <c r="L42" s="21">
        <v>20.350000000000001</v>
      </c>
      <c r="M42" s="27">
        <f t="shared" ref="M42:M73" si="4">IF(L42&gt;K42,K42,L42)</f>
        <v>20.34</v>
      </c>
      <c r="N42" s="66">
        <f t="shared" si="1"/>
        <v>42803</v>
      </c>
      <c r="O42" s="21">
        <v>2684843</v>
      </c>
      <c r="P42" s="36">
        <f>(+O42/K42*M42)-2746</f>
        <v>2682097</v>
      </c>
      <c r="Q42" s="266"/>
    </row>
    <row r="43" spans="1:17" s="1" customFormat="1" x14ac:dyDescent="0.25">
      <c r="A43" s="84"/>
      <c r="B43" s="204">
        <v>42793</v>
      </c>
      <c r="C43" s="1">
        <v>103</v>
      </c>
      <c r="D43" s="1">
        <v>3000038758</v>
      </c>
      <c r="E43" s="1" t="s">
        <v>371</v>
      </c>
      <c r="F43" s="1">
        <v>1215</v>
      </c>
      <c r="G43" s="213">
        <v>42780</v>
      </c>
      <c r="H43" s="1" t="s">
        <v>423</v>
      </c>
      <c r="I43" s="204">
        <v>42784</v>
      </c>
      <c r="J43" s="1" t="s">
        <v>61</v>
      </c>
      <c r="K43" s="1">
        <v>20.420000000000002</v>
      </c>
      <c r="L43" s="1">
        <v>20.350000000000001</v>
      </c>
      <c r="M43" s="5">
        <f t="shared" si="4"/>
        <v>20.350000000000001</v>
      </c>
      <c r="N43" s="66">
        <f t="shared" si="1"/>
        <v>42803</v>
      </c>
      <c r="O43" s="1">
        <v>2715861</v>
      </c>
      <c r="P43" s="38">
        <f t="shared" ref="P43:P69" si="5">(+O43/K43*M43)</f>
        <v>2706550.9965719883</v>
      </c>
      <c r="Q43" s="225"/>
    </row>
    <row r="44" spans="1:17" s="1" customFormat="1" x14ac:dyDescent="0.25">
      <c r="A44" s="84"/>
      <c r="B44" s="204">
        <v>42793</v>
      </c>
      <c r="C44" s="1">
        <v>103</v>
      </c>
      <c r="D44" s="1">
        <v>3000038758</v>
      </c>
      <c r="E44" s="1" t="s">
        <v>371</v>
      </c>
      <c r="F44" s="1">
        <v>1220</v>
      </c>
      <c r="G44" s="213">
        <v>42781</v>
      </c>
      <c r="H44" s="1" t="s">
        <v>545</v>
      </c>
      <c r="I44" s="204">
        <v>42785</v>
      </c>
      <c r="J44" s="1" t="s">
        <v>61</v>
      </c>
      <c r="K44" s="1">
        <v>19.850000000000001</v>
      </c>
      <c r="L44" s="1">
        <v>19.86</v>
      </c>
      <c r="M44" s="5">
        <f t="shared" si="4"/>
        <v>19.850000000000001</v>
      </c>
      <c r="N44" s="66">
        <f t="shared" si="1"/>
        <v>42804</v>
      </c>
      <c r="O44" s="1">
        <v>2640051</v>
      </c>
      <c r="P44" s="38">
        <f t="shared" si="5"/>
        <v>2640051</v>
      </c>
      <c r="Q44" s="225"/>
    </row>
    <row r="45" spans="1:17" s="1" customFormat="1" x14ac:dyDescent="0.25">
      <c r="A45" s="84"/>
      <c r="B45" s="204">
        <v>42793</v>
      </c>
      <c r="C45" s="1">
        <v>103</v>
      </c>
      <c r="D45" s="1">
        <v>3000038275</v>
      </c>
      <c r="E45" s="1" t="s">
        <v>600</v>
      </c>
      <c r="F45" s="1">
        <v>154</v>
      </c>
      <c r="G45" s="213">
        <v>42781</v>
      </c>
      <c r="H45" s="1" t="s">
        <v>678</v>
      </c>
      <c r="I45" s="204">
        <v>42785</v>
      </c>
      <c r="J45" s="1" t="s">
        <v>61</v>
      </c>
      <c r="K45" s="1">
        <v>20.13</v>
      </c>
      <c r="L45" s="1">
        <v>20.12</v>
      </c>
      <c r="M45" s="5">
        <f t="shared" si="4"/>
        <v>20.12</v>
      </c>
      <c r="N45" s="66">
        <f t="shared" si="1"/>
        <v>42804</v>
      </c>
      <c r="O45" s="1">
        <v>2375340</v>
      </c>
      <c r="P45" s="38">
        <f t="shared" si="5"/>
        <v>2374160</v>
      </c>
      <c r="Q45" s="225"/>
    </row>
    <row r="46" spans="1:17" s="1" customFormat="1" x14ac:dyDescent="0.25">
      <c r="A46" s="84"/>
      <c r="B46" s="204">
        <v>42793</v>
      </c>
      <c r="C46" s="1">
        <v>103</v>
      </c>
      <c r="D46" s="1">
        <v>3000038742</v>
      </c>
      <c r="E46" s="1" t="s">
        <v>364</v>
      </c>
      <c r="F46" s="1">
        <v>178</v>
      </c>
      <c r="G46" s="213">
        <v>42783</v>
      </c>
      <c r="H46" s="1" t="s">
        <v>672</v>
      </c>
      <c r="I46" s="204">
        <v>42787</v>
      </c>
      <c r="J46" s="1" t="s">
        <v>61</v>
      </c>
      <c r="K46" s="1">
        <v>19.98</v>
      </c>
      <c r="L46" s="1">
        <v>19.97</v>
      </c>
      <c r="M46" s="5">
        <f t="shared" si="4"/>
        <v>19.97</v>
      </c>
      <c r="N46" s="66">
        <f t="shared" si="1"/>
        <v>42806</v>
      </c>
      <c r="O46" s="1">
        <v>2637360</v>
      </c>
      <c r="P46" s="38">
        <f t="shared" si="5"/>
        <v>2636040</v>
      </c>
      <c r="Q46" s="225"/>
    </row>
    <row r="47" spans="1:17" s="1" customFormat="1" x14ac:dyDescent="0.25">
      <c r="A47" s="84"/>
      <c r="B47" s="204">
        <v>42793</v>
      </c>
      <c r="C47" s="1">
        <v>103</v>
      </c>
      <c r="D47" s="1">
        <v>3000038759</v>
      </c>
      <c r="E47" s="1" t="s">
        <v>624</v>
      </c>
      <c r="F47" s="1">
        <v>1200</v>
      </c>
      <c r="G47" s="213">
        <v>42783</v>
      </c>
      <c r="H47" s="1" t="s">
        <v>673</v>
      </c>
      <c r="I47" s="204">
        <v>42787</v>
      </c>
      <c r="J47" s="1" t="s">
        <v>61</v>
      </c>
      <c r="K47" s="1">
        <v>16.61</v>
      </c>
      <c r="L47" s="1">
        <v>16.57</v>
      </c>
      <c r="M47" s="5">
        <f t="shared" si="4"/>
        <v>16.57</v>
      </c>
      <c r="N47" s="66">
        <f t="shared" si="1"/>
        <v>42806</v>
      </c>
      <c r="O47" s="1">
        <v>2192490</v>
      </c>
      <c r="P47" s="38">
        <f t="shared" si="5"/>
        <v>2187210.0722456351</v>
      </c>
      <c r="Q47" s="225"/>
    </row>
    <row r="48" spans="1:17" s="1" customFormat="1" x14ac:dyDescent="0.25">
      <c r="A48" s="84"/>
      <c r="B48" s="204">
        <v>42793</v>
      </c>
      <c r="C48" s="1">
        <v>103</v>
      </c>
      <c r="D48" s="1">
        <v>3000038759</v>
      </c>
      <c r="E48" s="1" t="s">
        <v>624</v>
      </c>
      <c r="F48" s="1">
        <v>1201</v>
      </c>
      <c r="G48" s="213">
        <v>42783</v>
      </c>
      <c r="H48" s="1" t="s">
        <v>674</v>
      </c>
      <c r="I48" s="204">
        <v>42787</v>
      </c>
      <c r="J48" s="270" t="s">
        <v>61</v>
      </c>
      <c r="K48" s="1">
        <v>16.22</v>
      </c>
      <c r="L48" s="1">
        <v>16.18</v>
      </c>
      <c r="M48" s="5">
        <f t="shared" si="4"/>
        <v>16.18</v>
      </c>
      <c r="N48" s="66">
        <f t="shared" si="1"/>
        <v>42806</v>
      </c>
      <c r="O48" s="1">
        <v>2141011</v>
      </c>
      <c r="P48" s="38">
        <f t="shared" si="5"/>
        <v>2135731.0715166465</v>
      </c>
      <c r="Q48" s="225"/>
    </row>
    <row r="49" spans="1:17" s="1" customFormat="1" x14ac:dyDescent="0.25">
      <c r="A49" s="84"/>
      <c r="B49" s="204">
        <v>42793</v>
      </c>
      <c r="C49" s="1">
        <v>103</v>
      </c>
      <c r="D49" s="1">
        <v>3000038758</v>
      </c>
      <c r="E49" s="1" t="s">
        <v>371</v>
      </c>
      <c r="F49" s="1">
        <v>1224</v>
      </c>
      <c r="G49" s="213">
        <v>42783</v>
      </c>
      <c r="H49" s="1" t="s">
        <v>676</v>
      </c>
      <c r="I49" s="204">
        <v>42787</v>
      </c>
      <c r="J49" s="1" t="s">
        <v>61</v>
      </c>
      <c r="K49" s="1">
        <v>20.65</v>
      </c>
      <c r="L49" s="1">
        <v>20.59</v>
      </c>
      <c r="M49" s="5">
        <f t="shared" si="4"/>
        <v>20.59</v>
      </c>
      <c r="N49" s="66">
        <f t="shared" si="1"/>
        <v>42806</v>
      </c>
      <c r="O49" s="1">
        <v>2746451</v>
      </c>
      <c r="P49" s="38">
        <f t="shared" si="5"/>
        <v>2738470.9970944314</v>
      </c>
      <c r="Q49" s="225"/>
    </row>
    <row r="50" spans="1:17" s="1" customFormat="1" x14ac:dyDescent="0.25">
      <c r="A50" s="84"/>
      <c r="B50" s="204">
        <v>42793</v>
      </c>
      <c r="C50" s="1">
        <v>103</v>
      </c>
      <c r="D50" s="1">
        <v>3000038758</v>
      </c>
      <c r="E50" s="1" t="s">
        <v>371</v>
      </c>
      <c r="F50" s="1">
        <v>1225</v>
      </c>
      <c r="G50" s="213">
        <v>42783</v>
      </c>
      <c r="H50" s="1" t="s">
        <v>677</v>
      </c>
      <c r="I50" s="204">
        <v>42787</v>
      </c>
      <c r="J50" s="1" t="s">
        <v>61</v>
      </c>
      <c r="K50" s="1">
        <v>20.03</v>
      </c>
      <c r="L50" s="1">
        <v>20.010000000000002</v>
      </c>
      <c r="M50" s="5">
        <f t="shared" si="4"/>
        <v>20.010000000000002</v>
      </c>
      <c r="N50" s="66">
        <f t="shared" si="1"/>
        <v>42806</v>
      </c>
      <c r="O50" s="1">
        <v>2663991</v>
      </c>
      <c r="P50" s="38">
        <f t="shared" si="5"/>
        <v>2661330.9990014974</v>
      </c>
      <c r="Q50" s="225"/>
    </row>
    <row r="51" spans="1:17" s="1" customFormat="1" x14ac:dyDescent="0.25">
      <c r="A51" s="84"/>
      <c r="B51" s="204">
        <v>42793</v>
      </c>
      <c r="C51" s="1">
        <v>103</v>
      </c>
      <c r="D51" s="1">
        <v>3000038694</v>
      </c>
      <c r="E51" s="1" t="s">
        <v>201</v>
      </c>
      <c r="F51" s="1">
        <v>397</v>
      </c>
      <c r="G51" s="213">
        <v>42784</v>
      </c>
      <c r="H51" s="1" t="s">
        <v>544</v>
      </c>
      <c r="I51" s="204">
        <v>42787</v>
      </c>
      <c r="J51" s="1" t="s">
        <v>61</v>
      </c>
      <c r="K51" s="1">
        <v>20.2</v>
      </c>
      <c r="L51" s="1">
        <v>20.170000000000002</v>
      </c>
      <c r="M51" s="5">
        <f t="shared" si="4"/>
        <v>20.170000000000002</v>
      </c>
      <c r="N51" s="66">
        <f t="shared" si="1"/>
        <v>42806</v>
      </c>
      <c r="O51" s="1">
        <v>2627010</v>
      </c>
      <c r="P51" s="38">
        <f t="shared" si="5"/>
        <v>2623108.5</v>
      </c>
      <c r="Q51" s="225"/>
    </row>
    <row r="52" spans="1:17" s="1" customFormat="1" x14ac:dyDescent="0.25">
      <c r="A52" s="84"/>
      <c r="B52" s="204">
        <v>42795</v>
      </c>
      <c r="C52" s="1">
        <v>103</v>
      </c>
      <c r="D52" s="1">
        <v>3000038712</v>
      </c>
      <c r="E52" s="1" t="s">
        <v>260</v>
      </c>
      <c r="F52" s="1">
        <v>91</v>
      </c>
      <c r="G52" s="213">
        <v>42783</v>
      </c>
      <c r="H52" s="1" t="s">
        <v>697</v>
      </c>
      <c r="I52" s="204">
        <v>42787</v>
      </c>
      <c r="J52" s="1" t="s">
        <v>61</v>
      </c>
      <c r="K52" s="1">
        <v>19.23</v>
      </c>
      <c r="L52" s="1">
        <v>19.190000000000001</v>
      </c>
      <c r="M52" s="5">
        <f t="shared" si="4"/>
        <v>19.190000000000001</v>
      </c>
      <c r="N52" s="66">
        <f t="shared" si="1"/>
        <v>42806</v>
      </c>
      <c r="O52" s="1">
        <v>2405288</v>
      </c>
      <c r="P52" s="38">
        <f t="shared" si="5"/>
        <v>2400284.8008320336</v>
      </c>
      <c r="Q52" s="225"/>
    </row>
    <row r="53" spans="1:17" s="1" customFormat="1" x14ac:dyDescent="0.25">
      <c r="A53" s="84"/>
      <c r="B53" s="204">
        <v>42793</v>
      </c>
      <c r="C53" s="1">
        <v>103</v>
      </c>
      <c r="D53" s="1">
        <v>3000038759</v>
      </c>
      <c r="E53" s="1" t="s">
        <v>624</v>
      </c>
      <c r="F53" s="1">
        <v>1202</v>
      </c>
      <c r="G53" s="213">
        <v>42783</v>
      </c>
      <c r="H53" s="1" t="s">
        <v>675</v>
      </c>
      <c r="I53" s="204">
        <v>42788</v>
      </c>
      <c r="J53" s="1" t="s">
        <v>61</v>
      </c>
      <c r="K53" s="1">
        <v>20.21</v>
      </c>
      <c r="L53" s="1">
        <v>20.170000000000002</v>
      </c>
      <c r="M53" s="5">
        <f t="shared" si="4"/>
        <v>20.170000000000002</v>
      </c>
      <c r="N53" s="66">
        <f t="shared" si="1"/>
        <v>42807</v>
      </c>
      <c r="O53" s="1">
        <v>2667684</v>
      </c>
      <c r="P53" s="38">
        <f t="shared" si="5"/>
        <v>2662404.0712518557</v>
      </c>
      <c r="Q53" s="225"/>
    </row>
    <row r="54" spans="1:17" s="1" customFormat="1" x14ac:dyDescent="0.25">
      <c r="A54" s="84"/>
      <c r="B54" s="204">
        <v>42795</v>
      </c>
      <c r="C54" s="1">
        <v>103</v>
      </c>
      <c r="D54" s="1">
        <v>3000038797</v>
      </c>
      <c r="E54" s="1" t="s">
        <v>364</v>
      </c>
      <c r="F54" s="1">
        <v>179</v>
      </c>
      <c r="G54" s="213">
        <v>42786</v>
      </c>
      <c r="H54" s="1" t="s">
        <v>686</v>
      </c>
      <c r="I54" s="204">
        <v>42790</v>
      </c>
      <c r="J54" s="1" t="s">
        <v>61</v>
      </c>
      <c r="K54" s="1">
        <v>20.260000000000002</v>
      </c>
      <c r="L54" s="1">
        <v>20.18</v>
      </c>
      <c r="M54" s="5">
        <f t="shared" si="4"/>
        <v>20.18</v>
      </c>
      <c r="N54" s="66">
        <f t="shared" si="1"/>
        <v>42809</v>
      </c>
      <c r="O54" s="1">
        <v>2694580</v>
      </c>
      <c r="P54" s="38">
        <f t="shared" si="5"/>
        <v>2683940</v>
      </c>
      <c r="Q54" s="225"/>
    </row>
    <row r="55" spans="1:17" s="1" customFormat="1" x14ac:dyDescent="0.25">
      <c r="A55" s="84"/>
      <c r="B55" s="204">
        <v>42795</v>
      </c>
      <c r="C55" s="1">
        <v>103</v>
      </c>
      <c r="D55" s="1">
        <v>3000038712</v>
      </c>
      <c r="E55" s="1" t="s">
        <v>592</v>
      </c>
      <c r="F55" s="1">
        <v>92</v>
      </c>
      <c r="G55" s="213">
        <v>42788</v>
      </c>
      <c r="H55" s="1" t="s">
        <v>688</v>
      </c>
      <c r="I55" s="204">
        <v>42791</v>
      </c>
      <c r="J55" s="1" t="s">
        <v>61</v>
      </c>
      <c r="K55" s="1">
        <v>19.8</v>
      </c>
      <c r="L55" s="1">
        <v>19.760000000000002</v>
      </c>
      <c r="M55" s="5">
        <f t="shared" si="4"/>
        <v>19.760000000000002</v>
      </c>
      <c r="N55" s="66">
        <f t="shared" si="1"/>
        <v>42810</v>
      </c>
      <c r="O55" s="1">
        <v>2476584</v>
      </c>
      <c r="P55" s="38">
        <f t="shared" si="5"/>
        <v>2471580.8000000003</v>
      </c>
      <c r="Q55" s="225"/>
    </row>
    <row r="56" spans="1:17" s="1" customFormat="1" x14ac:dyDescent="0.25">
      <c r="A56" s="84"/>
      <c r="B56" s="204">
        <v>42795</v>
      </c>
      <c r="C56" s="1">
        <v>103</v>
      </c>
      <c r="D56" s="1">
        <v>3000039168</v>
      </c>
      <c r="E56" s="1" t="s">
        <v>348</v>
      </c>
      <c r="F56" s="1">
        <v>231</v>
      </c>
      <c r="G56" s="213">
        <v>42785</v>
      </c>
      <c r="H56" s="1" t="s">
        <v>504</v>
      </c>
      <c r="I56" s="204">
        <v>42791</v>
      </c>
      <c r="J56" s="1" t="s">
        <v>16</v>
      </c>
      <c r="K56" s="1">
        <v>19.11</v>
      </c>
      <c r="L56" s="1">
        <v>190090</v>
      </c>
      <c r="M56" s="5">
        <f t="shared" si="4"/>
        <v>19.11</v>
      </c>
      <c r="N56" s="66">
        <f t="shared" si="1"/>
        <v>42810</v>
      </c>
      <c r="O56" s="1">
        <v>1085687</v>
      </c>
      <c r="P56" s="38">
        <f t="shared" si="5"/>
        <v>1085687</v>
      </c>
      <c r="Q56" s="225"/>
    </row>
    <row r="57" spans="1:17" s="1" customFormat="1" x14ac:dyDescent="0.25">
      <c r="A57" s="84"/>
      <c r="B57" s="204">
        <v>42795</v>
      </c>
      <c r="C57" s="1">
        <v>103</v>
      </c>
      <c r="D57" s="1">
        <v>3000039168</v>
      </c>
      <c r="E57" s="1" t="s">
        <v>348</v>
      </c>
      <c r="F57" s="1">
        <v>232</v>
      </c>
      <c r="G57" s="213">
        <v>42788</v>
      </c>
      <c r="H57" s="1" t="s">
        <v>685</v>
      </c>
      <c r="I57" s="204">
        <v>42791</v>
      </c>
      <c r="J57" s="1" t="s">
        <v>16</v>
      </c>
      <c r="K57" s="1">
        <v>19.2</v>
      </c>
      <c r="L57" s="1">
        <v>19.170000000000002</v>
      </c>
      <c r="M57" s="5">
        <f t="shared" si="4"/>
        <v>19.170000000000002</v>
      </c>
      <c r="N57" s="66">
        <f t="shared" si="1"/>
        <v>42810</v>
      </c>
      <c r="O57" s="1">
        <v>1090800</v>
      </c>
      <c r="P57" s="38">
        <f t="shared" si="5"/>
        <v>1089095.625</v>
      </c>
      <c r="Q57" s="225"/>
    </row>
    <row r="58" spans="1:17" s="1" customFormat="1" x14ac:dyDescent="0.25">
      <c r="A58" s="84"/>
      <c r="B58" s="204">
        <v>42795</v>
      </c>
      <c r="C58" s="1">
        <v>103</v>
      </c>
      <c r="D58" s="1">
        <v>3000038797</v>
      </c>
      <c r="E58" s="1" t="s">
        <v>364</v>
      </c>
      <c r="F58" s="1">
        <v>180</v>
      </c>
      <c r="G58" s="213">
        <v>42788</v>
      </c>
      <c r="H58" s="1" t="s">
        <v>687</v>
      </c>
      <c r="I58" s="204">
        <v>42792</v>
      </c>
      <c r="J58" s="1" t="s">
        <v>61</v>
      </c>
      <c r="K58" s="1">
        <v>20</v>
      </c>
      <c r="L58" s="1">
        <v>20.010000000000002</v>
      </c>
      <c r="M58" s="5">
        <f t="shared" si="4"/>
        <v>20</v>
      </c>
      <c r="N58" s="66">
        <f t="shared" si="1"/>
        <v>42811</v>
      </c>
      <c r="O58" s="1">
        <v>2660000</v>
      </c>
      <c r="P58" s="38">
        <f t="shared" si="5"/>
        <v>2660000</v>
      </c>
      <c r="Q58" s="225"/>
    </row>
    <row r="59" spans="1:17" s="1" customFormat="1" x14ac:dyDescent="0.25">
      <c r="A59" s="84"/>
      <c r="B59" s="204">
        <v>42795</v>
      </c>
      <c r="C59" s="1">
        <v>103</v>
      </c>
      <c r="D59" s="1">
        <v>3000038713</v>
      </c>
      <c r="E59" s="1" t="s">
        <v>199</v>
      </c>
      <c r="F59" s="1">
        <v>5960</v>
      </c>
      <c r="G59" s="213">
        <v>42789</v>
      </c>
      <c r="H59" s="1" t="s">
        <v>690</v>
      </c>
      <c r="I59" s="204">
        <v>42792</v>
      </c>
      <c r="J59" s="1" t="s">
        <v>61</v>
      </c>
      <c r="K59" s="1">
        <v>20.22</v>
      </c>
      <c r="L59" s="1">
        <v>20.170000000000002</v>
      </c>
      <c r="M59" s="5">
        <f t="shared" si="4"/>
        <v>20.170000000000002</v>
      </c>
      <c r="N59" s="66">
        <f t="shared" si="1"/>
        <v>42811</v>
      </c>
      <c r="O59" s="1">
        <v>2786316</v>
      </c>
      <c r="P59" s="38">
        <f t="shared" si="5"/>
        <v>2779426.0000000005</v>
      </c>
      <c r="Q59" s="225"/>
    </row>
    <row r="60" spans="1:17" s="1" customFormat="1" x14ac:dyDescent="0.25">
      <c r="A60" s="84"/>
      <c r="B60" s="204">
        <v>42800</v>
      </c>
      <c r="C60" s="1">
        <v>114</v>
      </c>
      <c r="D60" s="1">
        <v>3000038823</v>
      </c>
      <c r="E60" s="1" t="s">
        <v>18</v>
      </c>
      <c r="F60" s="16">
        <v>211</v>
      </c>
      <c r="G60" s="213">
        <v>42791</v>
      </c>
      <c r="H60" s="1" t="s">
        <v>736</v>
      </c>
      <c r="I60" s="204">
        <v>42797</v>
      </c>
      <c r="J60" s="1" t="s">
        <v>8</v>
      </c>
      <c r="K60" s="1">
        <v>10.65</v>
      </c>
      <c r="L60" s="1">
        <v>10.51</v>
      </c>
      <c r="M60" s="5">
        <f t="shared" si="4"/>
        <v>10.51</v>
      </c>
      <c r="N60" s="211">
        <f>+I60+15-1</f>
        <v>42811</v>
      </c>
      <c r="O60" s="1">
        <v>623025</v>
      </c>
      <c r="P60" s="38">
        <f t="shared" si="5"/>
        <v>614835</v>
      </c>
      <c r="Q60" s="225"/>
    </row>
    <row r="61" spans="1:17" s="1" customFormat="1" x14ac:dyDescent="0.25">
      <c r="A61" s="84"/>
      <c r="B61" s="204">
        <v>42800</v>
      </c>
      <c r="C61" s="1">
        <v>114</v>
      </c>
      <c r="D61" s="1">
        <v>3000039059</v>
      </c>
      <c r="E61" s="1" t="s">
        <v>18</v>
      </c>
      <c r="F61" s="16">
        <v>211</v>
      </c>
      <c r="G61" s="213">
        <v>42791</v>
      </c>
      <c r="H61" s="1" t="s">
        <v>736</v>
      </c>
      <c r="I61" s="204">
        <v>42797</v>
      </c>
      <c r="J61" s="1" t="s">
        <v>8</v>
      </c>
      <c r="K61" s="1">
        <v>16.66</v>
      </c>
      <c r="L61" s="1">
        <v>16.66</v>
      </c>
      <c r="M61" s="5">
        <f t="shared" si="4"/>
        <v>16.66</v>
      </c>
      <c r="N61" s="211">
        <f>+I61+15-1</f>
        <v>42811</v>
      </c>
      <c r="O61" s="1">
        <v>974610</v>
      </c>
      <c r="P61" s="38">
        <f t="shared" si="5"/>
        <v>974610</v>
      </c>
      <c r="Q61" s="225"/>
    </row>
    <row r="62" spans="1:17" s="1" customFormat="1" x14ac:dyDescent="0.25">
      <c r="A62" s="84"/>
      <c r="B62" s="204">
        <v>42796</v>
      </c>
      <c r="C62" s="1">
        <v>103</v>
      </c>
      <c r="D62" s="1">
        <v>3000038799</v>
      </c>
      <c r="E62" s="1" t="s">
        <v>530</v>
      </c>
      <c r="F62" s="1">
        <v>1361</v>
      </c>
      <c r="G62" s="213">
        <v>42789</v>
      </c>
      <c r="H62" s="1" t="s">
        <v>720</v>
      </c>
      <c r="I62" s="204">
        <v>42793</v>
      </c>
      <c r="J62" s="1" t="s">
        <v>61</v>
      </c>
      <c r="K62" s="1">
        <v>20.100000000000001</v>
      </c>
      <c r="L62" s="1">
        <v>20.04</v>
      </c>
      <c r="M62" s="5">
        <f t="shared" si="4"/>
        <v>20.04</v>
      </c>
      <c r="N62" s="66">
        <f>+I62+20-1</f>
        <v>42812</v>
      </c>
      <c r="O62" s="1">
        <v>2673300</v>
      </c>
      <c r="P62" s="38">
        <f t="shared" si="5"/>
        <v>2665320</v>
      </c>
      <c r="Q62" s="225"/>
    </row>
    <row r="63" spans="1:17" s="1" customFormat="1" x14ac:dyDescent="0.25">
      <c r="A63" s="84"/>
      <c r="B63" s="204">
        <v>42796</v>
      </c>
      <c r="C63" s="1">
        <v>103</v>
      </c>
      <c r="D63" s="1">
        <v>3000039168</v>
      </c>
      <c r="E63" s="1" t="s">
        <v>348</v>
      </c>
      <c r="F63" s="1">
        <v>239</v>
      </c>
      <c r="G63" s="213">
        <v>42791</v>
      </c>
      <c r="H63" s="1" t="s">
        <v>484</v>
      </c>
      <c r="I63" s="204">
        <v>42793</v>
      </c>
      <c r="J63" s="1" t="s">
        <v>16</v>
      </c>
      <c r="K63" s="1">
        <v>20.3</v>
      </c>
      <c r="L63" s="1">
        <v>20.260000000000002</v>
      </c>
      <c r="M63" s="5">
        <f t="shared" si="4"/>
        <v>20.260000000000002</v>
      </c>
      <c r="N63" s="66">
        <f>+I63+20-1</f>
        <v>42812</v>
      </c>
      <c r="O63" s="1">
        <v>1153294</v>
      </c>
      <c r="P63" s="38">
        <f t="shared" si="5"/>
        <v>1151021.4995073893</v>
      </c>
      <c r="Q63" s="225"/>
    </row>
    <row r="64" spans="1:17" s="1" customFormat="1" x14ac:dyDescent="0.25">
      <c r="A64" s="84"/>
      <c r="B64" s="204">
        <v>42802</v>
      </c>
      <c r="C64" s="1">
        <v>114</v>
      </c>
      <c r="D64" s="1">
        <v>3000039171</v>
      </c>
      <c r="E64" s="1" t="s">
        <v>621</v>
      </c>
      <c r="F64" s="1">
        <v>987</v>
      </c>
      <c r="G64" s="213">
        <v>42794</v>
      </c>
      <c r="H64" s="1" t="s">
        <v>749</v>
      </c>
      <c r="I64" s="204">
        <v>42798</v>
      </c>
      <c r="J64" s="1" t="s">
        <v>8</v>
      </c>
      <c r="K64" s="1">
        <v>28.645</v>
      </c>
      <c r="L64" s="1">
        <v>28.49</v>
      </c>
      <c r="M64" s="5">
        <f t="shared" si="4"/>
        <v>28.49</v>
      </c>
      <c r="N64" s="211">
        <f t="shared" ref="N64:N71" si="6">+I64+15-1</f>
        <v>42812</v>
      </c>
      <c r="O64" s="1">
        <v>1667139</v>
      </c>
      <c r="P64" s="38">
        <f t="shared" si="5"/>
        <v>1658118</v>
      </c>
      <c r="Q64" s="225"/>
    </row>
    <row r="65" spans="1:17" s="1" customFormat="1" x14ac:dyDescent="0.25">
      <c r="A65" s="84"/>
      <c r="B65" s="204">
        <v>42802</v>
      </c>
      <c r="C65" s="1">
        <v>114</v>
      </c>
      <c r="D65" s="1">
        <v>3000039056</v>
      </c>
      <c r="E65" s="1" t="s">
        <v>348</v>
      </c>
      <c r="F65" s="16">
        <v>334</v>
      </c>
      <c r="G65" s="213">
        <v>42792</v>
      </c>
      <c r="H65" s="1" t="s">
        <v>753</v>
      </c>
      <c r="I65" s="204">
        <v>42798</v>
      </c>
      <c r="J65" s="1" t="s">
        <v>8</v>
      </c>
      <c r="K65" s="1">
        <v>5.44</v>
      </c>
      <c r="L65" s="1">
        <v>5.42</v>
      </c>
      <c r="M65" s="5">
        <f t="shared" si="4"/>
        <v>5.42</v>
      </c>
      <c r="N65" s="211">
        <f t="shared" si="6"/>
        <v>42812</v>
      </c>
      <c r="O65" s="1">
        <v>318240</v>
      </c>
      <c r="P65" s="38">
        <f t="shared" si="5"/>
        <v>317069.99999999994</v>
      </c>
      <c r="Q65" s="225"/>
    </row>
    <row r="66" spans="1:17" s="1" customFormat="1" x14ac:dyDescent="0.25">
      <c r="A66" s="84"/>
      <c r="B66" s="204">
        <v>42802</v>
      </c>
      <c r="C66" s="1">
        <v>114</v>
      </c>
      <c r="D66" s="1">
        <v>3000039170</v>
      </c>
      <c r="E66" s="1" t="s">
        <v>348</v>
      </c>
      <c r="F66" s="16">
        <v>335</v>
      </c>
      <c r="G66" s="213">
        <v>42792</v>
      </c>
      <c r="H66" s="1" t="s">
        <v>753</v>
      </c>
      <c r="I66" s="204">
        <v>42798</v>
      </c>
      <c r="J66" s="1" t="s">
        <v>8</v>
      </c>
      <c r="K66" s="1">
        <v>23.76</v>
      </c>
      <c r="L66" s="1">
        <v>23.76</v>
      </c>
      <c r="M66" s="5">
        <f t="shared" si="4"/>
        <v>23.76</v>
      </c>
      <c r="N66" s="211">
        <f t="shared" si="6"/>
        <v>42812</v>
      </c>
      <c r="O66" s="1">
        <v>1382832</v>
      </c>
      <c r="P66" s="38">
        <f t="shared" si="5"/>
        <v>1382832</v>
      </c>
      <c r="Q66" s="225"/>
    </row>
    <row r="67" spans="1:17" s="1" customFormat="1" x14ac:dyDescent="0.25">
      <c r="A67" s="84"/>
      <c r="B67" s="204">
        <v>42802</v>
      </c>
      <c r="C67" s="1">
        <v>114</v>
      </c>
      <c r="D67" s="1">
        <v>3000039170</v>
      </c>
      <c r="E67" s="1" t="s">
        <v>348</v>
      </c>
      <c r="F67" s="16">
        <v>340</v>
      </c>
      <c r="G67" s="213">
        <v>42794</v>
      </c>
      <c r="H67" s="1" t="s">
        <v>754</v>
      </c>
      <c r="I67" s="204">
        <v>42798</v>
      </c>
      <c r="J67" s="1" t="s">
        <v>8</v>
      </c>
      <c r="K67" s="1">
        <v>26.24</v>
      </c>
      <c r="L67" s="1">
        <v>26.24</v>
      </c>
      <c r="M67" s="5">
        <f t="shared" si="4"/>
        <v>26.24</v>
      </c>
      <c r="N67" s="211">
        <f t="shared" si="6"/>
        <v>42812</v>
      </c>
      <c r="O67" s="1">
        <v>1527168</v>
      </c>
      <c r="P67" s="38">
        <f t="shared" si="5"/>
        <v>1527168</v>
      </c>
      <c r="Q67" s="225"/>
    </row>
    <row r="68" spans="1:17" s="1" customFormat="1" x14ac:dyDescent="0.25">
      <c r="A68" s="84"/>
      <c r="B68" s="204">
        <v>42802</v>
      </c>
      <c r="C68" s="1">
        <v>114</v>
      </c>
      <c r="D68" s="1">
        <v>3000039201</v>
      </c>
      <c r="E68" s="1" t="s">
        <v>348</v>
      </c>
      <c r="F68" s="16">
        <v>341</v>
      </c>
      <c r="G68" s="213">
        <v>42794</v>
      </c>
      <c r="H68" s="1" t="s">
        <v>754</v>
      </c>
      <c r="I68" s="204">
        <v>42798</v>
      </c>
      <c r="J68" s="1" t="s">
        <v>8</v>
      </c>
      <c r="K68" s="1">
        <v>1.3</v>
      </c>
      <c r="L68" s="1">
        <v>1.31</v>
      </c>
      <c r="M68" s="5">
        <f t="shared" si="4"/>
        <v>1.3</v>
      </c>
      <c r="N68" s="211">
        <f t="shared" si="6"/>
        <v>42812</v>
      </c>
      <c r="O68" s="1">
        <v>75140</v>
      </c>
      <c r="P68" s="38">
        <f t="shared" si="5"/>
        <v>75140</v>
      </c>
      <c r="Q68" s="225"/>
    </row>
    <row r="69" spans="1:17" s="1" customFormat="1" x14ac:dyDescent="0.25">
      <c r="A69" s="84"/>
      <c r="B69" s="204">
        <v>42802</v>
      </c>
      <c r="C69" s="1">
        <v>114</v>
      </c>
      <c r="D69" s="1">
        <v>3000038931</v>
      </c>
      <c r="E69" s="1" t="s">
        <v>30</v>
      </c>
      <c r="F69" s="1">
        <v>763</v>
      </c>
      <c r="G69" s="213">
        <v>42793</v>
      </c>
      <c r="H69" s="1" t="s">
        <v>755</v>
      </c>
      <c r="I69" s="204">
        <v>42798</v>
      </c>
      <c r="J69" s="1" t="s">
        <v>229</v>
      </c>
      <c r="K69" s="1">
        <v>29.07</v>
      </c>
      <c r="L69" s="1">
        <v>29</v>
      </c>
      <c r="M69" s="5">
        <f t="shared" si="4"/>
        <v>29</v>
      </c>
      <c r="N69" s="211">
        <f t="shared" si="6"/>
        <v>42812</v>
      </c>
      <c r="O69" s="1">
        <v>1482570</v>
      </c>
      <c r="P69" s="38">
        <f t="shared" si="5"/>
        <v>1479000</v>
      </c>
      <c r="Q69" s="225"/>
    </row>
    <row r="70" spans="1:17" s="1" customFormat="1" x14ac:dyDescent="0.25">
      <c r="A70" s="84"/>
      <c r="B70" s="204">
        <v>42814</v>
      </c>
      <c r="C70" s="1">
        <v>114</v>
      </c>
      <c r="D70" s="1">
        <v>3000038820</v>
      </c>
      <c r="E70" s="1" t="s">
        <v>348</v>
      </c>
      <c r="F70" s="16" t="s">
        <v>877</v>
      </c>
      <c r="G70" s="213">
        <v>42803</v>
      </c>
      <c r="H70" s="1" t="s">
        <v>878</v>
      </c>
      <c r="I70" s="204">
        <v>42798</v>
      </c>
      <c r="J70" s="1" t="s">
        <v>8</v>
      </c>
      <c r="M70" s="5">
        <f t="shared" si="4"/>
        <v>0</v>
      </c>
      <c r="N70" s="211">
        <f t="shared" si="6"/>
        <v>42812</v>
      </c>
      <c r="O70" s="1">
        <v>3636</v>
      </c>
      <c r="P70" s="38"/>
      <c r="Q70" s="225"/>
    </row>
    <row r="71" spans="1:17" s="1" customFormat="1" x14ac:dyDescent="0.25">
      <c r="A71" s="84"/>
      <c r="B71" s="204">
        <v>42814</v>
      </c>
      <c r="C71" s="1">
        <v>114</v>
      </c>
      <c r="D71" s="1">
        <v>3000038820</v>
      </c>
      <c r="E71" s="1" t="s">
        <v>348</v>
      </c>
      <c r="F71" s="16">
        <v>330</v>
      </c>
      <c r="G71" s="213">
        <v>42791</v>
      </c>
      <c r="H71" s="1" t="s">
        <v>878</v>
      </c>
      <c r="I71" s="204">
        <v>42798</v>
      </c>
      <c r="J71" s="1" t="s">
        <v>8</v>
      </c>
      <c r="K71" s="1">
        <v>20.2</v>
      </c>
      <c r="L71" s="1">
        <v>20.21</v>
      </c>
      <c r="M71" s="5">
        <f t="shared" si="4"/>
        <v>20.2</v>
      </c>
      <c r="N71" s="211">
        <f t="shared" si="6"/>
        <v>42812</v>
      </c>
      <c r="O71" s="1">
        <v>1181700</v>
      </c>
      <c r="P71" s="38">
        <f>(+O71/K71*M71)-3636</f>
        <v>1178064</v>
      </c>
      <c r="Q71" s="225"/>
    </row>
    <row r="72" spans="1:17" s="1" customFormat="1" x14ac:dyDescent="0.25">
      <c r="A72" s="84"/>
      <c r="B72" s="204">
        <v>42796</v>
      </c>
      <c r="C72" s="1">
        <v>103</v>
      </c>
      <c r="D72" s="1">
        <v>3000038765</v>
      </c>
      <c r="E72" s="1" t="s">
        <v>158</v>
      </c>
      <c r="F72" s="1">
        <v>206</v>
      </c>
      <c r="G72" s="213">
        <v>42791</v>
      </c>
      <c r="H72" s="1" t="s">
        <v>718</v>
      </c>
      <c r="I72" s="204">
        <v>42794</v>
      </c>
      <c r="J72" s="1" t="s">
        <v>61</v>
      </c>
      <c r="K72" s="1">
        <v>20.25</v>
      </c>
      <c r="L72" s="1">
        <v>20.2</v>
      </c>
      <c r="M72" s="5">
        <f t="shared" si="4"/>
        <v>20.2</v>
      </c>
      <c r="N72" s="66">
        <f>+I72+20-1</f>
        <v>42813</v>
      </c>
      <c r="O72" s="1">
        <v>2693250</v>
      </c>
      <c r="P72" s="38">
        <f>(+O72/K72*M72)</f>
        <v>2686600</v>
      </c>
      <c r="Q72" s="225"/>
    </row>
    <row r="73" spans="1:17" s="1" customFormat="1" x14ac:dyDescent="0.25">
      <c r="A73" s="84"/>
      <c r="B73" s="204">
        <v>42796</v>
      </c>
      <c r="C73" s="1">
        <v>103</v>
      </c>
      <c r="D73" s="1">
        <v>3000038713</v>
      </c>
      <c r="E73" s="1" t="s">
        <v>199</v>
      </c>
      <c r="F73" s="1">
        <v>5963</v>
      </c>
      <c r="G73" s="213">
        <v>42792</v>
      </c>
      <c r="H73" s="1" t="s">
        <v>719</v>
      </c>
      <c r="I73" s="204">
        <v>42794</v>
      </c>
      <c r="J73" s="1" t="s">
        <v>61</v>
      </c>
      <c r="K73" s="1">
        <v>20.36</v>
      </c>
      <c r="L73" s="1">
        <v>20.309999999999999</v>
      </c>
      <c r="M73" s="5">
        <f t="shared" si="4"/>
        <v>20.309999999999999</v>
      </c>
      <c r="N73" s="66">
        <f>+I73+20-1</f>
        <v>42813</v>
      </c>
      <c r="O73" s="1">
        <v>2805608</v>
      </c>
      <c r="P73" s="38">
        <f>(+O73/K73*M73)</f>
        <v>2798718</v>
      </c>
      <c r="Q73" s="225"/>
    </row>
    <row r="74" spans="1:17" s="1" customFormat="1" x14ac:dyDescent="0.25">
      <c r="A74" s="84"/>
      <c r="B74" s="204">
        <v>42802</v>
      </c>
      <c r="C74" s="1">
        <v>114</v>
      </c>
      <c r="D74" s="1">
        <v>3000038505</v>
      </c>
      <c r="E74" s="1" t="s">
        <v>18</v>
      </c>
      <c r="F74" s="16">
        <v>210</v>
      </c>
      <c r="G74" s="213">
        <v>42791</v>
      </c>
      <c r="H74" s="1" t="s">
        <v>751</v>
      </c>
      <c r="I74" s="204">
        <v>42799</v>
      </c>
      <c r="J74" s="1" t="s">
        <v>8</v>
      </c>
      <c r="K74" s="1">
        <v>14.71</v>
      </c>
      <c r="L74" s="1">
        <v>14.55</v>
      </c>
      <c r="M74" s="5">
        <f t="shared" ref="M74:M105" si="7">IF(L74&gt;K74,K74,L74)</f>
        <v>14.55</v>
      </c>
      <c r="N74" s="211">
        <f>+I74+15-1</f>
        <v>42813</v>
      </c>
      <c r="O74" s="1">
        <v>875245</v>
      </c>
      <c r="P74" s="38">
        <f>(+O74/K74*M74)</f>
        <v>865725</v>
      </c>
      <c r="Q74" s="225"/>
    </row>
    <row r="75" spans="1:17" s="1" customFormat="1" x14ac:dyDescent="0.25">
      <c r="A75" s="84"/>
      <c r="B75" s="204">
        <v>42802</v>
      </c>
      <c r="C75" s="1">
        <v>114</v>
      </c>
      <c r="D75" s="1">
        <v>3000038505</v>
      </c>
      <c r="E75" s="1" t="s">
        <v>18</v>
      </c>
      <c r="F75" s="16">
        <v>210</v>
      </c>
      <c r="G75" s="213">
        <v>42791</v>
      </c>
      <c r="H75" s="1" t="s">
        <v>751</v>
      </c>
      <c r="I75" s="204">
        <v>42799</v>
      </c>
      <c r="J75" s="1" t="s">
        <v>8</v>
      </c>
      <c r="K75" s="1">
        <v>12.73</v>
      </c>
      <c r="L75" s="1">
        <v>12.73</v>
      </c>
      <c r="M75" s="5">
        <f t="shared" si="7"/>
        <v>12.73</v>
      </c>
      <c r="N75" s="211">
        <f>+I75+15-1</f>
        <v>42813</v>
      </c>
      <c r="O75" s="1">
        <v>757435</v>
      </c>
      <c r="P75" s="38">
        <f>(+O75/K75*M75)</f>
        <v>757435</v>
      </c>
      <c r="Q75" s="225"/>
    </row>
    <row r="76" spans="1:17" s="1" customFormat="1" x14ac:dyDescent="0.25">
      <c r="A76" s="84"/>
      <c r="B76" s="204">
        <v>42802</v>
      </c>
      <c r="C76" s="1">
        <v>114</v>
      </c>
      <c r="D76" s="1">
        <v>3000039059</v>
      </c>
      <c r="E76" s="1" t="s">
        <v>18</v>
      </c>
      <c r="F76" s="16">
        <v>210</v>
      </c>
      <c r="G76" s="213">
        <v>42791</v>
      </c>
      <c r="H76" s="1" t="s">
        <v>751</v>
      </c>
      <c r="I76" s="204">
        <v>42799</v>
      </c>
      <c r="J76" s="1" t="s">
        <v>8</v>
      </c>
      <c r="K76" s="1">
        <v>0.16</v>
      </c>
      <c r="L76" s="1">
        <v>0.16</v>
      </c>
      <c r="M76" s="5">
        <f t="shared" si="7"/>
        <v>0.16</v>
      </c>
      <c r="N76" s="211">
        <f>+I76+15-1</f>
        <v>42813</v>
      </c>
      <c r="O76" s="1">
        <v>9360</v>
      </c>
      <c r="P76" s="38">
        <f>(+O76/K76*M76)</f>
        <v>9360</v>
      </c>
      <c r="Q76" s="225"/>
    </row>
    <row r="77" spans="1:17" s="1" customFormat="1" x14ac:dyDescent="0.25">
      <c r="A77" s="84"/>
      <c r="B77" s="204">
        <v>42814</v>
      </c>
      <c r="C77" s="1">
        <v>114</v>
      </c>
      <c r="D77" s="1">
        <v>3000038820</v>
      </c>
      <c r="E77" s="1" t="s">
        <v>348</v>
      </c>
      <c r="F77" s="16">
        <v>329</v>
      </c>
      <c r="G77" s="213">
        <v>42791</v>
      </c>
      <c r="H77" s="1" t="s">
        <v>876</v>
      </c>
      <c r="I77" s="204">
        <v>42799</v>
      </c>
      <c r="J77" s="1" t="s">
        <v>8</v>
      </c>
      <c r="K77" s="1">
        <v>17.190000000000001</v>
      </c>
      <c r="L77" s="1">
        <v>17.190000000000001</v>
      </c>
      <c r="M77" s="5">
        <f t="shared" si="7"/>
        <v>17.190000000000001</v>
      </c>
      <c r="N77" s="211">
        <f>+I77+15-1</f>
        <v>42813</v>
      </c>
      <c r="O77" s="1">
        <v>1005615</v>
      </c>
      <c r="P77" s="38">
        <f>(+O77/K77*M77)-9895</f>
        <v>995720</v>
      </c>
      <c r="Q77" s="225"/>
    </row>
    <row r="78" spans="1:17" s="1" customFormat="1" x14ac:dyDescent="0.25">
      <c r="A78" s="84"/>
      <c r="B78" s="204">
        <v>42814</v>
      </c>
      <c r="C78" s="1">
        <v>114</v>
      </c>
      <c r="D78" s="1">
        <v>3000038235</v>
      </c>
      <c r="E78" s="1" t="s">
        <v>348</v>
      </c>
      <c r="F78" s="16">
        <v>328</v>
      </c>
      <c r="G78" s="213">
        <v>42819</v>
      </c>
      <c r="H78" s="1" t="s">
        <v>876</v>
      </c>
      <c r="I78" s="204">
        <v>42799</v>
      </c>
      <c r="J78" s="1" t="s">
        <v>8</v>
      </c>
      <c r="K78" s="1">
        <v>4.8</v>
      </c>
      <c r="L78" s="1">
        <v>4.8</v>
      </c>
      <c r="M78" s="5">
        <f t="shared" si="7"/>
        <v>4.8</v>
      </c>
      <c r="N78" s="211">
        <f>+I78+15-1</f>
        <v>42813</v>
      </c>
      <c r="O78" s="1">
        <v>276000</v>
      </c>
      <c r="P78" s="38">
        <f t="shared" ref="P78:P108" si="8">(+O78/K78*M78)</f>
        <v>276000</v>
      </c>
      <c r="Q78" s="225"/>
    </row>
    <row r="79" spans="1:17" s="1" customFormat="1" x14ac:dyDescent="0.25">
      <c r="A79" s="84"/>
      <c r="B79" s="204">
        <v>42796</v>
      </c>
      <c r="C79" s="1">
        <v>103</v>
      </c>
      <c r="D79" s="1">
        <v>3000039040</v>
      </c>
      <c r="E79" s="5" t="s">
        <v>433</v>
      </c>
      <c r="F79" s="1">
        <v>406</v>
      </c>
      <c r="G79" s="213">
        <v>42792</v>
      </c>
      <c r="H79" s="1" t="s">
        <v>717</v>
      </c>
      <c r="I79" s="204">
        <v>42795</v>
      </c>
      <c r="J79" s="1" t="s">
        <v>61</v>
      </c>
      <c r="K79" s="1">
        <v>19.98</v>
      </c>
      <c r="L79" s="1">
        <v>19.96</v>
      </c>
      <c r="M79" s="5">
        <f t="shared" si="7"/>
        <v>19.96</v>
      </c>
      <c r="N79" s="66">
        <f>+I79+20-1</f>
        <v>42814</v>
      </c>
      <c r="O79" s="1">
        <v>2597400</v>
      </c>
      <c r="P79" s="38">
        <f t="shared" si="8"/>
        <v>2594800</v>
      </c>
      <c r="Q79" s="225"/>
    </row>
    <row r="80" spans="1:17" s="1" customFormat="1" x14ac:dyDescent="0.25">
      <c r="A80" s="84"/>
      <c r="B80" s="204">
        <v>42800</v>
      </c>
      <c r="C80" s="1">
        <v>116</v>
      </c>
      <c r="D80" s="1">
        <v>3000039119</v>
      </c>
      <c r="E80" s="63" t="s">
        <v>231</v>
      </c>
      <c r="F80" s="1">
        <v>628</v>
      </c>
      <c r="G80" s="213">
        <v>42783</v>
      </c>
      <c r="H80" s="1" t="s">
        <v>738</v>
      </c>
      <c r="I80" s="204">
        <v>42800</v>
      </c>
      <c r="J80" s="1" t="s">
        <v>294</v>
      </c>
      <c r="K80" s="1">
        <v>24.97</v>
      </c>
      <c r="L80" s="1">
        <v>24.97</v>
      </c>
      <c r="M80" s="5">
        <f t="shared" si="7"/>
        <v>24.97</v>
      </c>
      <c r="N80" s="211">
        <f t="shared" ref="N80:N90" si="9">+I80+15-1</f>
        <v>42814</v>
      </c>
      <c r="O80" s="1">
        <v>2024817</v>
      </c>
      <c r="P80" s="36">
        <f t="shared" si="8"/>
        <v>2024817</v>
      </c>
      <c r="Q80" s="225"/>
    </row>
    <row r="81" spans="1:17" s="1" customFormat="1" x14ac:dyDescent="0.25">
      <c r="A81" s="84"/>
      <c r="B81" s="204">
        <v>42802</v>
      </c>
      <c r="C81" s="1">
        <v>114</v>
      </c>
      <c r="D81" s="1">
        <v>3000039057</v>
      </c>
      <c r="E81" s="1" t="s">
        <v>621</v>
      </c>
      <c r="F81" s="1">
        <v>986</v>
      </c>
      <c r="G81" s="213">
        <v>42793</v>
      </c>
      <c r="H81" s="1" t="s">
        <v>748</v>
      </c>
      <c r="I81" s="204">
        <v>42800</v>
      </c>
      <c r="J81" s="1" t="s">
        <v>8</v>
      </c>
      <c r="K81" s="1">
        <v>20.34</v>
      </c>
      <c r="L81" s="1">
        <v>20.22</v>
      </c>
      <c r="M81" s="5">
        <f t="shared" si="7"/>
        <v>20.22</v>
      </c>
      <c r="N81" s="211">
        <f t="shared" si="9"/>
        <v>42814</v>
      </c>
      <c r="O81" s="1">
        <v>1189890</v>
      </c>
      <c r="P81" s="38">
        <f t="shared" si="8"/>
        <v>1182870</v>
      </c>
      <c r="Q81" s="225"/>
    </row>
    <row r="82" spans="1:17" s="1" customFormat="1" x14ac:dyDescent="0.25">
      <c r="A82" s="84"/>
      <c r="B82" s="204">
        <v>42802</v>
      </c>
      <c r="C82" s="1">
        <v>114</v>
      </c>
      <c r="D82" s="1">
        <v>3000038500</v>
      </c>
      <c r="E82" s="1" t="s">
        <v>138</v>
      </c>
      <c r="F82" s="16">
        <v>9148</v>
      </c>
      <c r="G82" s="213">
        <v>42790</v>
      </c>
      <c r="H82" s="1" t="s">
        <v>750</v>
      </c>
      <c r="I82" s="204">
        <v>42800</v>
      </c>
      <c r="J82" s="1" t="s">
        <v>8</v>
      </c>
      <c r="K82" s="1">
        <v>22.4</v>
      </c>
      <c r="L82" s="1">
        <v>22.15</v>
      </c>
      <c r="M82" s="5">
        <f t="shared" si="7"/>
        <v>22.15</v>
      </c>
      <c r="N82" s="211">
        <f t="shared" si="9"/>
        <v>42814</v>
      </c>
      <c r="O82" s="1">
        <v>1332800</v>
      </c>
      <c r="P82" s="38">
        <f t="shared" si="8"/>
        <v>1317925</v>
      </c>
      <c r="Q82" s="225"/>
    </row>
    <row r="83" spans="1:17" s="1" customFormat="1" x14ac:dyDescent="0.25">
      <c r="A83" s="84"/>
      <c r="B83" s="204">
        <v>42802</v>
      </c>
      <c r="C83" s="1">
        <v>114</v>
      </c>
      <c r="D83" s="1">
        <v>3000039060</v>
      </c>
      <c r="E83" s="1" t="s">
        <v>138</v>
      </c>
      <c r="F83" s="16">
        <v>9149</v>
      </c>
      <c r="G83" s="213">
        <v>42790</v>
      </c>
      <c r="H83" s="1" t="s">
        <v>750</v>
      </c>
      <c r="I83" s="204">
        <v>42800</v>
      </c>
      <c r="J83" s="1" t="s">
        <v>8</v>
      </c>
      <c r="K83" s="1">
        <v>5.59</v>
      </c>
      <c r="L83" s="1">
        <v>5.59</v>
      </c>
      <c r="M83" s="5">
        <f t="shared" si="7"/>
        <v>5.59</v>
      </c>
      <c r="N83" s="211">
        <f t="shared" si="9"/>
        <v>42814</v>
      </c>
      <c r="O83" s="1">
        <v>327015</v>
      </c>
      <c r="P83" s="38">
        <f t="shared" si="8"/>
        <v>327015</v>
      </c>
      <c r="Q83" s="225"/>
    </row>
    <row r="84" spans="1:17" s="1" customFormat="1" x14ac:dyDescent="0.25">
      <c r="A84" s="84"/>
      <c r="B84" s="204">
        <v>42802</v>
      </c>
      <c r="C84" s="1">
        <v>114</v>
      </c>
      <c r="D84" s="1">
        <v>3000034731</v>
      </c>
      <c r="E84" s="1" t="s">
        <v>599</v>
      </c>
      <c r="F84" s="1">
        <v>3371</v>
      </c>
      <c r="G84" s="213">
        <v>42793</v>
      </c>
      <c r="H84" s="1" t="s">
        <v>752</v>
      </c>
      <c r="I84" s="204">
        <v>42800</v>
      </c>
      <c r="J84" s="1" t="s">
        <v>16</v>
      </c>
      <c r="K84" s="1">
        <v>29.86</v>
      </c>
      <c r="L84" s="1">
        <v>29.63</v>
      </c>
      <c r="M84" s="5">
        <f t="shared" si="7"/>
        <v>29.63</v>
      </c>
      <c r="N84" s="211">
        <f t="shared" si="9"/>
        <v>42814</v>
      </c>
      <c r="O84" s="1">
        <v>1702020</v>
      </c>
      <c r="P84" s="38">
        <f t="shared" si="8"/>
        <v>1688910</v>
      </c>
      <c r="Q84" s="225"/>
    </row>
    <row r="85" spans="1:17" s="1" customFormat="1" x14ac:dyDescent="0.25">
      <c r="A85" s="84"/>
      <c r="B85" s="204">
        <v>42808</v>
      </c>
      <c r="C85" s="1">
        <v>114</v>
      </c>
      <c r="D85" s="1">
        <v>3000034731</v>
      </c>
      <c r="E85" s="1" t="s">
        <v>599</v>
      </c>
      <c r="F85" s="16">
        <v>3372</v>
      </c>
      <c r="G85" s="213">
        <v>42793</v>
      </c>
      <c r="H85" s="1" t="s">
        <v>815</v>
      </c>
      <c r="I85" s="204">
        <v>42800</v>
      </c>
      <c r="J85" s="1" t="s">
        <v>16</v>
      </c>
      <c r="K85" s="1">
        <v>16.5</v>
      </c>
      <c r="L85" s="1">
        <v>16.395</v>
      </c>
      <c r="M85" s="5">
        <f t="shared" si="7"/>
        <v>16.395</v>
      </c>
      <c r="N85" s="211">
        <f t="shared" si="9"/>
        <v>42814</v>
      </c>
      <c r="O85" s="1">
        <v>940500</v>
      </c>
      <c r="P85" s="38">
        <f t="shared" si="8"/>
        <v>934515</v>
      </c>
      <c r="Q85" s="225"/>
    </row>
    <row r="86" spans="1:17" s="1" customFormat="1" x14ac:dyDescent="0.25">
      <c r="A86" s="84"/>
      <c r="B86" s="204">
        <v>42808</v>
      </c>
      <c r="C86" s="1">
        <v>114</v>
      </c>
      <c r="D86" s="1">
        <v>3000035056</v>
      </c>
      <c r="E86" s="1" t="s">
        <v>599</v>
      </c>
      <c r="F86" s="16">
        <v>3372</v>
      </c>
      <c r="G86" s="213">
        <v>42793</v>
      </c>
      <c r="H86" s="1" t="s">
        <v>815</v>
      </c>
      <c r="I86" s="204">
        <v>42800</v>
      </c>
      <c r="J86" s="1" t="s">
        <v>16</v>
      </c>
      <c r="K86" s="1">
        <v>11.755000000000001</v>
      </c>
      <c r="L86" s="1">
        <v>11.755000000000001</v>
      </c>
      <c r="M86" s="5">
        <f t="shared" si="7"/>
        <v>11.755000000000001</v>
      </c>
      <c r="N86" s="211">
        <f t="shared" si="9"/>
        <v>42814</v>
      </c>
      <c r="O86" s="1">
        <v>652403</v>
      </c>
      <c r="P86" s="38">
        <f t="shared" si="8"/>
        <v>652403</v>
      </c>
      <c r="Q86" s="225"/>
    </row>
    <row r="87" spans="1:17" s="1" customFormat="1" x14ac:dyDescent="0.25">
      <c r="A87" s="84"/>
      <c r="B87" s="204">
        <v>42808</v>
      </c>
      <c r="C87" s="1">
        <v>114</v>
      </c>
      <c r="D87" s="1">
        <v>3000039057</v>
      </c>
      <c r="E87" s="1" t="s">
        <v>621</v>
      </c>
      <c r="F87" s="16">
        <v>989</v>
      </c>
      <c r="G87" s="213">
        <v>42794</v>
      </c>
      <c r="H87" s="1" t="s">
        <v>810</v>
      </c>
      <c r="I87" s="204">
        <v>42801</v>
      </c>
      <c r="J87" s="1" t="s">
        <v>8</v>
      </c>
      <c r="K87" s="1">
        <v>1.4</v>
      </c>
      <c r="L87" s="1">
        <v>1.35</v>
      </c>
      <c r="M87" s="5">
        <f t="shared" si="7"/>
        <v>1.35</v>
      </c>
      <c r="N87" s="211">
        <f t="shared" si="9"/>
        <v>42815</v>
      </c>
      <c r="O87" s="1">
        <v>81900</v>
      </c>
      <c r="P87" s="38">
        <f t="shared" si="8"/>
        <v>78975.000000000015</v>
      </c>
      <c r="Q87" s="225"/>
    </row>
    <row r="88" spans="1:17" s="1" customFormat="1" x14ac:dyDescent="0.25">
      <c r="A88" s="84"/>
      <c r="B88" s="204">
        <v>42808</v>
      </c>
      <c r="C88" s="1">
        <v>114</v>
      </c>
      <c r="D88" s="1">
        <v>3000039202</v>
      </c>
      <c r="E88" s="1" t="s">
        <v>621</v>
      </c>
      <c r="F88" s="16">
        <v>989</v>
      </c>
      <c r="G88" s="213">
        <v>42794</v>
      </c>
      <c r="H88" s="1" t="s">
        <v>810</v>
      </c>
      <c r="I88" s="204">
        <v>42801</v>
      </c>
      <c r="J88" s="1" t="s">
        <v>8</v>
      </c>
      <c r="K88" s="1">
        <v>27.2</v>
      </c>
      <c r="L88" s="1">
        <v>27.2</v>
      </c>
      <c r="M88" s="5">
        <f t="shared" si="7"/>
        <v>27.2</v>
      </c>
      <c r="N88" s="211">
        <f t="shared" si="9"/>
        <v>42815</v>
      </c>
      <c r="O88" s="1">
        <v>1572160</v>
      </c>
      <c r="P88" s="38">
        <f t="shared" si="8"/>
        <v>1572160</v>
      </c>
      <c r="Q88" s="225"/>
    </row>
    <row r="89" spans="1:17" s="1" customFormat="1" x14ac:dyDescent="0.25">
      <c r="A89" s="84"/>
      <c r="B89" s="204">
        <v>42808</v>
      </c>
      <c r="C89" s="1">
        <v>114</v>
      </c>
      <c r="D89" s="1">
        <v>3000038234</v>
      </c>
      <c r="E89" s="1" t="s">
        <v>49</v>
      </c>
      <c r="F89" s="16">
        <v>51</v>
      </c>
      <c r="G89" s="213">
        <v>42796</v>
      </c>
      <c r="H89" s="1" t="s">
        <v>682</v>
      </c>
      <c r="I89" s="204">
        <v>42801</v>
      </c>
      <c r="J89" s="1" t="s">
        <v>8</v>
      </c>
      <c r="K89" s="1">
        <v>3</v>
      </c>
      <c r="L89" s="1">
        <v>3</v>
      </c>
      <c r="M89" s="5">
        <f t="shared" si="7"/>
        <v>3</v>
      </c>
      <c r="N89" s="211">
        <f t="shared" si="9"/>
        <v>42815</v>
      </c>
      <c r="O89" s="1">
        <v>168000</v>
      </c>
      <c r="P89" s="38">
        <f t="shared" si="8"/>
        <v>168000</v>
      </c>
      <c r="Q89" s="225"/>
    </row>
    <row r="90" spans="1:17" s="1" customFormat="1" x14ac:dyDescent="0.25">
      <c r="A90" s="84"/>
      <c r="B90" s="204">
        <v>42808</v>
      </c>
      <c r="C90" s="1">
        <v>114</v>
      </c>
      <c r="D90" s="1">
        <v>3000038600</v>
      </c>
      <c r="E90" s="1" t="s">
        <v>49</v>
      </c>
      <c r="F90" s="16">
        <v>52</v>
      </c>
      <c r="G90" s="213">
        <v>42796</v>
      </c>
      <c r="H90" s="1" t="s">
        <v>682</v>
      </c>
      <c r="I90" s="204">
        <v>42801</v>
      </c>
      <c r="J90" s="1" t="s">
        <v>8</v>
      </c>
      <c r="K90" s="1">
        <v>28.04</v>
      </c>
      <c r="L90" s="1">
        <v>27.97</v>
      </c>
      <c r="M90" s="5">
        <f t="shared" si="7"/>
        <v>27.97</v>
      </c>
      <c r="N90" s="211">
        <f t="shared" si="9"/>
        <v>42815</v>
      </c>
      <c r="O90" s="1">
        <v>1637536</v>
      </c>
      <c r="P90" s="38">
        <f t="shared" si="8"/>
        <v>1633448</v>
      </c>
      <c r="Q90" s="225"/>
    </row>
    <row r="91" spans="1:17" s="1" customFormat="1" x14ac:dyDescent="0.25">
      <c r="A91" s="84"/>
      <c r="B91" s="204">
        <v>42802</v>
      </c>
      <c r="C91" s="1">
        <v>103</v>
      </c>
      <c r="D91" s="1">
        <v>3000038299</v>
      </c>
      <c r="E91" s="1" t="s">
        <v>621</v>
      </c>
      <c r="F91" s="1">
        <v>149</v>
      </c>
      <c r="G91" s="213">
        <v>42790</v>
      </c>
      <c r="H91" s="1" t="s">
        <v>758</v>
      </c>
      <c r="I91" s="204">
        <v>42797</v>
      </c>
      <c r="J91" s="1" t="s">
        <v>16</v>
      </c>
      <c r="K91" s="1">
        <v>25.484999999999999</v>
      </c>
      <c r="L91" s="1">
        <v>25.48</v>
      </c>
      <c r="M91" s="5">
        <f t="shared" si="7"/>
        <v>25.48</v>
      </c>
      <c r="N91" s="211">
        <f>+I91+20-1</f>
        <v>42816</v>
      </c>
      <c r="O91" s="1">
        <v>1405816</v>
      </c>
      <c r="P91" s="38">
        <f t="shared" si="8"/>
        <v>1405540.1875613106</v>
      </c>
      <c r="Q91" s="225"/>
    </row>
    <row r="92" spans="1:17" s="1" customFormat="1" x14ac:dyDescent="0.25">
      <c r="A92" s="84"/>
      <c r="B92" s="204">
        <v>42802</v>
      </c>
      <c r="C92" s="1">
        <v>103</v>
      </c>
      <c r="D92" s="1">
        <v>3000038352</v>
      </c>
      <c r="E92" s="1" t="s">
        <v>621</v>
      </c>
      <c r="F92" s="1">
        <v>150</v>
      </c>
      <c r="G92" s="213">
        <v>42790</v>
      </c>
      <c r="H92" s="1" t="s">
        <v>759</v>
      </c>
      <c r="I92" s="204">
        <v>42797</v>
      </c>
      <c r="J92" s="1" t="s">
        <v>16</v>
      </c>
      <c r="K92" s="1">
        <v>21.13</v>
      </c>
      <c r="L92" s="1">
        <v>21.11</v>
      </c>
      <c r="M92" s="5">
        <f t="shared" si="7"/>
        <v>21.11</v>
      </c>
      <c r="N92" s="211">
        <f>+I92+20-1</f>
        <v>42816</v>
      </c>
      <c r="O92" s="1">
        <v>1195166</v>
      </c>
      <c r="P92" s="38">
        <f t="shared" si="8"/>
        <v>1194034.7496450546</v>
      </c>
      <c r="Q92" s="225"/>
    </row>
    <row r="93" spans="1:17" s="1" customFormat="1" x14ac:dyDescent="0.25">
      <c r="A93" s="84"/>
      <c r="B93" s="204">
        <v>42802</v>
      </c>
      <c r="C93" s="1">
        <v>103</v>
      </c>
      <c r="D93" s="1">
        <v>3000038352</v>
      </c>
      <c r="E93" s="1" t="s">
        <v>621</v>
      </c>
      <c r="F93" s="1">
        <v>152</v>
      </c>
      <c r="G93" s="213">
        <v>42791</v>
      </c>
      <c r="H93" s="1" t="s">
        <v>760</v>
      </c>
      <c r="I93" s="204">
        <v>42797</v>
      </c>
      <c r="J93" s="1" t="s">
        <v>16</v>
      </c>
      <c r="K93" s="1">
        <v>20.625</v>
      </c>
      <c r="L93" s="1">
        <v>20.62</v>
      </c>
      <c r="M93" s="5">
        <f t="shared" si="7"/>
        <v>20.62</v>
      </c>
      <c r="N93" s="211">
        <f>+I93+20-1</f>
        <v>42816</v>
      </c>
      <c r="O93" s="1">
        <v>1166602</v>
      </c>
      <c r="P93" s="38">
        <f t="shared" si="8"/>
        <v>1166319.1873939394</v>
      </c>
      <c r="Q93" s="225"/>
    </row>
    <row r="94" spans="1:17" s="1" customFormat="1" x14ac:dyDescent="0.25">
      <c r="A94" s="84"/>
      <c r="B94" s="204">
        <v>42802</v>
      </c>
      <c r="C94" s="1">
        <v>103</v>
      </c>
      <c r="D94" s="1">
        <v>3000038814</v>
      </c>
      <c r="E94" s="1" t="s">
        <v>199</v>
      </c>
      <c r="F94" s="1">
        <v>5964</v>
      </c>
      <c r="G94" s="213">
        <v>42794</v>
      </c>
      <c r="H94" s="1" t="s">
        <v>375</v>
      </c>
      <c r="I94" s="204">
        <v>42797</v>
      </c>
      <c r="J94" s="1" t="s">
        <v>61</v>
      </c>
      <c r="K94" s="1">
        <v>20.355</v>
      </c>
      <c r="L94" s="1">
        <v>20.260000000000002</v>
      </c>
      <c r="M94" s="5">
        <f t="shared" si="7"/>
        <v>20.260000000000002</v>
      </c>
      <c r="N94" s="211">
        <f>+I94+20-1</f>
        <v>42816</v>
      </c>
      <c r="O94" s="1">
        <v>2740190</v>
      </c>
      <c r="P94" s="38">
        <f t="shared" si="8"/>
        <v>2727401.1004667161</v>
      </c>
      <c r="Q94" s="225"/>
    </row>
    <row r="95" spans="1:17" s="1" customFormat="1" x14ac:dyDescent="0.25">
      <c r="A95" s="84"/>
      <c r="B95" s="204">
        <v>42808</v>
      </c>
      <c r="C95" s="1">
        <v>114</v>
      </c>
      <c r="D95" s="1">
        <v>3000039171</v>
      </c>
      <c r="E95" s="1" t="s">
        <v>621</v>
      </c>
      <c r="F95" s="16">
        <v>992</v>
      </c>
      <c r="G95" s="213">
        <v>42795</v>
      </c>
      <c r="H95" s="1" t="s">
        <v>812</v>
      </c>
      <c r="I95" s="204">
        <v>42802</v>
      </c>
      <c r="J95" s="1" t="s">
        <v>8</v>
      </c>
      <c r="K95" s="1">
        <v>21.28</v>
      </c>
      <c r="L95" s="1">
        <v>21.16</v>
      </c>
      <c r="M95" s="5">
        <f t="shared" si="7"/>
        <v>21.16</v>
      </c>
      <c r="N95" s="211">
        <f t="shared" ref="N95:N101" si="10">+I95+15-1</f>
        <v>42816</v>
      </c>
      <c r="O95" s="1">
        <v>1238496</v>
      </c>
      <c r="P95" s="38">
        <f t="shared" si="8"/>
        <v>1231512</v>
      </c>
      <c r="Q95" s="225"/>
    </row>
    <row r="96" spans="1:17" s="1" customFormat="1" x14ac:dyDescent="0.25">
      <c r="A96" s="84"/>
      <c r="B96" s="204">
        <v>42808</v>
      </c>
      <c r="C96" s="1">
        <v>114</v>
      </c>
      <c r="D96" s="1">
        <v>3000039202</v>
      </c>
      <c r="E96" s="1" t="s">
        <v>621</v>
      </c>
      <c r="F96" s="16">
        <v>992</v>
      </c>
      <c r="G96" s="213">
        <v>42795</v>
      </c>
      <c r="H96" s="1" t="s">
        <v>812</v>
      </c>
      <c r="I96" s="204">
        <v>42802</v>
      </c>
      <c r="J96" s="1" t="s">
        <v>8</v>
      </c>
      <c r="K96" s="1">
        <v>8</v>
      </c>
      <c r="L96" s="1">
        <v>8</v>
      </c>
      <c r="M96" s="5">
        <f t="shared" si="7"/>
        <v>8</v>
      </c>
      <c r="N96" s="211">
        <f t="shared" si="10"/>
        <v>42816</v>
      </c>
      <c r="O96" s="1">
        <v>462400</v>
      </c>
      <c r="P96" s="38">
        <f t="shared" si="8"/>
        <v>462400</v>
      </c>
      <c r="Q96" s="225"/>
    </row>
    <row r="97" spans="1:17" s="1" customFormat="1" x14ac:dyDescent="0.25">
      <c r="A97" s="84"/>
      <c r="B97" s="204">
        <v>42808</v>
      </c>
      <c r="C97" s="1">
        <v>114</v>
      </c>
      <c r="D97" s="1">
        <v>3000039172</v>
      </c>
      <c r="E97" s="1" t="s">
        <v>599</v>
      </c>
      <c r="F97" s="1">
        <v>3374</v>
      </c>
      <c r="G97" s="213">
        <v>42796</v>
      </c>
      <c r="H97" s="1" t="s">
        <v>816</v>
      </c>
      <c r="I97" s="204">
        <v>42802</v>
      </c>
      <c r="J97" s="1" t="s">
        <v>8</v>
      </c>
      <c r="K97" s="1">
        <v>29.975000000000001</v>
      </c>
      <c r="L97" s="1">
        <v>29.88</v>
      </c>
      <c r="M97" s="5">
        <f t="shared" si="7"/>
        <v>29.88</v>
      </c>
      <c r="N97" s="211">
        <f t="shared" si="10"/>
        <v>42816</v>
      </c>
      <c r="O97" s="1">
        <v>1744545</v>
      </c>
      <c r="P97" s="38">
        <f t="shared" si="8"/>
        <v>1739016</v>
      </c>
      <c r="Q97" s="225"/>
    </row>
    <row r="98" spans="1:17" s="1" customFormat="1" x14ac:dyDescent="0.25">
      <c r="A98" s="84"/>
      <c r="B98" s="204">
        <v>42808</v>
      </c>
      <c r="C98" s="1">
        <v>114</v>
      </c>
      <c r="D98" s="1">
        <v>3000039059</v>
      </c>
      <c r="E98" s="1" t="s">
        <v>18</v>
      </c>
      <c r="F98" s="1">
        <v>213</v>
      </c>
      <c r="G98" s="213">
        <v>42795</v>
      </c>
      <c r="H98" s="1" t="s">
        <v>819</v>
      </c>
      <c r="I98" s="204">
        <v>42802</v>
      </c>
      <c r="J98" s="1" t="s">
        <v>8</v>
      </c>
      <c r="K98" s="1">
        <v>29.495000000000001</v>
      </c>
      <c r="L98" s="1">
        <v>29.43</v>
      </c>
      <c r="M98" s="5">
        <f t="shared" si="7"/>
        <v>29.43</v>
      </c>
      <c r="N98" s="211">
        <f t="shared" si="10"/>
        <v>42816</v>
      </c>
      <c r="O98" s="1">
        <v>1725458</v>
      </c>
      <c r="P98" s="38">
        <f t="shared" si="8"/>
        <v>1721655.4988981183</v>
      </c>
      <c r="Q98" s="225"/>
    </row>
    <row r="99" spans="1:17" s="1" customFormat="1" x14ac:dyDescent="0.25">
      <c r="A99" s="84"/>
      <c r="B99" s="204">
        <v>42809</v>
      </c>
      <c r="C99" s="1">
        <v>114</v>
      </c>
      <c r="D99" s="1">
        <v>3000038931</v>
      </c>
      <c r="E99" s="1" t="s">
        <v>30</v>
      </c>
      <c r="F99" s="1">
        <v>775</v>
      </c>
      <c r="G99" s="213">
        <v>42795</v>
      </c>
      <c r="H99" s="1" t="s">
        <v>820</v>
      </c>
      <c r="I99" s="204">
        <v>42802</v>
      </c>
      <c r="J99" s="1" t="s">
        <v>229</v>
      </c>
      <c r="K99" s="1">
        <v>29.52</v>
      </c>
      <c r="L99" s="1">
        <v>29.4</v>
      </c>
      <c r="M99" s="5">
        <f t="shared" si="7"/>
        <v>29.4</v>
      </c>
      <c r="N99" s="211">
        <f t="shared" si="10"/>
        <v>42816</v>
      </c>
      <c r="O99" s="1">
        <v>1505520</v>
      </c>
      <c r="P99" s="38">
        <f t="shared" si="8"/>
        <v>1499400</v>
      </c>
      <c r="Q99" s="225"/>
    </row>
    <row r="100" spans="1:17" s="1" customFormat="1" x14ac:dyDescent="0.25">
      <c r="A100" s="84"/>
      <c r="B100" s="204">
        <v>42809</v>
      </c>
      <c r="C100" s="1">
        <v>114</v>
      </c>
      <c r="D100" s="1">
        <v>3000038931</v>
      </c>
      <c r="E100" s="1" t="s">
        <v>30</v>
      </c>
      <c r="F100" s="16">
        <v>776</v>
      </c>
      <c r="G100" s="213">
        <v>42795</v>
      </c>
      <c r="H100" s="1" t="s">
        <v>824</v>
      </c>
      <c r="I100" s="204">
        <v>42802</v>
      </c>
      <c r="J100" s="1" t="s">
        <v>229</v>
      </c>
      <c r="K100" s="1">
        <v>9.08</v>
      </c>
      <c r="L100" s="1">
        <v>9.08</v>
      </c>
      <c r="M100" s="5">
        <f t="shared" si="7"/>
        <v>9.08</v>
      </c>
      <c r="N100" s="211">
        <f t="shared" si="10"/>
        <v>42816</v>
      </c>
      <c r="O100" s="1">
        <v>463080</v>
      </c>
      <c r="P100" s="38">
        <f t="shared" si="8"/>
        <v>463080</v>
      </c>
      <c r="Q100" s="225"/>
    </row>
    <row r="101" spans="1:17" s="1" customFormat="1" x14ac:dyDescent="0.25">
      <c r="A101" s="84"/>
      <c r="B101" s="204">
        <v>42809</v>
      </c>
      <c r="C101" s="1">
        <v>114</v>
      </c>
      <c r="D101" s="1">
        <v>3000039062</v>
      </c>
      <c r="E101" s="1" t="s">
        <v>30</v>
      </c>
      <c r="F101" s="16">
        <v>776</v>
      </c>
      <c r="G101" s="213">
        <v>42795</v>
      </c>
      <c r="H101" s="1" t="s">
        <v>824</v>
      </c>
      <c r="I101" s="204">
        <v>42802</v>
      </c>
      <c r="J101" s="1" t="s">
        <v>229</v>
      </c>
      <c r="K101" s="1">
        <v>20</v>
      </c>
      <c r="L101" s="1">
        <v>19.899999999999999</v>
      </c>
      <c r="M101" s="5">
        <f t="shared" si="7"/>
        <v>19.899999999999999</v>
      </c>
      <c r="N101" s="211">
        <f t="shared" si="10"/>
        <v>42816</v>
      </c>
      <c r="O101" s="1">
        <v>1025999</v>
      </c>
      <c r="P101" s="38">
        <f t="shared" si="8"/>
        <v>1020869.0049999999</v>
      </c>
      <c r="Q101" s="225"/>
    </row>
    <row r="102" spans="1:17" s="1" customFormat="1" x14ac:dyDescent="0.25">
      <c r="A102" s="84"/>
      <c r="B102" s="204">
        <v>42802</v>
      </c>
      <c r="C102" s="1">
        <v>103</v>
      </c>
      <c r="D102" s="1">
        <v>3000038739</v>
      </c>
      <c r="E102" s="1" t="s">
        <v>201</v>
      </c>
      <c r="F102" s="1">
        <v>411</v>
      </c>
      <c r="G102" s="213">
        <v>42794</v>
      </c>
      <c r="H102" s="1" t="s">
        <v>767</v>
      </c>
      <c r="I102" s="204">
        <v>42798</v>
      </c>
      <c r="J102" s="1" t="s">
        <v>61</v>
      </c>
      <c r="K102" s="1">
        <v>20.29</v>
      </c>
      <c r="L102" s="1">
        <v>20.29</v>
      </c>
      <c r="M102" s="5">
        <f t="shared" si="7"/>
        <v>20.29</v>
      </c>
      <c r="N102" s="211">
        <f>+I102+20-1</f>
        <v>42817</v>
      </c>
      <c r="O102" s="1">
        <v>2680106</v>
      </c>
      <c r="P102" s="38">
        <f t="shared" si="8"/>
        <v>2680106</v>
      </c>
      <c r="Q102" s="225"/>
    </row>
    <row r="103" spans="1:17" s="1" customFormat="1" x14ac:dyDescent="0.25">
      <c r="A103" s="84"/>
      <c r="B103" s="204">
        <v>42808</v>
      </c>
      <c r="C103" s="1">
        <v>114</v>
      </c>
      <c r="D103" s="1">
        <v>3000039202</v>
      </c>
      <c r="E103" s="1" t="s">
        <v>621</v>
      </c>
      <c r="F103" s="16">
        <v>991</v>
      </c>
      <c r="G103" s="213">
        <v>42795</v>
      </c>
      <c r="H103" s="1" t="s">
        <v>811</v>
      </c>
      <c r="I103" s="204">
        <v>42803</v>
      </c>
      <c r="J103" s="1" t="s">
        <v>8</v>
      </c>
      <c r="K103" s="1">
        <v>14.8</v>
      </c>
      <c r="L103" s="1">
        <v>14.68</v>
      </c>
      <c r="M103" s="5">
        <f t="shared" si="7"/>
        <v>14.68</v>
      </c>
      <c r="N103" s="211">
        <f t="shared" ref="N103:N108" si="11">+I103+15-1</f>
        <v>42817</v>
      </c>
      <c r="O103" s="1">
        <v>855440</v>
      </c>
      <c r="P103" s="38">
        <f t="shared" si="8"/>
        <v>848504</v>
      </c>
      <c r="Q103" s="225"/>
    </row>
    <row r="104" spans="1:17" s="1" customFormat="1" x14ac:dyDescent="0.25">
      <c r="A104" s="84"/>
      <c r="B104" s="204">
        <v>42808</v>
      </c>
      <c r="C104" s="1">
        <v>114</v>
      </c>
      <c r="D104" s="1">
        <v>3000039216</v>
      </c>
      <c r="E104" s="1" t="s">
        <v>621</v>
      </c>
      <c r="F104" s="16">
        <v>991</v>
      </c>
      <c r="G104" s="213">
        <v>42795</v>
      </c>
      <c r="H104" s="1" t="s">
        <v>811</v>
      </c>
      <c r="I104" s="204">
        <v>42803</v>
      </c>
      <c r="J104" s="1" t="s">
        <v>8</v>
      </c>
      <c r="K104" s="1">
        <v>13.6</v>
      </c>
      <c r="L104" s="1">
        <v>13.6</v>
      </c>
      <c r="M104" s="5">
        <f t="shared" si="7"/>
        <v>13.6</v>
      </c>
      <c r="N104" s="211">
        <f t="shared" si="11"/>
        <v>42817</v>
      </c>
      <c r="O104" s="1">
        <v>780640</v>
      </c>
      <c r="P104" s="38">
        <f t="shared" si="8"/>
        <v>780640</v>
      </c>
      <c r="Q104" s="225"/>
    </row>
    <row r="105" spans="1:17" s="1" customFormat="1" x14ac:dyDescent="0.25">
      <c r="A105" s="84"/>
      <c r="B105" s="204">
        <v>42808</v>
      </c>
      <c r="C105" s="1">
        <v>114</v>
      </c>
      <c r="D105" s="1">
        <v>3000039058</v>
      </c>
      <c r="E105" s="1" t="s">
        <v>599</v>
      </c>
      <c r="F105" s="16">
        <v>3375</v>
      </c>
      <c r="G105" s="213">
        <v>42796</v>
      </c>
      <c r="H105" s="1" t="s">
        <v>817</v>
      </c>
      <c r="I105" s="204">
        <v>42803</v>
      </c>
      <c r="J105" s="1" t="s">
        <v>8</v>
      </c>
      <c r="K105" s="1">
        <v>24</v>
      </c>
      <c r="L105" s="1">
        <v>23.91</v>
      </c>
      <c r="M105" s="5">
        <f t="shared" si="7"/>
        <v>23.91</v>
      </c>
      <c r="N105" s="211">
        <f t="shared" si="11"/>
        <v>42817</v>
      </c>
      <c r="O105" s="1">
        <v>1404000</v>
      </c>
      <c r="P105" s="38">
        <f t="shared" si="8"/>
        <v>1398735</v>
      </c>
      <c r="Q105" s="225"/>
    </row>
    <row r="106" spans="1:17" s="1" customFormat="1" x14ac:dyDescent="0.25">
      <c r="A106" s="84"/>
      <c r="B106" s="204">
        <v>42808</v>
      </c>
      <c r="C106" s="1">
        <v>114</v>
      </c>
      <c r="D106" s="1">
        <v>3000039172</v>
      </c>
      <c r="E106" s="1" t="s">
        <v>599</v>
      </c>
      <c r="F106" s="16">
        <v>3375</v>
      </c>
      <c r="G106" s="213">
        <v>42796</v>
      </c>
      <c r="H106" s="1" t="s">
        <v>817</v>
      </c>
      <c r="I106" s="204">
        <v>42803</v>
      </c>
      <c r="J106" s="1" t="s">
        <v>8</v>
      </c>
      <c r="K106" s="1">
        <v>6.5</v>
      </c>
      <c r="L106" s="1">
        <v>6.5</v>
      </c>
      <c r="M106" s="5">
        <f t="shared" ref="M106:M137" si="12">IF(L106&gt;K106,K106,L106)</f>
        <v>6.5</v>
      </c>
      <c r="N106" s="211">
        <f t="shared" si="11"/>
        <v>42817</v>
      </c>
      <c r="O106" s="1">
        <v>378300</v>
      </c>
      <c r="P106" s="38">
        <f t="shared" si="8"/>
        <v>378300</v>
      </c>
      <c r="Q106" s="225"/>
    </row>
    <row r="107" spans="1:17" s="1" customFormat="1" x14ac:dyDescent="0.25">
      <c r="A107" s="84"/>
      <c r="B107" s="204">
        <v>42809</v>
      </c>
      <c r="C107" s="1">
        <v>114</v>
      </c>
      <c r="D107" s="1">
        <v>3000039062</v>
      </c>
      <c r="E107" s="1" t="s">
        <v>30</v>
      </c>
      <c r="F107" s="1">
        <v>782</v>
      </c>
      <c r="G107" s="213">
        <v>42797</v>
      </c>
      <c r="H107" s="1" t="s">
        <v>821</v>
      </c>
      <c r="I107" s="204">
        <v>42803</v>
      </c>
      <c r="J107" s="1" t="s">
        <v>229</v>
      </c>
      <c r="K107" s="1">
        <v>30.15</v>
      </c>
      <c r="L107" s="1">
        <v>30.05</v>
      </c>
      <c r="M107" s="5">
        <f t="shared" si="12"/>
        <v>30.05</v>
      </c>
      <c r="N107" s="211">
        <f t="shared" si="11"/>
        <v>42817</v>
      </c>
      <c r="O107" s="1">
        <v>1546694</v>
      </c>
      <c r="P107" s="38">
        <f t="shared" si="8"/>
        <v>1541564.0033167498</v>
      </c>
      <c r="Q107" s="225"/>
    </row>
    <row r="108" spans="1:17" s="1" customFormat="1" x14ac:dyDescent="0.25">
      <c r="A108" s="84"/>
      <c r="B108" s="204">
        <v>42809</v>
      </c>
      <c r="C108" s="1">
        <v>114</v>
      </c>
      <c r="D108" s="1">
        <v>3000039062</v>
      </c>
      <c r="E108" s="1" t="s">
        <v>30</v>
      </c>
      <c r="F108" s="1">
        <v>787</v>
      </c>
      <c r="G108" s="213">
        <v>42799</v>
      </c>
      <c r="H108" s="1" t="s">
        <v>642</v>
      </c>
      <c r="I108" s="204">
        <v>42803</v>
      </c>
      <c r="J108" s="1" t="s">
        <v>229</v>
      </c>
      <c r="K108" s="1">
        <v>28.69</v>
      </c>
      <c r="L108" s="1">
        <v>28.62</v>
      </c>
      <c r="M108" s="5">
        <f t="shared" si="12"/>
        <v>28.62</v>
      </c>
      <c r="N108" s="211">
        <f t="shared" si="11"/>
        <v>42817</v>
      </c>
      <c r="O108" s="1">
        <v>1471796</v>
      </c>
      <c r="P108" s="38">
        <f t="shared" si="8"/>
        <v>1468205.0024398745</v>
      </c>
      <c r="Q108" s="225"/>
    </row>
    <row r="109" spans="1:17" s="1" customFormat="1" x14ac:dyDescent="0.25">
      <c r="A109" s="84"/>
      <c r="B109" s="204">
        <v>42814</v>
      </c>
      <c r="C109" s="1">
        <v>103</v>
      </c>
      <c r="D109" s="1">
        <v>3000039168</v>
      </c>
      <c r="E109" s="1" t="s">
        <v>348</v>
      </c>
      <c r="F109" s="16" t="s">
        <v>874</v>
      </c>
      <c r="G109" s="213">
        <v>42803</v>
      </c>
      <c r="H109" s="1" t="s">
        <v>873</v>
      </c>
      <c r="I109" s="204">
        <v>42798</v>
      </c>
      <c r="J109" s="1" t="s">
        <v>16</v>
      </c>
      <c r="M109" s="5">
        <f t="shared" si="12"/>
        <v>0</v>
      </c>
      <c r="N109" s="211">
        <f t="shared" ref="N109:N114" si="13">+I109+20-1</f>
        <v>42817</v>
      </c>
      <c r="O109" s="1">
        <v>29985</v>
      </c>
      <c r="P109" s="38"/>
      <c r="Q109" s="225"/>
    </row>
    <row r="110" spans="1:17" s="1" customFormat="1" x14ac:dyDescent="0.25">
      <c r="A110" s="84"/>
      <c r="B110" s="204">
        <v>42814</v>
      </c>
      <c r="C110" s="1">
        <v>103</v>
      </c>
      <c r="D110" s="1">
        <v>3000039168</v>
      </c>
      <c r="E110" s="1" t="s">
        <v>348</v>
      </c>
      <c r="F110" s="16">
        <v>234</v>
      </c>
      <c r="G110" s="213">
        <v>42788</v>
      </c>
      <c r="H110" s="1" t="s">
        <v>873</v>
      </c>
      <c r="I110" s="204">
        <v>42798</v>
      </c>
      <c r="J110" s="1" t="s">
        <v>16</v>
      </c>
      <c r="K110" s="1">
        <v>3.21</v>
      </c>
      <c r="L110" s="1">
        <v>3.19</v>
      </c>
      <c r="M110" s="5">
        <f t="shared" si="12"/>
        <v>3.19</v>
      </c>
      <c r="N110" s="211">
        <f t="shared" si="13"/>
        <v>42817</v>
      </c>
      <c r="O110" s="1">
        <v>181065</v>
      </c>
      <c r="P110" s="38">
        <f>(+O110/K110*M110)-29985</f>
        <v>149951.86915887852</v>
      </c>
      <c r="Q110" s="225"/>
    </row>
    <row r="111" spans="1:17" s="1" customFormat="1" x14ac:dyDescent="0.25">
      <c r="A111" s="84"/>
      <c r="B111" s="204">
        <v>42814</v>
      </c>
      <c r="C111" s="1">
        <v>103</v>
      </c>
      <c r="D111" s="1">
        <v>3000038106</v>
      </c>
      <c r="E111" s="1" t="s">
        <v>348</v>
      </c>
      <c r="F111" s="16">
        <v>233</v>
      </c>
      <c r="G111" s="213">
        <v>42788</v>
      </c>
      <c r="H111" s="1" t="s">
        <v>873</v>
      </c>
      <c r="I111" s="204">
        <v>42798</v>
      </c>
      <c r="J111" s="1" t="s">
        <v>16</v>
      </c>
      <c r="K111" s="1">
        <v>16.8</v>
      </c>
      <c r="L111" s="1">
        <v>16.8</v>
      </c>
      <c r="M111" s="5">
        <f t="shared" si="12"/>
        <v>16.8</v>
      </c>
      <c r="N111" s="211">
        <f t="shared" si="13"/>
        <v>42817</v>
      </c>
      <c r="O111" s="1">
        <v>924109</v>
      </c>
      <c r="P111" s="38">
        <f t="shared" ref="P111:P120" si="14">(+O111/K111*M111)</f>
        <v>924109</v>
      </c>
      <c r="Q111" s="225"/>
    </row>
    <row r="112" spans="1:17" s="1" customFormat="1" x14ac:dyDescent="0.25">
      <c r="A112" s="84"/>
      <c r="B112" s="204">
        <v>42802</v>
      </c>
      <c r="C112" s="1">
        <v>103</v>
      </c>
      <c r="D112" s="1">
        <v>3000038352</v>
      </c>
      <c r="E112" s="1" t="s">
        <v>621</v>
      </c>
      <c r="F112" s="1">
        <v>153</v>
      </c>
      <c r="G112" s="213">
        <v>42791</v>
      </c>
      <c r="H112" s="1" t="s">
        <v>761</v>
      </c>
      <c r="I112" s="204">
        <v>42799</v>
      </c>
      <c r="J112" s="1" t="s">
        <v>16</v>
      </c>
      <c r="K112" s="1">
        <v>27.08</v>
      </c>
      <c r="L112" s="1">
        <v>27.24</v>
      </c>
      <c r="M112" s="5">
        <f t="shared" si="12"/>
        <v>27.08</v>
      </c>
      <c r="N112" s="211">
        <f t="shared" si="13"/>
        <v>42818</v>
      </c>
      <c r="O112" s="1">
        <v>1533405</v>
      </c>
      <c r="P112" s="38">
        <f t="shared" si="14"/>
        <v>1533405</v>
      </c>
      <c r="Q112" s="225"/>
    </row>
    <row r="113" spans="1:17" s="1" customFormat="1" x14ac:dyDescent="0.25">
      <c r="A113" s="84"/>
      <c r="B113" s="204">
        <v>42802</v>
      </c>
      <c r="C113" s="1">
        <v>103</v>
      </c>
      <c r="D113" s="1">
        <v>3000038352</v>
      </c>
      <c r="E113" s="1" t="s">
        <v>621</v>
      </c>
      <c r="F113" s="1">
        <v>154</v>
      </c>
      <c r="G113" s="213">
        <v>42791</v>
      </c>
      <c r="H113" s="1" t="s">
        <v>762</v>
      </c>
      <c r="I113" s="204">
        <v>42799</v>
      </c>
      <c r="J113" s="1" t="s">
        <v>16</v>
      </c>
      <c r="K113" s="1">
        <v>15.234999999999999</v>
      </c>
      <c r="L113" s="1">
        <v>15.234999999999999</v>
      </c>
      <c r="M113" s="5">
        <f t="shared" si="12"/>
        <v>15.234999999999999</v>
      </c>
      <c r="N113" s="211">
        <f t="shared" si="13"/>
        <v>42818</v>
      </c>
      <c r="O113" s="1">
        <v>861730</v>
      </c>
      <c r="P113" s="38">
        <f t="shared" si="14"/>
        <v>861730</v>
      </c>
      <c r="Q113" s="225"/>
    </row>
    <row r="114" spans="1:17" s="1" customFormat="1" x14ac:dyDescent="0.25">
      <c r="A114" s="84"/>
      <c r="B114" s="204">
        <v>42802</v>
      </c>
      <c r="C114" s="1">
        <v>103</v>
      </c>
      <c r="D114" s="1">
        <v>3000038352</v>
      </c>
      <c r="E114" s="1" t="s">
        <v>621</v>
      </c>
      <c r="F114" s="1">
        <v>155</v>
      </c>
      <c r="G114" s="213">
        <v>42791</v>
      </c>
      <c r="H114" s="1" t="s">
        <v>762</v>
      </c>
      <c r="I114" s="204">
        <v>42799</v>
      </c>
      <c r="J114" s="1" t="s">
        <v>16</v>
      </c>
      <c r="K114" s="1">
        <v>11.705</v>
      </c>
      <c r="L114" s="1">
        <v>11.775</v>
      </c>
      <c r="M114" s="5">
        <f t="shared" si="12"/>
        <v>11.705</v>
      </c>
      <c r="N114" s="211">
        <f t="shared" si="13"/>
        <v>42818</v>
      </c>
      <c r="O114" s="1">
        <v>662796</v>
      </c>
      <c r="P114" s="38">
        <f t="shared" si="14"/>
        <v>662796</v>
      </c>
      <c r="Q114" s="225"/>
    </row>
    <row r="115" spans="1:17" s="1" customFormat="1" x14ac:dyDescent="0.25">
      <c r="A115" s="84"/>
      <c r="B115" s="204">
        <v>42808</v>
      </c>
      <c r="C115" s="1">
        <v>114</v>
      </c>
      <c r="D115" s="1">
        <v>3000039216</v>
      </c>
      <c r="E115" s="1" t="s">
        <v>621</v>
      </c>
      <c r="F115" s="16">
        <v>994</v>
      </c>
      <c r="G115" s="213">
        <v>42797</v>
      </c>
      <c r="H115" s="1" t="s">
        <v>813</v>
      </c>
      <c r="I115" s="204">
        <v>42804</v>
      </c>
      <c r="J115" s="1" t="s">
        <v>8</v>
      </c>
      <c r="K115" s="1">
        <v>15.74</v>
      </c>
      <c r="L115" s="1">
        <v>15.73</v>
      </c>
      <c r="M115" s="5">
        <f t="shared" si="12"/>
        <v>15.73</v>
      </c>
      <c r="N115" s="211">
        <f t="shared" ref="N115:N120" si="15">+I115+15-1</f>
        <v>42818</v>
      </c>
      <c r="O115" s="1">
        <v>903476</v>
      </c>
      <c r="P115" s="38">
        <f t="shared" si="14"/>
        <v>902902</v>
      </c>
      <c r="Q115" s="225"/>
    </row>
    <row r="116" spans="1:17" s="1" customFormat="1" x14ac:dyDescent="0.25">
      <c r="A116" s="84"/>
      <c r="B116" s="204">
        <v>42808</v>
      </c>
      <c r="C116" s="1">
        <v>114</v>
      </c>
      <c r="D116" s="1">
        <v>3000039249</v>
      </c>
      <c r="E116" s="1" t="s">
        <v>621</v>
      </c>
      <c r="F116" s="16">
        <v>994</v>
      </c>
      <c r="G116" s="213">
        <v>42797</v>
      </c>
      <c r="H116" s="1" t="s">
        <v>813</v>
      </c>
      <c r="I116" s="204">
        <v>42804</v>
      </c>
      <c r="J116" s="1" t="s">
        <v>8</v>
      </c>
      <c r="K116" s="1">
        <v>4.2</v>
      </c>
      <c r="L116" s="1">
        <v>4.2</v>
      </c>
      <c r="M116" s="5">
        <f t="shared" si="12"/>
        <v>4.2</v>
      </c>
      <c r="N116" s="211">
        <f t="shared" si="15"/>
        <v>42818</v>
      </c>
      <c r="O116" s="1">
        <v>239820</v>
      </c>
      <c r="P116" s="38">
        <f t="shared" si="14"/>
        <v>239820</v>
      </c>
      <c r="Q116" s="225"/>
    </row>
    <row r="117" spans="1:17" s="1" customFormat="1" x14ac:dyDescent="0.25">
      <c r="A117" s="84"/>
      <c r="B117" s="204">
        <v>42808</v>
      </c>
      <c r="C117" s="1">
        <v>114</v>
      </c>
      <c r="D117" s="1">
        <v>3000038600</v>
      </c>
      <c r="E117" s="1" t="s">
        <v>49</v>
      </c>
      <c r="F117" s="1">
        <v>53</v>
      </c>
      <c r="G117" s="213">
        <v>42798</v>
      </c>
      <c r="H117" s="1" t="s">
        <v>814</v>
      </c>
      <c r="I117" s="204">
        <v>42804</v>
      </c>
      <c r="J117" s="1" t="s">
        <v>8</v>
      </c>
      <c r="K117" s="1">
        <v>19.64</v>
      </c>
      <c r="L117" s="1">
        <v>19.600000000000001</v>
      </c>
      <c r="M117" s="5">
        <f t="shared" si="12"/>
        <v>19.600000000000001</v>
      </c>
      <c r="N117" s="211">
        <f t="shared" si="15"/>
        <v>42818</v>
      </c>
      <c r="O117" s="1">
        <v>1146976</v>
      </c>
      <c r="P117" s="38">
        <f t="shared" si="14"/>
        <v>1144640</v>
      </c>
      <c r="Q117" s="225"/>
    </row>
    <row r="118" spans="1:17" s="1" customFormat="1" x14ac:dyDescent="0.25">
      <c r="A118" s="84"/>
      <c r="B118" s="204">
        <v>42808</v>
      </c>
      <c r="C118" s="1">
        <v>114</v>
      </c>
      <c r="D118" s="1">
        <v>3000038238</v>
      </c>
      <c r="E118" s="1" t="s">
        <v>18</v>
      </c>
      <c r="F118" s="16">
        <v>208</v>
      </c>
      <c r="G118" s="213">
        <v>42790</v>
      </c>
      <c r="H118" s="1" t="s">
        <v>818</v>
      </c>
      <c r="I118" s="204">
        <v>42804</v>
      </c>
      <c r="J118" s="1" t="s">
        <v>8</v>
      </c>
      <c r="K118" s="1">
        <v>0.46</v>
      </c>
      <c r="L118" s="1">
        <v>0.46</v>
      </c>
      <c r="M118" s="5">
        <f t="shared" si="12"/>
        <v>0.46</v>
      </c>
      <c r="N118" s="211">
        <f t="shared" si="15"/>
        <v>42818</v>
      </c>
      <c r="O118" s="1">
        <v>26450</v>
      </c>
      <c r="P118" s="38">
        <f t="shared" si="14"/>
        <v>26450</v>
      </c>
      <c r="Q118" s="225"/>
    </row>
    <row r="119" spans="1:17" s="1" customFormat="1" x14ac:dyDescent="0.25">
      <c r="A119" s="84"/>
      <c r="B119" s="204">
        <v>42808</v>
      </c>
      <c r="C119" s="1">
        <v>114</v>
      </c>
      <c r="D119" s="1">
        <v>3000038823</v>
      </c>
      <c r="E119" s="1" t="s">
        <v>18</v>
      </c>
      <c r="F119" s="16">
        <v>208</v>
      </c>
      <c r="G119" s="213">
        <v>42790</v>
      </c>
      <c r="H119" s="1" t="s">
        <v>818</v>
      </c>
      <c r="I119" s="204">
        <v>42804</v>
      </c>
      <c r="J119" s="1" t="s">
        <v>8</v>
      </c>
      <c r="K119" s="1">
        <v>18.77</v>
      </c>
      <c r="L119" s="1">
        <v>18.760000000000002</v>
      </c>
      <c r="M119" s="5">
        <f t="shared" si="12"/>
        <v>18.760000000000002</v>
      </c>
      <c r="N119" s="211">
        <f t="shared" si="15"/>
        <v>42818</v>
      </c>
      <c r="O119" s="1">
        <v>1098045</v>
      </c>
      <c r="P119" s="38">
        <f t="shared" si="14"/>
        <v>1097460</v>
      </c>
      <c r="Q119" s="225"/>
    </row>
    <row r="120" spans="1:17" s="1" customFormat="1" x14ac:dyDescent="0.25">
      <c r="A120" s="84"/>
      <c r="B120" s="204">
        <v>42809</v>
      </c>
      <c r="C120" s="1">
        <v>114</v>
      </c>
      <c r="D120" s="1">
        <v>3000039062</v>
      </c>
      <c r="E120" s="1" t="s">
        <v>30</v>
      </c>
      <c r="F120" s="1">
        <v>788</v>
      </c>
      <c r="G120" s="213">
        <v>42800</v>
      </c>
      <c r="H120" s="1" t="s">
        <v>692</v>
      </c>
      <c r="I120" s="204">
        <v>42804</v>
      </c>
      <c r="J120" s="1" t="s">
        <v>229</v>
      </c>
      <c r="K120" s="1">
        <v>29.71</v>
      </c>
      <c r="L120" s="1">
        <v>29.62</v>
      </c>
      <c r="M120" s="5">
        <f t="shared" si="12"/>
        <v>29.62</v>
      </c>
      <c r="N120" s="211">
        <f t="shared" si="15"/>
        <v>42818</v>
      </c>
      <c r="O120" s="1">
        <v>1524122</v>
      </c>
      <c r="P120" s="38">
        <f t="shared" si="14"/>
        <v>1519505.0030292831</v>
      </c>
      <c r="Q120" s="225"/>
    </row>
    <row r="121" spans="1:17" s="1" customFormat="1" x14ac:dyDescent="0.25">
      <c r="A121" s="84"/>
      <c r="B121" s="204">
        <v>42814</v>
      </c>
      <c r="C121" s="1">
        <v>114</v>
      </c>
      <c r="D121" s="1">
        <v>3000038820</v>
      </c>
      <c r="E121" s="1" t="s">
        <v>348</v>
      </c>
      <c r="F121" s="16" t="s">
        <v>875</v>
      </c>
      <c r="G121" s="213">
        <v>42803</v>
      </c>
      <c r="H121" s="1" t="s">
        <v>876</v>
      </c>
      <c r="I121" s="204">
        <v>42799</v>
      </c>
      <c r="J121" s="1" t="s">
        <v>8</v>
      </c>
      <c r="M121" s="5">
        <f t="shared" si="12"/>
        <v>0</v>
      </c>
      <c r="N121" s="211">
        <f>+I121+20-1</f>
        <v>42818</v>
      </c>
      <c r="O121" s="1">
        <v>9895</v>
      </c>
      <c r="P121" s="38"/>
      <c r="Q121" s="225"/>
    </row>
    <row r="122" spans="1:17" s="1" customFormat="1" x14ac:dyDescent="0.25">
      <c r="A122" s="84"/>
      <c r="B122" s="204">
        <v>42817</v>
      </c>
      <c r="C122" s="1">
        <v>116</v>
      </c>
      <c r="D122" s="1">
        <v>3000038819</v>
      </c>
      <c r="E122" s="1" t="s">
        <v>898</v>
      </c>
      <c r="F122" s="1">
        <v>62867348</v>
      </c>
      <c r="G122" s="213">
        <v>42809</v>
      </c>
      <c r="H122" s="1" t="s">
        <v>899</v>
      </c>
      <c r="I122" s="204">
        <v>42809</v>
      </c>
      <c r="J122" s="1" t="s">
        <v>16</v>
      </c>
      <c r="K122" s="1">
        <v>19.649999999999999</v>
      </c>
      <c r="L122" s="1">
        <v>19.649999999999999</v>
      </c>
      <c r="M122" s="5">
        <f t="shared" si="12"/>
        <v>19.649999999999999</v>
      </c>
      <c r="N122" s="211">
        <f>+I122+10-1</f>
        <v>42818</v>
      </c>
      <c r="O122" s="1">
        <v>1090943</v>
      </c>
      <c r="P122" s="36">
        <f t="shared" ref="P122:P152" si="16">(+O122/K122*M122)</f>
        <v>1090943</v>
      </c>
      <c r="Q122" s="225"/>
    </row>
    <row r="123" spans="1:17" s="1" customFormat="1" x14ac:dyDescent="0.25">
      <c r="A123" s="84"/>
      <c r="B123" s="204">
        <v>42802</v>
      </c>
      <c r="C123" s="1">
        <v>103</v>
      </c>
      <c r="D123" s="1">
        <v>3000038299</v>
      </c>
      <c r="E123" s="1" t="s">
        <v>621</v>
      </c>
      <c r="F123" s="16">
        <v>156</v>
      </c>
      <c r="G123" s="213">
        <v>42794</v>
      </c>
      <c r="H123" s="1" t="s">
        <v>763</v>
      </c>
      <c r="I123" s="204">
        <v>42800</v>
      </c>
      <c r="J123" s="1" t="s">
        <v>16</v>
      </c>
      <c r="K123" s="1">
        <v>3</v>
      </c>
      <c r="L123" s="1">
        <v>3</v>
      </c>
      <c r="M123" s="5">
        <f t="shared" si="12"/>
        <v>3</v>
      </c>
      <c r="N123" s="211">
        <f t="shared" ref="N123:N128" si="17">+I123+20-1</f>
        <v>42819</v>
      </c>
      <c r="O123" s="1">
        <f>49600*K123+5625*K123</f>
        <v>165675</v>
      </c>
      <c r="P123" s="38">
        <f t="shared" si="16"/>
        <v>165675</v>
      </c>
      <c r="Q123" s="225"/>
    </row>
    <row r="124" spans="1:17" s="1" customFormat="1" x14ac:dyDescent="0.25">
      <c r="A124" s="84"/>
      <c r="B124" s="204">
        <v>42802</v>
      </c>
      <c r="C124" s="1">
        <v>103</v>
      </c>
      <c r="D124" s="1">
        <v>3000039051</v>
      </c>
      <c r="E124" s="1" t="s">
        <v>621</v>
      </c>
      <c r="F124" s="16">
        <v>156</v>
      </c>
      <c r="G124" s="213">
        <v>42794</v>
      </c>
      <c r="H124" s="1" t="s">
        <v>763</v>
      </c>
      <c r="I124" s="204">
        <v>42800</v>
      </c>
      <c r="J124" s="1" t="s">
        <v>16</v>
      </c>
      <c r="K124" s="1">
        <v>17.07</v>
      </c>
      <c r="L124" s="1">
        <v>17.05</v>
      </c>
      <c r="M124" s="5">
        <f t="shared" si="12"/>
        <v>17.05</v>
      </c>
      <c r="N124" s="211">
        <f t="shared" si="17"/>
        <v>42819</v>
      </c>
      <c r="O124" s="1">
        <f>51000*K124+5625*K124</f>
        <v>966588.75</v>
      </c>
      <c r="P124" s="38">
        <f t="shared" si="16"/>
        <v>965456.25</v>
      </c>
      <c r="Q124" s="225"/>
    </row>
    <row r="125" spans="1:17" s="1" customFormat="1" x14ac:dyDescent="0.25">
      <c r="A125" s="84"/>
      <c r="B125" s="204">
        <v>42802</v>
      </c>
      <c r="C125" s="1">
        <v>103</v>
      </c>
      <c r="D125" s="1">
        <v>3000039051</v>
      </c>
      <c r="E125" s="1" t="s">
        <v>621</v>
      </c>
      <c r="F125" s="5">
        <v>158</v>
      </c>
      <c r="G125" s="213">
        <v>42794</v>
      </c>
      <c r="H125" s="1" t="s">
        <v>764</v>
      </c>
      <c r="I125" s="204">
        <v>42800</v>
      </c>
      <c r="J125" s="1" t="s">
        <v>16</v>
      </c>
      <c r="K125" s="1">
        <v>25.28</v>
      </c>
      <c r="L125" s="1">
        <v>25.25</v>
      </c>
      <c r="M125" s="5">
        <f t="shared" si="12"/>
        <v>25.25</v>
      </c>
      <c r="N125" s="211">
        <f t="shared" si="17"/>
        <v>42819</v>
      </c>
      <c r="O125" s="1">
        <v>1431480</v>
      </c>
      <c r="P125" s="38">
        <f t="shared" si="16"/>
        <v>1429781.25</v>
      </c>
      <c r="Q125" s="225"/>
    </row>
    <row r="126" spans="1:17" s="1" customFormat="1" x14ac:dyDescent="0.25">
      <c r="A126" s="84"/>
      <c r="B126" s="204">
        <v>42802</v>
      </c>
      <c r="C126" s="1">
        <v>103</v>
      </c>
      <c r="D126" s="1">
        <v>3000039051</v>
      </c>
      <c r="E126" s="1" t="s">
        <v>621</v>
      </c>
      <c r="F126" s="5">
        <v>159</v>
      </c>
      <c r="G126" s="213">
        <v>42794</v>
      </c>
      <c r="H126" s="1" t="s">
        <v>765</v>
      </c>
      <c r="I126" s="204">
        <v>42800</v>
      </c>
      <c r="J126" s="1" t="s">
        <v>16</v>
      </c>
      <c r="K126" s="1">
        <v>20.484999999999999</v>
      </c>
      <c r="L126" s="1">
        <v>20.36</v>
      </c>
      <c r="M126" s="5">
        <f t="shared" si="12"/>
        <v>20.36</v>
      </c>
      <c r="N126" s="211">
        <f t="shared" si="17"/>
        <v>42819</v>
      </c>
      <c r="O126" s="1">
        <v>1159963</v>
      </c>
      <c r="P126" s="38">
        <f t="shared" si="16"/>
        <v>1152884.8757627532</v>
      </c>
      <c r="Q126" s="225"/>
    </row>
    <row r="127" spans="1:17" s="1" customFormat="1" x14ac:dyDescent="0.25">
      <c r="A127" s="84"/>
      <c r="B127" s="204">
        <v>42802</v>
      </c>
      <c r="C127" s="1">
        <v>103</v>
      </c>
      <c r="D127" s="1">
        <v>3000039362</v>
      </c>
      <c r="E127" s="1" t="s">
        <v>348</v>
      </c>
      <c r="F127" s="1">
        <v>242</v>
      </c>
      <c r="G127" s="213">
        <v>42795</v>
      </c>
      <c r="H127" s="1" t="s">
        <v>766</v>
      </c>
      <c r="I127" s="204">
        <v>42800</v>
      </c>
      <c r="J127" s="1" t="s">
        <v>16</v>
      </c>
      <c r="K127" s="1">
        <v>20.25</v>
      </c>
      <c r="L127" s="1">
        <v>20.2</v>
      </c>
      <c r="M127" s="5">
        <f t="shared" si="12"/>
        <v>20.2</v>
      </c>
      <c r="N127" s="211">
        <f t="shared" si="17"/>
        <v>42819</v>
      </c>
      <c r="O127" s="1">
        <v>1150453</v>
      </c>
      <c r="P127" s="38">
        <f t="shared" si="16"/>
        <v>1147612.3753086419</v>
      </c>
      <c r="Q127" s="225"/>
    </row>
    <row r="128" spans="1:17" s="1" customFormat="1" x14ac:dyDescent="0.25">
      <c r="A128" s="84"/>
      <c r="B128" s="204">
        <v>42802</v>
      </c>
      <c r="C128" s="1">
        <v>103</v>
      </c>
      <c r="D128" s="1">
        <v>3000038739</v>
      </c>
      <c r="E128" s="1" t="s">
        <v>201</v>
      </c>
      <c r="F128" s="1">
        <v>415</v>
      </c>
      <c r="G128" s="213">
        <v>42796</v>
      </c>
      <c r="H128" s="1" t="s">
        <v>768</v>
      </c>
      <c r="I128" s="204">
        <v>42800</v>
      </c>
      <c r="J128" s="1" t="s">
        <v>61</v>
      </c>
      <c r="K128" s="1">
        <v>20.190000000000001</v>
      </c>
      <c r="L128" s="1">
        <v>20.16</v>
      </c>
      <c r="M128" s="5">
        <f t="shared" si="12"/>
        <v>20.16</v>
      </c>
      <c r="N128" s="211">
        <f t="shared" si="17"/>
        <v>42819</v>
      </c>
      <c r="O128" s="1">
        <v>2666897</v>
      </c>
      <c r="P128" s="38">
        <f t="shared" si="16"/>
        <v>2662934.3001485886</v>
      </c>
      <c r="Q128" s="225"/>
    </row>
    <row r="129" spans="1:17" s="1" customFormat="1" x14ac:dyDescent="0.25">
      <c r="A129" s="84"/>
      <c r="B129" s="204">
        <v>42809</v>
      </c>
      <c r="C129" s="1">
        <v>114</v>
      </c>
      <c r="D129" s="1">
        <v>3000039216</v>
      </c>
      <c r="E129" s="1" t="s">
        <v>621</v>
      </c>
      <c r="F129" s="1">
        <v>993</v>
      </c>
      <c r="G129" s="213">
        <v>42796</v>
      </c>
      <c r="H129" s="1" t="s">
        <v>825</v>
      </c>
      <c r="I129" s="204">
        <v>42805</v>
      </c>
      <c r="J129" s="1" t="s">
        <v>8</v>
      </c>
      <c r="K129" s="1">
        <v>30.605</v>
      </c>
      <c r="L129" s="1">
        <v>30.48</v>
      </c>
      <c r="M129" s="5">
        <f t="shared" si="12"/>
        <v>30.48</v>
      </c>
      <c r="N129" s="211">
        <f t="shared" ref="N129:N141" si="18">+I129+15-1</f>
        <v>42819</v>
      </c>
      <c r="O129" s="1">
        <v>1756727</v>
      </c>
      <c r="P129" s="38">
        <f t="shared" si="16"/>
        <v>1749552</v>
      </c>
      <c r="Q129" s="225"/>
    </row>
    <row r="130" spans="1:17" s="1" customFormat="1" x14ac:dyDescent="0.25">
      <c r="A130" s="84"/>
      <c r="B130" s="204">
        <v>42809</v>
      </c>
      <c r="C130" s="1">
        <v>114</v>
      </c>
      <c r="D130" s="1">
        <v>3000039348</v>
      </c>
      <c r="E130" s="1" t="s">
        <v>18</v>
      </c>
      <c r="F130" s="1">
        <v>212</v>
      </c>
      <c r="G130" s="213">
        <v>42793</v>
      </c>
      <c r="H130" s="1" t="s">
        <v>826</v>
      </c>
      <c r="I130" s="204">
        <v>42805</v>
      </c>
      <c r="J130" s="1" t="s">
        <v>16</v>
      </c>
      <c r="K130" s="1">
        <v>36.74</v>
      </c>
      <c r="L130" s="1">
        <v>36.51</v>
      </c>
      <c r="M130" s="5">
        <f t="shared" si="12"/>
        <v>36.51</v>
      </c>
      <c r="N130" s="211">
        <f t="shared" si="18"/>
        <v>42819</v>
      </c>
      <c r="O130" s="1">
        <v>2057440</v>
      </c>
      <c r="P130" s="38">
        <f t="shared" si="16"/>
        <v>2044560</v>
      </c>
      <c r="Q130" s="225"/>
    </row>
    <row r="131" spans="1:17" s="1" customFormat="1" x14ac:dyDescent="0.25">
      <c r="A131" s="84"/>
      <c r="B131" s="204">
        <v>42809</v>
      </c>
      <c r="C131" s="1">
        <v>114</v>
      </c>
      <c r="D131" s="1">
        <v>3000039201</v>
      </c>
      <c r="E131" s="1" t="s">
        <v>348</v>
      </c>
      <c r="F131" s="1">
        <v>343</v>
      </c>
      <c r="G131" s="213">
        <v>42797</v>
      </c>
      <c r="H131" s="1" t="s">
        <v>827</v>
      </c>
      <c r="I131" s="204">
        <v>42805</v>
      </c>
      <c r="J131" s="1" t="s">
        <v>8</v>
      </c>
      <c r="K131" s="1">
        <v>19.88</v>
      </c>
      <c r="L131" s="1">
        <v>19.89</v>
      </c>
      <c r="M131" s="5">
        <f t="shared" si="12"/>
        <v>19.88</v>
      </c>
      <c r="N131" s="211">
        <f t="shared" si="18"/>
        <v>42819</v>
      </c>
      <c r="O131" s="1">
        <v>1149064</v>
      </c>
      <c r="P131" s="38">
        <f t="shared" si="16"/>
        <v>1149064</v>
      </c>
      <c r="Q131" s="225"/>
    </row>
    <row r="132" spans="1:17" s="1" customFormat="1" x14ac:dyDescent="0.25">
      <c r="A132" s="84"/>
      <c r="B132" s="204">
        <v>42809</v>
      </c>
      <c r="C132" s="1">
        <v>114</v>
      </c>
      <c r="D132" s="1">
        <v>3000036562</v>
      </c>
      <c r="E132" s="1" t="s">
        <v>44</v>
      </c>
      <c r="F132" s="16">
        <v>125</v>
      </c>
      <c r="G132" s="213">
        <v>42796</v>
      </c>
      <c r="H132" s="1" t="s">
        <v>828</v>
      </c>
      <c r="I132" s="204">
        <v>42805</v>
      </c>
      <c r="J132" s="1" t="s">
        <v>8</v>
      </c>
      <c r="K132" s="1">
        <v>15.26</v>
      </c>
      <c r="L132" s="1">
        <v>15.164999999999999</v>
      </c>
      <c r="M132" s="5">
        <f t="shared" si="12"/>
        <v>15.164999999999999</v>
      </c>
      <c r="N132" s="211">
        <f t="shared" si="18"/>
        <v>42819</v>
      </c>
      <c r="O132" s="1">
        <v>854560</v>
      </c>
      <c r="P132" s="38">
        <f t="shared" si="16"/>
        <v>849240</v>
      </c>
      <c r="Q132" s="225"/>
    </row>
    <row r="133" spans="1:17" s="1" customFormat="1" x14ac:dyDescent="0.25">
      <c r="A133" s="84"/>
      <c r="B133" s="204">
        <v>42809</v>
      </c>
      <c r="C133" s="1">
        <v>114</v>
      </c>
      <c r="D133" s="1">
        <v>3000039791</v>
      </c>
      <c r="E133" s="1" t="s">
        <v>44</v>
      </c>
      <c r="F133" s="16">
        <v>125</v>
      </c>
      <c r="G133" s="213">
        <v>42796</v>
      </c>
      <c r="H133" s="1" t="s">
        <v>828</v>
      </c>
      <c r="I133" s="204">
        <v>42805</v>
      </c>
      <c r="J133" s="1" t="s">
        <v>8</v>
      </c>
      <c r="K133" s="1">
        <v>13.715</v>
      </c>
      <c r="L133" s="1">
        <v>13.715</v>
      </c>
      <c r="M133" s="5">
        <f t="shared" si="12"/>
        <v>13.715</v>
      </c>
      <c r="N133" s="211">
        <f t="shared" si="18"/>
        <v>42819</v>
      </c>
      <c r="O133" s="1">
        <v>743353</v>
      </c>
      <c r="P133" s="38">
        <f t="shared" si="16"/>
        <v>743353</v>
      </c>
      <c r="Q133" s="225"/>
    </row>
    <row r="134" spans="1:17" s="1" customFormat="1" x14ac:dyDescent="0.25">
      <c r="A134" s="84"/>
      <c r="B134" s="204">
        <v>42814</v>
      </c>
      <c r="C134" s="1">
        <v>114</v>
      </c>
      <c r="D134" s="1">
        <v>3000039058</v>
      </c>
      <c r="E134" s="1" t="s">
        <v>599</v>
      </c>
      <c r="F134" s="1">
        <v>3378</v>
      </c>
      <c r="G134" s="213">
        <v>42798</v>
      </c>
      <c r="H134" s="1" t="s">
        <v>858</v>
      </c>
      <c r="I134" s="204">
        <v>42806</v>
      </c>
      <c r="J134" s="1" t="s">
        <v>8</v>
      </c>
      <c r="K134" s="1">
        <v>23.78</v>
      </c>
      <c r="L134" s="1">
        <v>23.64</v>
      </c>
      <c r="M134" s="5">
        <f t="shared" si="12"/>
        <v>23.64</v>
      </c>
      <c r="N134" s="211">
        <f t="shared" si="18"/>
        <v>42820</v>
      </c>
      <c r="O134" s="1">
        <v>1391130</v>
      </c>
      <c r="P134" s="38">
        <f t="shared" si="16"/>
        <v>1382940</v>
      </c>
      <c r="Q134" s="225"/>
    </row>
    <row r="135" spans="1:17" s="1" customFormat="1" x14ac:dyDescent="0.25">
      <c r="A135" s="84"/>
      <c r="B135" s="204">
        <v>42814</v>
      </c>
      <c r="C135" s="1">
        <v>114</v>
      </c>
      <c r="D135" s="1">
        <v>3000039201</v>
      </c>
      <c r="E135" s="1" t="s">
        <v>348</v>
      </c>
      <c r="F135" s="1">
        <v>344</v>
      </c>
      <c r="G135" s="213">
        <v>42799</v>
      </c>
      <c r="H135" s="1" t="s">
        <v>859</v>
      </c>
      <c r="I135" s="204">
        <v>42806</v>
      </c>
      <c r="J135" s="1" t="s">
        <v>8</v>
      </c>
      <c r="K135" s="1">
        <v>28.68</v>
      </c>
      <c r="L135" s="1">
        <v>28.65</v>
      </c>
      <c r="M135" s="5">
        <f t="shared" si="12"/>
        <v>28.65</v>
      </c>
      <c r="N135" s="211">
        <f t="shared" si="18"/>
        <v>42820</v>
      </c>
      <c r="O135" s="1">
        <v>1657704</v>
      </c>
      <c r="P135" s="38">
        <f t="shared" si="16"/>
        <v>1655970</v>
      </c>
      <c r="Q135" s="225"/>
    </row>
    <row r="136" spans="1:17" s="1" customFormat="1" x14ac:dyDescent="0.25">
      <c r="A136" s="84"/>
      <c r="B136" s="204">
        <v>42814</v>
      </c>
      <c r="C136" s="1">
        <v>114</v>
      </c>
      <c r="D136" s="1">
        <v>3000039215</v>
      </c>
      <c r="E136" s="1" t="s">
        <v>348</v>
      </c>
      <c r="F136" s="1">
        <v>345</v>
      </c>
      <c r="G136" s="213">
        <v>42799</v>
      </c>
      <c r="H136" s="1" t="s">
        <v>860</v>
      </c>
      <c r="I136" s="204">
        <v>42806</v>
      </c>
      <c r="J136" s="1" t="s">
        <v>8</v>
      </c>
      <c r="K136" s="1">
        <v>27.41</v>
      </c>
      <c r="L136" s="1">
        <v>27.39</v>
      </c>
      <c r="M136" s="5">
        <f t="shared" si="12"/>
        <v>27.39</v>
      </c>
      <c r="N136" s="211">
        <f t="shared" si="18"/>
        <v>42820</v>
      </c>
      <c r="O136" s="1">
        <v>1573334</v>
      </c>
      <c r="P136" s="38">
        <f t="shared" si="16"/>
        <v>1572186</v>
      </c>
      <c r="Q136" s="225"/>
    </row>
    <row r="137" spans="1:17" s="1" customFormat="1" x14ac:dyDescent="0.25">
      <c r="A137" s="84"/>
      <c r="B137" s="204">
        <v>42814</v>
      </c>
      <c r="C137" s="1">
        <v>114</v>
      </c>
      <c r="D137" s="1">
        <v>3000039173</v>
      </c>
      <c r="E137" s="1" t="s">
        <v>18</v>
      </c>
      <c r="F137" s="16">
        <v>227</v>
      </c>
      <c r="G137" s="213">
        <v>42798</v>
      </c>
      <c r="H137" s="1" t="s">
        <v>752</v>
      </c>
      <c r="I137" s="204">
        <v>42806</v>
      </c>
      <c r="J137" s="1" t="s">
        <v>8</v>
      </c>
      <c r="K137" s="1">
        <v>30.33</v>
      </c>
      <c r="L137" s="1">
        <v>30.245000000000001</v>
      </c>
      <c r="M137" s="5">
        <f t="shared" si="12"/>
        <v>30.245000000000001</v>
      </c>
      <c r="N137" s="211">
        <f t="shared" si="18"/>
        <v>42820</v>
      </c>
      <c r="O137" s="1">
        <v>1765206</v>
      </c>
      <c r="P137" s="38">
        <f t="shared" si="16"/>
        <v>1760259</v>
      </c>
      <c r="Q137" s="225"/>
    </row>
    <row r="138" spans="1:17" s="1" customFormat="1" x14ac:dyDescent="0.25">
      <c r="A138" s="84"/>
      <c r="B138" s="204">
        <v>42814</v>
      </c>
      <c r="C138" s="1">
        <v>114</v>
      </c>
      <c r="D138" s="1">
        <v>3000039205</v>
      </c>
      <c r="E138" s="1" t="s">
        <v>18</v>
      </c>
      <c r="F138" s="16">
        <v>227</v>
      </c>
      <c r="G138" s="213">
        <v>42798</v>
      </c>
      <c r="H138" s="1" t="s">
        <v>752</v>
      </c>
      <c r="I138" s="204">
        <v>42806</v>
      </c>
      <c r="J138" s="1" t="s">
        <v>8</v>
      </c>
      <c r="K138" s="1">
        <v>1.5249999999999999</v>
      </c>
      <c r="L138" s="1">
        <v>1.5249999999999999</v>
      </c>
      <c r="M138" s="5">
        <f t="shared" ref="M138:M169" si="19">IF(L138&gt;K138,K138,L138)</f>
        <v>1.5249999999999999</v>
      </c>
      <c r="N138" s="211">
        <f t="shared" si="18"/>
        <v>42820</v>
      </c>
      <c r="O138" s="1">
        <v>88145</v>
      </c>
      <c r="P138" s="38">
        <f t="shared" si="16"/>
        <v>88145</v>
      </c>
      <c r="Q138" s="225"/>
    </row>
    <row r="139" spans="1:17" s="1" customFormat="1" x14ac:dyDescent="0.25">
      <c r="A139" s="84"/>
      <c r="B139" s="204">
        <v>42814</v>
      </c>
      <c r="C139" s="1">
        <v>114</v>
      </c>
      <c r="D139" s="1">
        <v>3000039205</v>
      </c>
      <c r="E139" s="1" t="s">
        <v>18</v>
      </c>
      <c r="F139" s="1">
        <v>228</v>
      </c>
      <c r="G139" s="213">
        <v>42800</v>
      </c>
      <c r="H139" s="1" t="s">
        <v>862</v>
      </c>
      <c r="I139" s="204">
        <v>42806</v>
      </c>
      <c r="J139" s="1" t="s">
        <v>8</v>
      </c>
      <c r="K139" s="1">
        <v>30.82</v>
      </c>
      <c r="L139" s="1">
        <v>30.73</v>
      </c>
      <c r="M139" s="5">
        <f t="shared" si="19"/>
        <v>30.73</v>
      </c>
      <c r="N139" s="211">
        <f t="shared" si="18"/>
        <v>42820</v>
      </c>
      <c r="O139" s="1">
        <v>1781396</v>
      </c>
      <c r="P139" s="38">
        <f t="shared" si="16"/>
        <v>1776194</v>
      </c>
      <c r="Q139" s="225"/>
    </row>
    <row r="140" spans="1:17" s="1" customFormat="1" x14ac:dyDescent="0.25">
      <c r="A140" s="84"/>
      <c r="B140" s="204">
        <v>42814</v>
      </c>
      <c r="C140" s="1">
        <v>114</v>
      </c>
      <c r="D140" s="1">
        <v>3000039062</v>
      </c>
      <c r="E140" s="1" t="s">
        <v>30</v>
      </c>
      <c r="F140" s="1">
        <v>796</v>
      </c>
      <c r="G140" s="213">
        <v>42802</v>
      </c>
      <c r="H140" s="1" t="s">
        <v>684</v>
      </c>
      <c r="I140" s="204">
        <v>42806</v>
      </c>
      <c r="J140" s="1" t="s">
        <v>229</v>
      </c>
      <c r="K140" s="1">
        <v>29.82</v>
      </c>
      <c r="L140" s="1">
        <v>29.75</v>
      </c>
      <c r="M140" s="5">
        <f t="shared" si="19"/>
        <v>29.75</v>
      </c>
      <c r="N140" s="211">
        <f t="shared" si="18"/>
        <v>42820</v>
      </c>
      <c r="O140" s="1">
        <v>1529765</v>
      </c>
      <c r="P140" s="38">
        <f t="shared" si="16"/>
        <v>1526174.0023474179</v>
      </c>
      <c r="Q140" s="225"/>
    </row>
    <row r="141" spans="1:17" s="1" customFormat="1" x14ac:dyDescent="0.25">
      <c r="A141" s="84"/>
      <c r="B141" s="204">
        <v>42814</v>
      </c>
      <c r="C141" s="1">
        <v>114</v>
      </c>
      <c r="D141" s="1">
        <v>3000039062</v>
      </c>
      <c r="E141" s="1" t="s">
        <v>30</v>
      </c>
      <c r="F141" s="1">
        <v>801</v>
      </c>
      <c r="G141" s="213">
        <v>42803</v>
      </c>
      <c r="H141" s="1" t="s">
        <v>865</v>
      </c>
      <c r="I141" s="204">
        <v>42806</v>
      </c>
      <c r="J141" s="1" t="s">
        <v>229</v>
      </c>
      <c r="K141" s="1">
        <v>29.83</v>
      </c>
      <c r="L141" s="1">
        <v>29.76</v>
      </c>
      <c r="M141" s="5">
        <f t="shared" si="19"/>
        <v>29.76</v>
      </c>
      <c r="N141" s="211">
        <f t="shared" si="18"/>
        <v>42820</v>
      </c>
      <c r="O141" s="1">
        <v>1530278</v>
      </c>
      <c r="P141" s="38">
        <f t="shared" si="16"/>
        <v>1526687.0023466311</v>
      </c>
      <c r="Q141" s="225"/>
    </row>
    <row r="142" spans="1:17" s="1" customFormat="1" x14ac:dyDescent="0.25">
      <c r="A142" s="84"/>
      <c r="B142" s="204">
        <v>42817</v>
      </c>
      <c r="C142" s="1">
        <v>116</v>
      </c>
      <c r="D142" s="1">
        <v>3000038819</v>
      </c>
      <c r="E142" s="1" t="s">
        <v>898</v>
      </c>
      <c r="F142" s="1">
        <v>62867413</v>
      </c>
      <c r="G142" s="213">
        <v>42811</v>
      </c>
      <c r="H142" s="1" t="s">
        <v>900</v>
      </c>
      <c r="I142" s="204">
        <v>42811</v>
      </c>
      <c r="J142" s="1" t="s">
        <v>16</v>
      </c>
      <c r="K142" s="1">
        <v>19.899999999999999</v>
      </c>
      <c r="L142" s="1">
        <v>19.899999999999999</v>
      </c>
      <c r="M142" s="5">
        <f t="shared" si="19"/>
        <v>19.899999999999999</v>
      </c>
      <c r="N142" s="211">
        <f>+I142+10-1</f>
        <v>42820</v>
      </c>
      <c r="O142" s="1">
        <v>1104823</v>
      </c>
      <c r="P142" s="36">
        <f t="shared" si="16"/>
        <v>1104823</v>
      </c>
      <c r="Q142" s="225"/>
    </row>
    <row r="143" spans="1:17" s="1" customFormat="1" x14ac:dyDescent="0.25">
      <c r="A143" s="84"/>
      <c r="B143" s="204">
        <v>42817</v>
      </c>
      <c r="C143" s="1">
        <v>116</v>
      </c>
      <c r="D143" s="1">
        <v>3000038819</v>
      </c>
      <c r="E143" s="1" t="s">
        <v>898</v>
      </c>
      <c r="F143" s="1">
        <v>62867417</v>
      </c>
      <c r="G143" s="213">
        <v>42811</v>
      </c>
      <c r="H143" s="1" t="s">
        <v>899</v>
      </c>
      <c r="I143" s="204">
        <v>42811</v>
      </c>
      <c r="J143" s="1" t="s">
        <v>16</v>
      </c>
      <c r="K143" s="1">
        <v>19.73</v>
      </c>
      <c r="L143" s="1">
        <v>19.73</v>
      </c>
      <c r="M143" s="5">
        <f t="shared" si="19"/>
        <v>19.73</v>
      </c>
      <c r="N143" s="211">
        <f>+I143+10-1</f>
        <v>42820</v>
      </c>
      <c r="O143" s="1">
        <v>1095385</v>
      </c>
      <c r="P143" s="36">
        <f t="shared" si="16"/>
        <v>1095385</v>
      </c>
      <c r="Q143" s="225"/>
    </row>
    <row r="144" spans="1:17" s="1" customFormat="1" x14ac:dyDescent="0.25">
      <c r="A144" s="84"/>
      <c r="B144" s="204">
        <v>42809</v>
      </c>
      <c r="C144" s="1">
        <v>103</v>
      </c>
      <c r="D144" s="1">
        <v>3000038814</v>
      </c>
      <c r="E144" s="1" t="s">
        <v>199</v>
      </c>
      <c r="F144" s="1">
        <v>5972</v>
      </c>
      <c r="G144" s="213">
        <v>42799</v>
      </c>
      <c r="H144" s="1" t="s">
        <v>568</v>
      </c>
      <c r="I144" s="204">
        <v>42802</v>
      </c>
      <c r="J144" s="1" t="s">
        <v>61</v>
      </c>
      <c r="K144" s="1">
        <v>19.88</v>
      </c>
      <c r="L144" s="1">
        <v>19.87</v>
      </c>
      <c r="M144" s="5">
        <f t="shared" si="19"/>
        <v>19.87</v>
      </c>
      <c r="N144" s="211">
        <f>+I144+20-1</f>
        <v>42821</v>
      </c>
      <c r="O144" s="1">
        <v>2676246</v>
      </c>
      <c r="P144" s="38">
        <f t="shared" si="16"/>
        <v>2674899.7997987932</v>
      </c>
      <c r="Q144" s="225"/>
    </row>
    <row r="145" spans="1:17" s="1" customFormat="1" x14ac:dyDescent="0.25">
      <c r="A145" s="84"/>
      <c r="B145" s="204">
        <v>42814</v>
      </c>
      <c r="C145" s="1">
        <v>114</v>
      </c>
      <c r="D145" s="1">
        <v>3000039062</v>
      </c>
      <c r="E145" s="1" t="s">
        <v>30</v>
      </c>
      <c r="F145" s="1">
        <v>802</v>
      </c>
      <c r="G145" s="213">
        <v>42804</v>
      </c>
      <c r="H145" s="1" t="s">
        <v>820</v>
      </c>
      <c r="I145" s="204">
        <v>42808</v>
      </c>
      <c r="J145" s="1" t="s">
        <v>229</v>
      </c>
      <c r="K145" s="1">
        <v>30</v>
      </c>
      <c r="L145" s="1">
        <v>29.94</v>
      </c>
      <c r="M145" s="5">
        <f t="shared" si="19"/>
        <v>29.94</v>
      </c>
      <c r="N145" s="211">
        <f t="shared" ref="N145:N150" si="20">+I145+15-1</f>
        <v>42822</v>
      </c>
      <c r="O145" s="1">
        <v>1538999</v>
      </c>
      <c r="P145" s="38">
        <f t="shared" si="16"/>
        <v>1535921.0020000001</v>
      </c>
      <c r="Q145" s="225"/>
    </row>
    <row r="146" spans="1:17" s="1" customFormat="1" x14ac:dyDescent="0.25">
      <c r="A146" s="84"/>
      <c r="B146" s="204">
        <v>42814</v>
      </c>
      <c r="C146" s="1">
        <v>114</v>
      </c>
      <c r="D146" s="1">
        <v>3000039205</v>
      </c>
      <c r="E146" s="1" t="s">
        <v>18</v>
      </c>
      <c r="F146" s="16">
        <v>233</v>
      </c>
      <c r="G146" s="213">
        <v>42800</v>
      </c>
      <c r="H146" s="1" t="s">
        <v>863</v>
      </c>
      <c r="I146" s="204">
        <v>42809</v>
      </c>
      <c r="J146" s="1" t="s">
        <v>8</v>
      </c>
      <c r="K146" s="1">
        <v>10.73</v>
      </c>
      <c r="L146" s="1">
        <v>10.62</v>
      </c>
      <c r="M146" s="5">
        <f t="shared" si="19"/>
        <v>10.62</v>
      </c>
      <c r="N146" s="211">
        <f t="shared" si="20"/>
        <v>42823</v>
      </c>
      <c r="O146" s="1">
        <v>620194</v>
      </c>
      <c r="P146" s="38">
        <f t="shared" si="16"/>
        <v>613836</v>
      </c>
      <c r="Q146" s="225"/>
    </row>
    <row r="147" spans="1:17" s="1" customFormat="1" x14ac:dyDescent="0.25">
      <c r="A147" s="84"/>
      <c r="B147" s="204">
        <v>42814</v>
      </c>
      <c r="C147" s="1">
        <v>114</v>
      </c>
      <c r="D147" s="1">
        <v>3000039218</v>
      </c>
      <c r="E147" s="1" t="s">
        <v>18</v>
      </c>
      <c r="F147" s="16">
        <v>233</v>
      </c>
      <c r="G147" s="213">
        <v>42800</v>
      </c>
      <c r="H147" s="1" t="s">
        <v>863</v>
      </c>
      <c r="I147" s="204">
        <v>42809</v>
      </c>
      <c r="J147" s="1" t="s">
        <v>8</v>
      </c>
      <c r="K147" s="1">
        <v>10.43</v>
      </c>
      <c r="L147" s="1">
        <v>10.43</v>
      </c>
      <c r="M147" s="5">
        <f t="shared" si="19"/>
        <v>10.43</v>
      </c>
      <c r="N147" s="211">
        <f t="shared" si="20"/>
        <v>42823</v>
      </c>
      <c r="O147" s="1">
        <v>598682</v>
      </c>
      <c r="P147" s="38">
        <f t="shared" si="16"/>
        <v>598682</v>
      </c>
      <c r="Q147" s="225"/>
    </row>
    <row r="148" spans="1:17" s="1" customFormat="1" x14ac:dyDescent="0.25">
      <c r="A148" s="84"/>
      <c r="B148" s="204">
        <v>42814</v>
      </c>
      <c r="C148" s="1">
        <v>114</v>
      </c>
      <c r="D148" s="1">
        <v>3000039218</v>
      </c>
      <c r="E148" s="1" t="s">
        <v>18</v>
      </c>
      <c r="F148" s="1">
        <v>234</v>
      </c>
      <c r="G148" s="213">
        <v>42800</v>
      </c>
      <c r="H148" s="1" t="s">
        <v>864</v>
      </c>
      <c r="I148" s="204">
        <v>42809</v>
      </c>
      <c r="J148" s="1" t="s">
        <v>8</v>
      </c>
      <c r="K148" s="1">
        <v>21.68</v>
      </c>
      <c r="L148" s="1">
        <v>21.56</v>
      </c>
      <c r="M148" s="5">
        <f t="shared" si="19"/>
        <v>21.56</v>
      </c>
      <c r="N148" s="211">
        <f t="shared" si="20"/>
        <v>42823</v>
      </c>
      <c r="O148" s="1">
        <v>1244432</v>
      </c>
      <c r="P148" s="38">
        <f t="shared" si="16"/>
        <v>1237544</v>
      </c>
      <c r="Q148" s="225"/>
    </row>
    <row r="149" spans="1:17" s="1" customFormat="1" x14ac:dyDescent="0.25">
      <c r="A149" s="84"/>
      <c r="B149" s="204">
        <v>42814</v>
      </c>
      <c r="C149" s="1">
        <v>114</v>
      </c>
      <c r="D149" s="1">
        <v>3000039173</v>
      </c>
      <c r="E149" s="1" t="s">
        <v>18</v>
      </c>
      <c r="F149" s="1">
        <v>219</v>
      </c>
      <c r="G149" s="213">
        <v>42798</v>
      </c>
      <c r="H149" s="1" t="s">
        <v>861</v>
      </c>
      <c r="I149" s="204">
        <v>42810</v>
      </c>
      <c r="J149" s="1" t="s">
        <v>8</v>
      </c>
      <c r="K149" s="1">
        <v>20.52</v>
      </c>
      <c r="L149" s="1">
        <v>20.32</v>
      </c>
      <c r="M149" s="5">
        <f t="shared" si="19"/>
        <v>20.32</v>
      </c>
      <c r="N149" s="211">
        <f t="shared" si="20"/>
        <v>42824</v>
      </c>
      <c r="O149" s="1">
        <v>1194264</v>
      </c>
      <c r="P149" s="38">
        <f t="shared" si="16"/>
        <v>1182624</v>
      </c>
      <c r="Q149" s="225"/>
    </row>
    <row r="150" spans="1:17" s="1" customFormat="1" x14ac:dyDescent="0.25">
      <c r="A150" s="84"/>
      <c r="B150" s="204">
        <v>42814</v>
      </c>
      <c r="C150" s="1">
        <v>114</v>
      </c>
      <c r="D150" s="1">
        <v>3000039247</v>
      </c>
      <c r="E150" s="1" t="s">
        <v>30</v>
      </c>
      <c r="F150" s="1">
        <v>805</v>
      </c>
      <c r="G150" s="213">
        <v>42805</v>
      </c>
      <c r="H150" s="1" t="s">
        <v>866</v>
      </c>
      <c r="I150" s="204">
        <v>42810</v>
      </c>
      <c r="J150" s="1" t="s">
        <v>229</v>
      </c>
      <c r="K150" s="1">
        <v>29.32</v>
      </c>
      <c r="L150" s="1">
        <v>29.24</v>
      </c>
      <c r="M150" s="5">
        <f t="shared" si="19"/>
        <v>29.24</v>
      </c>
      <c r="N150" s="211">
        <f t="shared" si="20"/>
        <v>42824</v>
      </c>
      <c r="O150" s="1">
        <v>1495320</v>
      </c>
      <c r="P150" s="38">
        <f t="shared" si="16"/>
        <v>1491240</v>
      </c>
      <c r="Q150" s="225"/>
    </row>
    <row r="151" spans="1:17" s="1" customFormat="1" x14ac:dyDescent="0.25">
      <c r="A151" s="84"/>
      <c r="B151" s="204">
        <v>42814</v>
      </c>
      <c r="C151" s="1">
        <v>103</v>
      </c>
      <c r="D151" s="1">
        <v>3000038814</v>
      </c>
      <c r="E151" s="1" t="s">
        <v>199</v>
      </c>
      <c r="F151" s="1">
        <v>5974</v>
      </c>
      <c r="G151" s="213">
        <v>42801</v>
      </c>
      <c r="H151" s="1" t="s">
        <v>867</v>
      </c>
      <c r="I151" s="204">
        <v>42805</v>
      </c>
      <c r="J151" s="1" t="s">
        <v>61</v>
      </c>
      <c r="K151" s="1">
        <v>20.12</v>
      </c>
      <c r="L151" s="1">
        <v>20.059999999999999</v>
      </c>
      <c r="M151" s="5">
        <f t="shared" si="19"/>
        <v>20.059999999999999</v>
      </c>
      <c r="N151" s="211">
        <f>+I151+20-1</f>
        <v>42824</v>
      </c>
      <c r="O151" s="1">
        <v>2708554</v>
      </c>
      <c r="P151" s="38">
        <f t="shared" si="16"/>
        <v>2700476.8011928429</v>
      </c>
      <c r="Q151" s="225"/>
    </row>
    <row r="152" spans="1:17" s="1" customFormat="1" x14ac:dyDescent="0.25">
      <c r="A152" s="84"/>
      <c r="B152" s="204">
        <v>42814</v>
      </c>
      <c r="C152" s="1">
        <v>103</v>
      </c>
      <c r="D152" s="1">
        <v>3000039051</v>
      </c>
      <c r="E152" s="1" t="s">
        <v>621</v>
      </c>
      <c r="F152" s="1">
        <v>165</v>
      </c>
      <c r="G152" s="213">
        <v>42800</v>
      </c>
      <c r="H152" s="1" t="s">
        <v>686</v>
      </c>
      <c r="I152" s="204">
        <v>42805</v>
      </c>
      <c r="J152" s="1" t="s">
        <v>16</v>
      </c>
      <c r="K152" s="1">
        <v>19.920000000000002</v>
      </c>
      <c r="L152" s="1">
        <v>19.88</v>
      </c>
      <c r="M152" s="5">
        <f t="shared" si="19"/>
        <v>19.88</v>
      </c>
      <c r="N152" s="211">
        <f>+I152+20-1</f>
        <v>42824</v>
      </c>
      <c r="O152" s="1">
        <v>1126725</v>
      </c>
      <c r="P152" s="38">
        <f t="shared" si="16"/>
        <v>1124462.4999999998</v>
      </c>
      <c r="Q152" s="225"/>
    </row>
    <row r="153" spans="1:17" s="1" customFormat="1" x14ac:dyDescent="0.25">
      <c r="A153" s="84"/>
      <c r="B153" s="204">
        <v>42814</v>
      </c>
      <c r="C153" s="1">
        <v>114</v>
      </c>
      <c r="D153" s="1">
        <v>3000039521</v>
      </c>
      <c r="E153" s="1" t="s">
        <v>621</v>
      </c>
      <c r="F153" s="16" t="s">
        <v>879</v>
      </c>
      <c r="G153" s="213">
        <v>42814</v>
      </c>
      <c r="H153" s="1" t="s">
        <v>880</v>
      </c>
      <c r="I153" s="204">
        <v>42810</v>
      </c>
      <c r="J153" s="1" t="s">
        <v>16</v>
      </c>
      <c r="M153" s="5">
        <f t="shared" si="19"/>
        <v>0</v>
      </c>
      <c r="N153" s="211">
        <f>+I153+15-1</f>
        <v>42824</v>
      </c>
      <c r="O153" s="1">
        <v>6827</v>
      </c>
      <c r="P153" s="38"/>
      <c r="Q153" s="225"/>
    </row>
    <row r="154" spans="1:17" s="1" customFormat="1" x14ac:dyDescent="0.25">
      <c r="A154" s="84"/>
      <c r="B154" s="204">
        <v>42814</v>
      </c>
      <c r="C154" s="1">
        <v>114</v>
      </c>
      <c r="D154" s="1">
        <v>3000039521</v>
      </c>
      <c r="E154" s="1" t="s">
        <v>621</v>
      </c>
      <c r="F154" s="16">
        <v>367</v>
      </c>
      <c r="G154" s="213">
        <v>42802</v>
      </c>
      <c r="H154" s="1" t="s">
        <v>880</v>
      </c>
      <c r="I154" s="204">
        <v>42810</v>
      </c>
      <c r="J154" s="1" t="s">
        <v>16</v>
      </c>
      <c r="K154" s="1">
        <v>21.175000000000001</v>
      </c>
      <c r="L154" s="1">
        <v>21.07</v>
      </c>
      <c r="M154" s="5">
        <f t="shared" si="19"/>
        <v>21.07</v>
      </c>
      <c r="N154" s="211">
        <f>+I154+15-1</f>
        <v>42824</v>
      </c>
      <c r="O154" s="1">
        <v>1160390</v>
      </c>
      <c r="P154" s="38">
        <f>(+O154/K154*M154)-6827</f>
        <v>1147809</v>
      </c>
      <c r="Q154" s="225"/>
    </row>
    <row r="155" spans="1:17" s="1" customFormat="1" x14ac:dyDescent="0.25">
      <c r="A155" s="84"/>
      <c r="B155" s="204">
        <v>42817</v>
      </c>
      <c r="C155" s="1">
        <v>114</v>
      </c>
      <c r="D155" s="1">
        <v>3000039215</v>
      </c>
      <c r="E155" s="1" t="s">
        <v>348</v>
      </c>
      <c r="F155" s="1">
        <v>349</v>
      </c>
      <c r="G155" s="213">
        <v>42801</v>
      </c>
      <c r="H155" s="1" t="s">
        <v>906</v>
      </c>
      <c r="I155" s="204">
        <v>42810</v>
      </c>
      <c r="J155" s="1" t="s">
        <v>8</v>
      </c>
      <c r="K155" s="1">
        <v>27.76</v>
      </c>
      <c r="L155" s="1">
        <v>27.62</v>
      </c>
      <c r="M155" s="5">
        <f t="shared" si="19"/>
        <v>27.62</v>
      </c>
      <c r="N155" s="211">
        <f>+I155+15-1</f>
        <v>42824</v>
      </c>
      <c r="O155" s="1">
        <v>1593424</v>
      </c>
      <c r="P155" s="38">
        <f>(+O155/K155*M155)</f>
        <v>1585388</v>
      </c>
      <c r="Q155" s="225"/>
    </row>
    <row r="156" spans="1:17" s="1" customFormat="1" x14ac:dyDescent="0.25">
      <c r="A156" s="84"/>
      <c r="B156" s="204">
        <v>42824</v>
      </c>
      <c r="C156" s="1">
        <v>116</v>
      </c>
      <c r="D156" s="1">
        <v>3000038819</v>
      </c>
      <c r="E156" s="1" t="s">
        <v>898</v>
      </c>
      <c r="F156" s="1">
        <v>62867567</v>
      </c>
      <c r="G156" s="213">
        <v>42815</v>
      </c>
      <c r="H156" s="1" t="s">
        <v>900</v>
      </c>
      <c r="I156" s="204">
        <v>42815</v>
      </c>
      <c r="J156" s="1" t="s">
        <v>16</v>
      </c>
      <c r="K156" s="1">
        <v>19.79</v>
      </c>
      <c r="L156" s="1">
        <v>19.79</v>
      </c>
      <c r="M156" s="5">
        <f t="shared" si="19"/>
        <v>19.79</v>
      </c>
      <c r="N156" s="211">
        <f>+I156+10-1</f>
        <v>42824</v>
      </c>
      <c r="O156" s="1">
        <v>1000826</v>
      </c>
      <c r="P156" s="38">
        <f>(+O156/K156*M156)-48885</f>
        <v>951941.00000000012</v>
      </c>
      <c r="Q156" s="316" t="s">
        <v>940</v>
      </c>
    </row>
    <row r="157" spans="1:17" s="1" customFormat="1" x14ac:dyDescent="0.25">
      <c r="A157" s="84"/>
      <c r="B157" s="204">
        <v>42817</v>
      </c>
      <c r="C157" s="1">
        <v>103</v>
      </c>
      <c r="D157" s="1">
        <v>3000039876</v>
      </c>
      <c r="E157" s="1" t="s">
        <v>25</v>
      </c>
      <c r="F157" s="16" t="s">
        <v>891</v>
      </c>
      <c r="G157" s="213">
        <v>42815</v>
      </c>
      <c r="H157" s="1" t="s">
        <v>892</v>
      </c>
      <c r="I157" s="204">
        <v>42811</v>
      </c>
      <c r="J157" s="1" t="s">
        <v>8</v>
      </c>
      <c r="M157" s="5">
        <f t="shared" si="19"/>
        <v>0</v>
      </c>
      <c r="N157" s="211">
        <f t="shared" ref="N157:N165" si="21">+I157+15-1</f>
        <v>42825</v>
      </c>
      <c r="O157" s="1">
        <v>4018</v>
      </c>
      <c r="P157" s="38"/>
      <c r="Q157" s="225"/>
    </row>
    <row r="158" spans="1:17" s="1" customFormat="1" x14ac:dyDescent="0.25">
      <c r="A158" s="84"/>
      <c r="B158" s="204">
        <v>42817</v>
      </c>
      <c r="C158" s="1">
        <v>103</v>
      </c>
      <c r="D158" s="1">
        <v>3000039876</v>
      </c>
      <c r="E158" s="1" t="s">
        <v>25</v>
      </c>
      <c r="F158" s="16" t="s">
        <v>893</v>
      </c>
      <c r="G158" s="213">
        <v>42805</v>
      </c>
      <c r="H158" s="1" t="s">
        <v>892</v>
      </c>
      <c r="I158" s="204">
        <v>42811</v>
      </c>
      <c r="J158" s="1" t="s">
        <v>8</v>
      </c>
      <c r="K158" s="1">
        <v>26.79</v>
      </c>
      <c r="L158" s="1">
        <v>26.79</v>
      </c>
      <c r="M158" s="5">
        <f t="shared" si="19"/>
        <v>26.79</v>
      </c>
      <c r="N158" s="211">
        <f t="shared" si="21"/>
        <v>42825</v>
      </c>
      <c r="O158" s="1">
        <v>1684421</v>
      </c>
      <c r="P158" s="38">
        <f>(+O158/K158*M158)-4018</f>
        <v>1680403</v>
      </c>
      <c r="Q158" s="225"/>
    </row>
    <row r="159" spans="1:17" s="1" customFormat="1" x14ac:dyDescent="0.25">
      <c r="A159" s="84"/>
      <c r="B159" s="204">
        <v>42817</v>
      </c>
      <c r="C159" s="1">
        <v>103</v>
      </c>
      <c r="D159" s="1">
        <v>3000039876</v>
      </c>
      <c r="E159" s="1" t="s">
        <v>25</v>
      </c>
      <c r="F159" s="16" t="s">
        <v>891</v>
      </c>
      <c r="G159" s="213">
        <v>42815</v>
      </c>
      <c r="H159" s="1" t="s">
        <v>894</v>
      </c>
      <c r="I159" s="204">
        <v>42811</v>
      </c>
      <c r="J159" s="1" t="s">
        <v>8</v>
      </c>
      <c r="M159" s="5">
        <f t="shared" si="19"/>
        <v>0</v>
      </c>
      <c r="N159" s="211">
        <f t="shared" si="21"/>
        <v>42825</v>
      </c>
      <c r="O159" s="1">
        <v>4020</v>
      </c>
      <c r="P159" s="38"/>
      <c r="Q159" s="225"/>
    </row>
    <row r="160" spans="1:17" s="1" customFormat="1" x14ac:dyDescent="0.25">
      <c r="A160" s="84"/>
      <c r="B160" s="204">
        <v>42817</v>
      </c>
      <c r="C160" s="1">
        <v>103</v>
      </c>
      <c r="D160" s="1">
        <v>3000039876</v>
      </c>
      <c r="E160" s="1" t="s">
        <v>25</v>
      </c>
      <c r="F160" s="16" t="s">
        <v>895</v>
      </c>
      <c r="G160" s="213">
        <v>42805</v>
      </c>
      <c r="H160" s="1" t="s">
        <v>894</v>
      </c>
      <c r="I160" s="204">
        <v>42811</v>
      </c>
      <c r="J160" s="1" t="s">
        <v>8</v>
      </c>
      <c r="K160" s="1">
        <v>26.84</v>
      </c>
      <c r="L160" s="1">
        <v>26.8</v>
      </c>
      <c r="M160" s="5">
        <f t="shared" si="19"/>
        <v>26.8</v>
      </c>
      <c r="N160" s="211">
        <f t="shared" si="21"/>
        <v>42825</v>
      </c>
      <c r="O160" s="1">
        <v>1687567</v>
      </c>
      <c r="P160" s="38">
        <f>(+O160/K160*M160)-4020</f>
        <v>1681031.9970193743</v>
      </c>
      <c r="Q160" s="225"/>
    </row>
    <row r="161" spans="1:17" s="1" customFormat="1" x14ac:dyDescent="0.25">
      <c r="A161" s="84"/>
      <c r="B161" s="204">
        <v>42817</v>
      </c>
      <c r="C161" s="1">
        <v>103</v>
      </c>
      <c r="D161" s="1">
        <v>3000039716</v>
      </c>
      <c r="E161" s="1" t="s">
        <v>621</v>
      </c>
      <c r="F161" s="1">
        <v>166</v>
      </c>
      <c r="G161" s="213">
        <v>42800</v>
      </c>
      <c r="H161" s="1" t="s">
        <v>901</v>
      </c>
      <c r="I161" s="204">
        <v>42811</v>
      </c>
      <c r="J161" s="1" t="s">
        <v>16</v>
      </c>
      <c r="K161" s="1">
        <v>21.95</v>
      </c>
      <c r="L161" s="1">
        <v>21.92</v>
      </c>
      <c r="M161" s="5">
        <f t="shared" si="19"/>
        <v>21.92</v>
      </c>
      <c r="N161" s="211">
        <f t="shared" si="21"/>
        <v>42825</v>
      </c>
      <c r="O161" s="1">
        <v>1241547</v>
      </c>
      <c r="P161" s="38">
        <f t="shared" ref="P161:P192" si="22">(+O161/K161*M161)</f>
        <v>1239850.1248291573</v>
      </c>
      <c r="Q161" s="225"/>
    </row>
    <row r="162" spans="1:17" s="1" customFormat="1" x14ac:dyDescent="0.25">
      <c r="A162" s="84"/>
      <c r="B162" s="204">
        <v>42817</v>
      </c>
      <c r="C162" s="1">
        <v>114</v>
      </c>
      <c r="D162" s="1">
        <v>3000039057</v>
      </c>
      <c r="E162" s="1" t="s">
        <v>621</v>
      </c>
      <c r="F162" s="1">
        <v>988</v>
      </c>
      <c r="G162" s="213">
        <v>42794</v>
      </c>
      <c r="H162" s="1" t="s">
        <v>902</v>
      </c>
      <c r="I162" s="204">
        <v>42811</v>
      </c>
      <c r="J162" s="1" t="s">
        <v>8</v>
      </c>
      <c r="K162" s="1">
        <v>28.25</v>
      </c>
      <c r="L162" s="1">
        <v>28.2</v>
      </c>
      <c r="M162" s="5">
        <f t="shared" si="19"/>
        <v>28.2</v>
      </c>
      <c r="N162" s="211">
        <f t="shared" si="21"/>
        <v>42825</v>
      </c>
      <c r="O162" s="1">
        <v>1652625</v>
      </c>
      <c r="P162" s="38">
        <f t="shared" si="22"/>
        <v>1649700</v>
      </c>
      <c r="Q162" s="225"/>
    </row>
    <row r="163" spans="1:17" s="1" customFormat="1" x14ac:dyDescent="0.25">
      <c r="A163" s="84"/>
      <c r="B163" s="204">
        <v>42817</v>
      </c>
      <c r="C163" s="1">
        <v>114</v>
      </c>
      <c r="D163" s="1">
        <v>3000039059</v>
      </c>
      <c r="E163" s="1" t="s">
        <v>18</v>
      </c>
      <c r="F163" s="16">
        <v>218</v>
      </c>
      <c r="G163" s="213">
        <v>42798</v>
      </c>
      <c r="H163" s="1" t="s">
        <v>909</v>
      </c>
      <c r="I163" s="204">
        <v>42811</v>
      </c>
      <c r="J163" s="1" t="s">
        <v>8</v>
      </c>
      <c r="K163" s="1">
        <v>3.68</v>
      </c>
      <c r="L163" s="1">
        <v>3.42</v>
      </c>
      <c r="M163" s="5">
        <f t="shared" si="19"/>
        <v>3.42</v>
      </c>
      <c r="N163" s="211">
        <f t="shared" si="21"/>
        <v>42825</v>
      </c>
      <c r="O163" s="1">
        <v>215280</v>
      </c>
      <c r="P163" s="38">
        <f t="shared" si="22"/>
        <v>200070</v>
      </c>
      <c r="Q163" s="225"/>
    </row>
    <row r="164" spans="1:17" s="1" customFormat="1" x14ac:dyDescent="0.25">
      <c r="A164" s="84"/>
      <c r="B164" s="204">
        <v>42817</v>
      </c>
      <c r="C164" s="1">
        <v>114</v>
      </c>
      <c r="D164" s="1">
        <v>3000039173</v>
      </c>
      <c r="E164" s="1" t="s">
        <v>18</v>
      </c>
      <c r="F164" s="16">
        <v>218</v>
      </c>
      <c r="G164" s="213">
        <v>42798</v>
      </c>
      <c r="H164" s="1" t="s">
        <v>909</v>
      </c>
      <c r="I164" s="204">
        <v>42811</v>
      </c>
      <c r="J164" s="1" t="s">
        <v>8</v>
      </c>
      <c r="K164" s="1">
        <v>19</v>
      </c>
      <c r="L164" s="1">
        <v>19</v>
      </c>
      <c r="M164" s="5">
        <f t="shared" si="19"/>
        <v>19</v>
      </c>
      <c r="N164" s="211">
        <f t="shared" si="21"/>
        <v>42825</v>
      </c>
      <c r="O164" s="1">
        <v>1105800</v>
      </c>
      <c r="P164" s="38">
        <f t="shared" si="22"/>
        <v>1105800</v>
      </c>
      <c r="Q164" s="225"/>
    </row>
    <row r="165" spans="1:17" s="1" customFormat="1" x14ac:dyDescent="0.25">
      <c r="A165" s="84"/>
      <c r="B165" s="204">
        <v>42817</v>
      </c>
      <c r="C165" s="1">
        <v>114</v>
      </c>
      <c r="D165" s="1">
        <v>3000039247</v>
      </c>
      <c r="E165" s="1" t="s">
        <v>30</v>
      </c>
      <c r="F165" s="1">
        <v>807</v>
      </c>
      <c r="G165" s="213">
        <v>42805</v>
      </c>
      <c r="H165" s="1" t="s">
        <v>642</v>
      </c>
      <c r="I165" s="204">
        <v>42811</v>
      </c>
      <c r="J165" s="1" t="s">
        <v>229</v>
      </c>
      <c r="K165" s="1">
        <v>28.15</v>
      </c>
      <c r="L165" s="1">
        <v>28.06</v>
      </c>
      <c r="M165" s="5">
        <f t="shared" si="19"/>
        <v>28.06</v>
      </c>
      <c r="N165" s="211">
        <f t="shared" si="21"/>
        <v>42825</v>
      </c>
      <c r="O165" s="1">
        <v>1435650</v>
      </c>
      <c r="P165" s="38">
        <f t="shared" si="22"/>
        <v>1431060</v>
      </c>
      <c r="Q165" s="225"/>
    </row>
    <row r="166" spans="1:17" s="1" customFormat="1" x14ac:dyDescent="0.25">
      <c r="A166" s="84"/>
      <c r="B166" s="204">
        <v>42814</v>
      </c>
      <c r="C166" s="1">
        <v>103</v>
      </c>
      <c r="D166" s="1">
        <v>3000039716</v>
      </c>
      <c r="E166" s="1" t="s">
        <v>621</v>
      </c>
      <c r="F166" s="1">
        <v>169</v>
      </c>
      <c r="G166" s="213">
        <v>42803</v>
      </c>
      <c r="H166" s="1" t="s">
        <v>484</v>
      </c>
      <c r="I166" s="204">
        <v>42807</v>
      </c>
      <c r="J166" s="1" t="s">
        <v>16</v>
      </c>
      <c r="K166" s="1">
        <v>20.48</v>
      </c>
      <c r="L166" s="1">
        <v>20.45</v>
      </c>
      <c r="M166" s="5">
        <f t="shared" si="19"/>
        <v>20.45</v>
      </c>
      <c r="N166" s="211">
        <f>+I166+20-1</f>
        <v>42826</v>
      </c>
      <c r="O166" s="1">
        <v>1158400</v>
      </c>
      <c r="P166" s="38">
        <f t="shared" si="22"/>
        <v>1156703.125</v>
      </c>
      <c r="Q166" s="225"/>
    </row>
    <row r="167" spans="1:17" s="1" customFormat="1" x14ac:dyDescent="0.25">
      <c r="A167" s="84"/>
      <c r="B167" s="204">
        <v>42814</v>
      </c>
      <c r="C167" s="1">
        <v>103</v>
      </c>
      <c r="D167" s="1">
        <v>3000039716</v>
      </c>
      <c r="E167" s="1" t="s">
        <v>621</v>
      </c>
      <c r="F167" s="1">
        <v>167</v>
      </c>
      <c r="G167" s="213">
        <v>42801</v>
      </c>
      <c r="H167" s="1" t="s">
        <v>868</v>
      </c>
      <c r="I167" s="204">
        <v>42807</v>
      </c>
      <c r="J167" s="1" t="s">
        <v>16</v>
      </c>
      <c r="K167" s="1">
        <v>20.77</v>
      </c>
      <c r="L167" s="1">
        <v>20.74</v>
      </c>
      <c r="M167" s="5">
        <f t="shared" si="19"/>
        <v>20.74</v>
      </c>
      <c r="N167" s="211">
        <f>+I167+20-1</f>
        <v>42826</v>
      </c>
      <c r="O167" s="1">
        <v>1174803</v>
      </c>
      <c r="P167" s="38">
        <f t="shared" si="22"/>
        <v>1173106.1251805488</v>
      </c>
      <c r="Q167" s="225"/>
    </row>
    <row r="168" spans="1:17" s="1" customFormat="1" x14ac:dyDescent="0.25">
      <c r="A168" s="84"/>
      <c r="B168" s="204">
        <v>42814</v>
      </c>
      <c r="C168" s="1">
        <v>103</v>
      </c>
      <c r="D168" s="1">
        <v>3000039716</v>
      </c>
      <c r="E168" s="1" t="s">
        <v>621</v>
      </c>
      <c r="F168" s="1">
        <v>168</v>
      </c>
      <c r="G168" s="213">
        <v>42801</v>
      </c>
      <c r="H168" s="1" t="s">
        <v>869</v>
      </c>
      <c r="I168" s="204">
        <v>42807</v>
      </c>
      <c r="J168" s="1" t="s">
        <v>16</v>
      </c>
      <c r="K168" s="1">
        <v>25.7</v>
      </c>
      <c r="L168" s="1">
        <v>25.98</v>
      </c>
      <c r="M168" s="5">
        <f t="shared" si="19"/>
        <v>25.7</v>
      </c>
      <c r="N168" s="211">
        <f>+I168+20-1</f>
        <v>42826</v>
      </c>
      <c r="O168" s="1">
        <v>1455263</v>
      </c>
      <c r="P168" s="38">
        <f t="shared" si="22"/>
        <v>1455263</v>
      </c>
      <c r="Q168" s="225"/>
    </row>
    <row r="169" spans="1:17" s="1" customFormat="1" x14ac:dyDescent="0.25">
      <c r="A169" s="84"/>
      <c r="B169" s="204">
        <v>42814</v>
      </c>
      <c r="C169" s="1">
        <v>103</v>
      </c>
      <c r="D169" s="1">
        <v>3000039362</v>
      </c>
      <c r="E169" s="1" t="s">
        <v>348</v>
      </c>
      <c r="F169" s="1">
        <v>248</v>
      </c>
      <c r="G169" s="213">
        <v>42804</v>
      </c>
      <c r="H169" s="1" t="s">
        <v>444</v>
      </c>
      <c r="I169" s="204">
        <v>42807</v>
      </c>
      <c r="J169" s="1" t="s">
        <v>16</v>
      </c>
      <c r="K169" s="1">
        <v>19.89</v>
      </c>
      <c r="L169" s="1">
        <v>19.86</v>
      </c>
      <c r="M169" s="5">
        <f t="shared" si="19"/>
        <v>19.86</v>
      </c>
      <c r="N169" s="211">
        <f>+I169+20-1</f>
        <v>42826</v>
      </c>
      <c r="O169" s="1">
        <v>1130001</v>
      </c>
      <c r="P169" s="38">
        <f t="shared" si="22"/>
        <v>1128296.6244343889</v>
      </c>
      <c r="Q169" s="225"/>
    </row>
    <row r="170" spans="1:17" s="1" customFormat="1" x14ac:dyDescent="0.25">
      <c r="A170" s="84"/>
      <c r="B170" s="204">
        <v>42814</v>
      </c>
      <c r="C170" s="1">
        <v>103</v>
      </c>
      <c r="D170" s="1">
        <v>3000039362</v>
      </c>
      <c r="E170" s="1" t="s">
        <v>348</v>
      </c>
      <c r="F170" s="1">
        <v>247</v>
      </c>
      <c r="G170" s="213">
        <v>42804</v>
      </c>
      <c r="H170" s="1" t="s">
        <v>870</v>
      </c>
      <c r="I170" s="204">
        <v>42807</v>
      </c>
      <c r="J170" s="1" t="s">
        <v>16</v>
      </c>
      <c r="K170" s="1">
        <v>18.89</v>
      </c>
      <c r="L170" s="1">
        <v>18.850000000000001</v>
      </c>
      <c r="M170" s="5">
        <f t="shared" ref="M170:M201" si="23">IF(L170&gt;K170,K170,L170)</f>
        <v>18.850000000000001</v>
      </c>
      <c r="N170" s="211">
        <f>+I170+20-1</f>
        <v>42826</v>
      </c>
      <c r="O170" s="1">
        <v>1073186</v>
      </c>
      <c r="P170" s="38">
        <f t="shared" si="22"/>
        <v>1070913.5044997353</v>
      </c>
      <c r="Q170" s="225"/>
    </row>
    <row r="171" spans="1:17" s="1" customFormat="1" x14ac:dyDescent="0.25">
      <c r="A171" s="84"/>
      <c r="B171" s="204">
        <v>42817</v>
      </c>
      <c r="C171" s="1">
        <v>103</v>
      </c>
      <c r="D171" s="1">
        <v>3000039877</v>
      </c>
      <c r="E171" s="1" t="s">
        <v>25</v>
      </c>
      <c r="F171" s="5" t="s">
        <v>896</v>
      </c>
      <c r="G171" s="213">
        <v>42806</v>
      </c>
      <c r="H171" s="1" t="s">
        <v>897</v>
      </c>
      <c r="I171" s="204">
        <v>42812</v>
      </c>
      <c r="J171" s="1" t="s">
        <v>8</v>
      </c>
      <c r="K171" s="1">
        <v>25.73</v>
      </c>
      <c r="L171" s="1">
        <v>25.64</v>
      </c>
      <c r="M171" s="5">
        <f t="shared" si="23"/>
        <v>25.64</v>
      </c>
      <c r="N171" s="211">
        <f>+I171+15-1</f>
        <v>42826</v>
      </c>
      <c r="O171" s="1">
        <v>1617774</v>
      </c>
      <c r="P171" s="38">
        <f t="shared" si="22"/>
        <v>1612115.2491255344</v>
      </c>
      <c r="Q171" s="225"/>
    </row>
    <row r="172" spans="1:17" s="1" customFormat="1" x14ac:dyDescent="0.25">
      <c r="A172" s="84"/>
      <c r="B172" s="204">
        <v>42817</v>
      </c>
      <c r="C172" s="1">
        <v>114</v>
      </c>
      <c r="D172" s="1">
        <v>3000039173</v>
      </c>
      <c r="E172" s="1" t="s">
        <v>18</v>
      </c>
      <c r="F172" s="1">
        <v>220</v>
      </c>
      <c r="G172" s="213">
        <v>42798</v>
      </c>
      <c r="H172" s="1" t="s">
        <v>910</v>
      </c>
      <c r="I172" s="204">
        <v>42812</v>
      </c>
      <c r="J172" s="1" t="s">
        <v>8</v>
      </c>
      <c r="K172" s="1">
        <v>30.15</v>
      </c>
      <c r="L172" s="1">
        <v>29.92</v>
      </c>
      <c r="M172" s="5">
        <f t="shared" si="23"/>
        <v>29.92</v>
      </c>
      <c r="N172" s="211">
        <f>+I172+15-1</f>
        <v>42826</v>
      </c>
      <c r="O172" s="1">
        <v>1754730</v>
      </c>
      <c r="P172" s="38">
        <f t="shared" si="22"/>
        <v>1741344</v>
      </c>
      <c r="Q172" s="225"/>
    </row>
    <row r="173" spans="1:17" s="1" customFormat="1" x14ac:dyDescent="0.25">
      <c r="A173" s="84"/>
      <c r="B173" s="204">
        <v>42817</v>
      </c>
      <c r="C173" s="1">
        <v>114</v>
      </c>
      <c r="D173" s="1">
        <v>3000039247</v>
      </c>
      <c r="E173" s="1" t="s">
        <v>30</v>
      </c>
      <c r="F173" s="1">
        <v>809</v>
      </c>
      <c r="G173" s="213">
        <v>42805</v>
      </c>
      <c r="H173" s="1" t="s">
        <v>824</v>
      </c>
      <c r="I173" s="204">
        <v>42812</v>
      </c>
      <c r="J173" s="1" t="s">
        <v>229</v>
      </c>
      <c r="K173" s="1">
        <v>29.43</v>
      </c>
      <c r="L173" s="1">
        <v>29.33</v>
      </c>
      <c r="M173" s="5">
        <f t="shared" si="23"/>
        <v>29.33</v>
      </c>
      <c r="N173" s="211">
        <f>+I173+15-1</f>
        <v>42826</v>
      </c>
      <c r="O173" s="1">
        <v>1500930</v>
      </c>
      <c r="P173" s="38">
        <f t="shared" si="22"/>
        <v>1495830</v>
      </c>
      <c r="Q173" s="225"/>
    </row>
    <row r="174" spans="1:17" s="1" customFormat="1" x14ac:dyDescent="0.25">
      <c r="A174" s="84"/>
      <c r="B174" s="204">
        <v>42817</v>
      </c>
      <c r="C174" s="1">
        <v>114</v>
      </c>
      <c r="D174" s="1">
        <v>3000039247</v>
      </c>
      <c r="E174" s="1" t="s">
        <v>30</v>
      </c>
      <c r="F174" s="1">
        <v>814</v>
      </c>
      <c r="G174" s="213">
        <v>42808</v>
      </c>
      <c r="H174" s="1" t="s">
        <v>865</v>
      </c>
      <c r="I174" s="204">
        <v>42812</v>
      </c>
      <c r="J174" s="1" t="s">
        <v>229</v>
      </c>
      <c r="K174" s="1">
        <v>30.05</v>
      </c>
      <c r="L174" s="1">
        <v>29.96</v>
      </c>
      <c r="M174" s="5">
        <f t="shared" si="23"/>
        <v>29.96</v>
      </c>
      <c r="N174" s="211">
        <f>+I174+15-1</f>
        <v>42826</v>
      </c>
      <c r="O174" s="1">
        <v>1532550</v>
      </c>
      <c r="P174" s="38">
        <f t="shared" si="22"/>
        <v>1527960</v>
      </c>
      <c r="Q174" s="225"/>
    </row>
    <row r="175" spans="1:17" s="1" customFormat="1" x14ac:dyDescent="0.25">
      <c r="A175" s="84"/>
      <c r="B175" s="204">
        <v>42824</v>
      </c>
      <c r="C175" s="1">
        <v>116</v>
      </c>
      <c r="D175" s="1">
        <v>3000038819</v>
      </c>
      <c r="E175" s="1" t="s">
        <v>898</v>
      </c>
      <c r="F175" s="1">
        <v>62867642</v>
      </c>
      <c r="G175" s="213">
        <v>42817</v>
      </c>
      <c r="H175" s="1" t="s">
        <v>900</v>
      </c>
      <c r="I175" s="204">
        <v>42817</v>
      </c>
      <c r="J175" s="1" t="s">
        <v>16</v>
      </c>
      <c r="K175" s="1">
        <v>19.84</v>
      </c>
      <c r="L175" s="1">
        <v>19.84</v>
      </c>
      <c r="M175" s="5">
        <f t="shared" si="23"/>
        <v>19.84</v>
      </c>
      <c r="N175" s="211">
        <f>+I175+10-1</f>
        <v>42826</v>
      </c>
      <c r="O175" s="1">
        <v>1101492</v>
      </c>
      <c r="P175" s="38">
        <f t="shared" si="22"/>
        <v>1101492</v>
      </c>
      <c r="Q175" s="225"/>
    </row>
    <row r="176" spans="1:17" s="1" customFormat="1" x14ac:dyDescent="0.25">
      <c r="A176" s="84"/>
      <c r="B176" s="204">
        <v>42817</v>
      </c>
      <c r="C176" s="1">
        <v>114</v>
      </c>
      <c r="D176" s="1">
        <v>3000037986</v>
      </c>
      <c r="E176" s="63" t="s">
        <v>36</v>
      </c>
      <c r="F176" s="1">
        <v>1363</v>
      </c>
      <c r="G176" s="213">
        <v>42803</v>
      </c>
      <c r="H176" s="1" t="s">
        <v>903</v>
      </c>
      <c r="I176" s="204">
        <v>42813</v>
      </c>
      <c r="J176" s="1" t="s">
        <v>16</v>
      </c>
      <c r="K176" s="1">
        <v>15.58</v>
      </c>
      <c r="L176" s="1">
        <v>15.48</v>
      </c>
      <c r="M176" s="5">
        <f t="shared" si="23"/>
        <v>15.48</v>
      </c>
      <c r="N176" s="211">
        <f t="shared" ref="N176:N184" si="24">+I176+15-1</f>
        <v>42827</v>
      </c>
      <c r="O176" s="1">
        <v>877933</v>
      </c>
      <c r="P176" s="38">
        <f t="shared" si="22"/>
        <v>872298</v>
      </c>
      <c r="Q176" s="225"/>
    </row>
    <row r="177" spans="1:24" s="1" customFormat="1" x14ac:dyDescent="0.25">
      <c r="A177" s="84"/>
      <c r="B177" s="204">
        <v>42817</v>
      </c>
      <c r="C177" s="1">
        <v>114</v>
      </c>
      <c r="D177" s="1">
        <v>3000039523</v>
      </c>
      <c r="E177" s="1" t="s">
        <v>36</v>
      </c>
      <c r="F177" s="1">
        <v>1364</v>
      </c>
      <c r="G177" s="213">
        <v>42803</v>
      </c>
      <c r="H177" s="1" t="s">
        <v>903</v>
      </c>
      <c r="I177" s="204">
        <v>42813</v>
      </c>
      <c r="J177" s="1" t="s">
        <v>16</v>
      </c>
      <c r="K177" s="1">
        <v>12</v>
      </c>
      <c r="L177" s="1">
        <v>12</v>
      </c>
      <c r="M177" s="5">
        <f t="shared" si="23"/>
        <v>12</v>
      </c>
      <c r="N177" s="211">
        <f t="shared" si="24"/>
        <v>42827</v>
      </c>
      <c r="O177" s="1">
        <v>657600</v>
      </c>
      <c r="P177" s="38">
        <f t="shared" si="22"/>
        <v>657600</v>
      </c>
      <c r="Q177" s="225"/>
    </row>
    <row r="178" spans="1:24" s="1" customFormat="1" x14ac:dyDescent="0.25">
      <c r="A178" s="84"/>
      <c r="B178" s="204">
        <v>42817</v>
      </c>
      <c r="C178" s="1">
        <v>114</v>
      </c>
      <c r="D178" s="1">
        <v>3000039060</v>
      </c>
      <c r="E178" s="1" t="s">
        <v>138</v>
      </c>
      <c r="F178" s="1">
        <v>9159</v>
      </c>
      <c r="G178" s="213">
        <v>42806</v>
      </c>
      <c r="H178" s="1" t="s">
        <v>904</v>
      </c>
      <c r="I178" s="204">
        <v>42813</v>
      </c>
      <c r="J178" s="1" t="s">
        <v>8</v>
      </c>
      <c r="K178" s="1">
        <v>30.68</v>
      </c>
      <c r="L178" s="1">
        <v>30.47</v>
      </c>
      <c r="M178" s="5">
        <f t="shared" si="23"/>
        <v>30.47</v>
      </c>
      <c r="N178" s="211">
        <f t="shared" si="24"/>
        <v>42827</v>
      </c>
      <c r="O178" s="1">
        <v>1794780</v>
      </c>
      <c r="P178" s="38">
        <f t="shared" si="22"/>
        <v>1782495</v>
      </c>
      <c r="Q178" s="225"/>
    </row>
    <row r="179" spans="1:24" s="1" customFormat="1" x14ac:dyDescent="0.25">
      <c r="A179" s="84"/>
      <c r="B179" s="204">
        <v>42817</v>
      </c>
      <c r="C179" s="1">
        <v>114</v>
      </c>
      <c r="D179" s="1">
        <v>3000035703</v>
      </c>
      <c r="E179" s="1" t="s">
        <v>599</v>
      </c>
      <c r="F179" s="5">
        <v>3395</v>
      </c>
      <c r="G179" s="213">
        <v>42808</v>
      </c>
      <c r="H179" s="1" t="s">
        <v>905</v>
      </c>
      <c r="I179" s="204">
        <v>42813</v>
      </c>
      <c r="J179" s="1" t="s">
        <v>8</v>
      </c>
      <c r="K179" s="1">
        <v>22.35</v>
      </c>
      <c r="L179" s="1">
        <v>22.35</v>
      </c>
      <c r="M179" s="5">
        <f t="shared" si="23"/>
        <v>22.35</v>
      </c>
      <c r="N179" s="211">
        <f t="shared" si="24"/>
        <v>42827</v>
      </c>
      <c r="O179" s="1">
        <v>1240425</v>
      </c>
      <c r="P179" s="38">
        <f t="shared" si="22"/>
        <v>1240425</v>
      </c>
      <c r="Q179" s="225"/>
    </row>
    <row r="180" spans="1:24" s="1" customFormat="1" x14ac:dyDescent="0.25">
      <c r="A180" s="84"/>
      <c r="B180" s="204">
        <v>42817</v>
      </c>
      <c r="C180" s="1">
        <v>114</v>
      </c>
      <c r="D180" s="1">
        <v>3000035905</v>
      </c>
      <c r="E180" s="1" t="s">
        <v>599</v>
      </c>
      <c r="F180" s="5">
        <v>3395</v>
      </c>
      <c r="G180" s="213">
        <v>42808</v>
      </c>
      <c r="H180" s="1" t="s">
        <v>905</v>
      </c>
      <c r="I180" s="204">
        <v>42813</v>
      </c>
      <c r="J180" s="1" t="s">
        <v>8</v>
      </c>
      <c r="K180" s="1">
        <v>6.5</v>
      </c>
      <c r="L180" s="1">
        <v>6.36</v>
      </c>
      <c r="M180" s="5">
        <f t="shared" si="23"/>
        <v>6.36</v>
      </c>
      <c r="N180" s="211">
        <f t="shared" si="24"/>
        <v>42827</v>
      </c>
      <c r="O180" s="1">
        <v>364000</v>
      </c>
      <c r="P180" s="38">
        <f t="shared" si="22"/>
        <v>356160</v>
      </c>
      <c r="Q180" s="225"/>
    </row>
    <row r="181" spans="1:24" s="1" customFormat="1" x14ac:dyDescent="0.25">
      <c r="A181" s="84"/>
      <c r="B181" s="204">
        <v>42817</v>
      </c>
      <c r="C181" s="1">
        <v>114</v>
      </c>
      <c r="D181" s="1">
        <v>3000039247</v>
      </c>
      <c r="E181" s="1" t="s">
        <v>30</v>
      </c>
      <c r="F181" s="1">
        <v>815</v>
      </c>
      <c r="G181" s="213">
        <v>42809</v>
      </c>
      <c r="H181" s="1" t="s">
        <v>684</v>
      </c>
      <c r="I181" s="204">
        <v>42813</v>
      </c>
      <c r="J181" s="1" t="s">
        <v>229</v>
      </c>
      <c r="K181" s="1">
        <v>29.98</v>
      </c>
      <c r="L181" s="1">
        <v>29.9</v>
      </c>
      <c r="M181" s="5">
        <f t="shared" si="23"/>
        <v>29.9</v>
      </c>
      <c r="N181" s="211">
        <f t="shared" si="24"/>
        <v>42827</v>
      </c>
      <c r="O181" s="1">
        <v>1528980</v>
      </c>
      <c r="P181" s="38">
        <f t="shared" si="22"/>
        <v>1524900</v>
      </c>
      <c r="Q181" s="225"/>
    </row>
    <row r="182" spans="1:24" s="1" customFormat="1" x14ac:dyDescent="0.25">
      <c r="A182" s="84"/>
      <c r="B182" s="204">
        <v>42817</v>
      </c>
      <c r="C182" s="1">
        <v>114</v>
      </c>
      <c r="D182" s="1">
        <v>3000039215</v>
      </c>
      <c r="E182" s="1" t="s">
        <v>348</v>
      </c>
      <c r="F182" s="16">
        <v>350</v>
      </c>
      <c r="G182" s="213">
        <v>42803</v>
      </c>
      <c r="H182" s="1" t="s">
        <v>907</v>
      </c>
      <c r="I182" s="204">
        <v>42814</v>
      </c>
      <c r="J182" s="1" t="s">
        <v>8</v>
      </c>
      <c r="K182" s="1">
        <v>4.83</v>
      </c>
      <c r="L182" s="1">
        <v>4.59</v>
      </c>
      <c r="M182" s="5">
        <f t="shared" si="23"/>
        <v>4.59</v>
      </c>
      <c r="N182" s="211">
        <f t="shared" si="24"/>
        <v>42828</v>
      </c>
      <c r="O182" s="1">
        <v>277242</v>
      </c>
      <c r="P182" s="38">
        <f t="shared" si="22"/>
        <v>263466</v>
      </c>
      <c r="Q182" s="225"/>
    </row>
    <row r="183" spans="1:24" s="1" customFormat="1" x14ac:dyDescent="0.25">
      <c r="A183" s="84"/>
      <c r="B183" s="204">
        <v>42817</v>
      </c>
      <c r="C183" s="1">
        <v>114</v>
      </c>
      <c r="D183" s="1">
        <v>3000039248</v>
      </c>
      <c r="E183" s="1" t="s">
        <v>348</v>
      </c>
      <c r="F183" s="16">
        <v>351</v>
      </c>
      <c r="G183" s="213">
        <v>42803</v>
      </c>
      <c r="H183" s="1" t="s">
        <v>907</v>
      </c>
      <c r="I183" s="204">
        <v>42814</v>
      </c>
      <c r="J183" s="1" t="s">
        <v>8</v>
      </c>
      <c r="K183" s="1">
        <v>23.97</v>
      </c>
      <c r="L183" s="1">
        <v>23.97</v>
      </c>
      <c r="M183" s="5">
        <f t="shared" si="23"/>
        <v>23.97</v>
      </c>
      <c r="N183" s="211">
        <f t="shared" si="24"/>
        <v>42828</v>
      </c>
      <c r="O183" s="1">
        <v>1368687</v>
      </c>
      <c r="P183" s="38">
        <f t="shared" si="22"/>
        <v>1368687</v>
      </c>
      <c r="Q183" s="225"/>
    </row>
    <row r="184" spans="1:24" s="1" customFormat="1" x14ac:dyDescent="0.25">
      <c r="A184" s="84"/>
      <c r="B184" s="204">
        <v>42817</v>
      </c>
      <c r="C184" s="1">
        <v>114</v>
      </c>
      <c r="D184" s="1">
        <v>3000039248</v>
      </c>
      <c r="E184" s="1" t="s">
        <v>348</v>
      </c>
      <c r="F184" s="1">
        <v>352</v>
      </c>
      <c r="G184" s="213">
        <v>42804</v>
      </c>
      <c r="H184" s="1" t="s">
        <v>908</v>
      </c>
      <c r="I184" s="204">
        <v>42814</v>
      </c>
      <c r="J184" s="1" t="s">
        <v>8</v>
      </c>
      <c r="K184" s="1">
        <v>28.6</v>
      </c>
      <c r="L184" s="1">
        <v>28.34</v>
      </c>
      <c r="M184" s="5">
        <f t="shared" si="23"/>
        <v>28.34</v>
      </c>
      <c r="N184" s="211">
        <f t="shared" si="24"/>
        <v>42828</v>
      </c>
      <c r="O184" s="1">
        <v>1633060</v>
      </c>
      <c r="P184" s="38">
        <f t="shared" si="22"/>
        <v>1618214</v>
      </c>
      <c r="Q184" s="225"/>
    </row>
    <row r="185" spans="1:24" s="1" customFormat="1" x14ac:dyDescent="0.25">
      <c r="A185" s="84"/>
      <c r="B185" s="204">
        <v>42824</v>
      </c>
      <c r="C185" s="1">
        <v>116</v>
      </c>
      <c r="D185" s="1">
        <v>3000039185</v>
      </c>
      <c r="E185" s="1" t="s">
        <v>25</v>
      </c>
      <c r="F185" s="1" t="s">
        <v>918</v>
      </c>
      <c r="G185" s="213">
        <v>42819</v>
      </c>
      <c r="H185" s="1" t="s">
        <v>919</v>
      </c>
      <c r="I185" s="204">
        <v>42819</v>
      </c>
      <c r="J185" s="1" t="s">
        <v>16</v>
      </c>
      <c r="K185" s="1">
        <v>17.170000000000002</v>
      </c>
      <c r="L185" s="1">
        <v>17.170000000000002</v>
      </c>
      <c r="M185" s="5">
        <f t="shared" si="23"/>
        <v>17.170000000000002</v>
      </c>
      <c r="N185" s="211">
        <f>+I185+10-1</f>
        <v>42828</v>
      </c>
      <c r="O185" s="1">
        <v>951004</v>
      </c>
      <c r="P185" s="38">
        <f t="shared" si="22"/>
        <v>951004</v>
      </c>
      <c r="Q185" s="225"/>
    </row>
    <row r="186" spans="1:24" s="1" customFormat="1" x14ac:dyDescent="0.25">
      <c r="A186" s="84"/>
      <c r="B186" s="204">
        <v>42824</v>
      </c>
      <c r="C186" s="1">
        <v>116</v>
      </c>
      <c r="D186" s="1">
        <v>3000039185</v>
      </c>
      <c r="E186" s="1" t="s">
        <v>25</v>
      </c>
      <c r="F186" s="1" t="s">
        <v>920</v>
      </c>
      <c r="G186" s="213">
        <v>42819</v>
      </c>
      <c r="H186" s="1" t="s">
        <v>900</v>
      </c>
      <c r="I186" s="204">
        <v>42819</v>
      </c>
      <c r="J186" s="1" t="s">
        <v>16</v>
      </c>
      <c r="K186" s="1">
        <v>17.5</v>
      </c>
      <c r="L186" s="1">
        <v>17.5</v>
      </c>
      <c r="M186" s="5">
        <f t="shared" si="23"/>
        <v>17.5</v>
      </c>
      <c r="N186" s="211">
        <f>+I186+10-1</f>
        <v>42828</v>
      </c>
      <c r="O186" s="1">
        <v>969198</v>
      </c>
      <c r="P186" s="38">
        <f t="shared" si="22"/>
        <v>969197.99999999988</v>
      </c>
      <c r="Q186" s="225"/>
    </row>
    <row r="187" spans="1:24" s="1" customFormat="1" x14ac:dyDescent="0.25">
      <c r="A187" s="84"/>
      <c r="B187" s="204">
        <v>42824</v>
      </c>
      <c r="C187" s="1">
        <v>114</v>
      </c>
      <c r="D187" s="1">
        <v>3000039247</v>
      </c>
      <c r="E187" s="1" t="s">
        <v>30</v>
      </c>
      <c r="F187" s="1">
        <v>821</v>
      </c>
      <c r="G187" s="213">
        <v>42810</v>
      </c>
      <c r="H187" s="1" t="s">
        <v>936</v>
      </c>
      <c r="I187" s="204">
        <v>42815</v>
      </c>
      <c r="J187" s="1" t="s">
        <v>229</v>
      </c>
      <c r="K187" s="1">
        <v>31.13</v>
      </c>
      <c r="L187" s="1">
        <v>31.05</v>
      </c>
      <c r="M187" s="5">
        <f t="shared" si="23"/>
        <v>31.05</v>
      </c>
      <c r="N187" s="211">
        <f t="shared" ref="N187:N217" si="25">+I187+15-1</f>
        <v>42829</v>
      </c>
      <c r="O187" s="1">
        <v>1587630</v>
      </c>
      <c r="P187" s="38">
        <f t="shared" si="22"/>
        <v>1583550</v>
      </c>
      <c r="Q187" s="225"/>
    </row>
    <row r="188" spans="1:24" s="1" customFormat="1" x14ac:dyDescent="0.25">
      <c r="A188" s="84"/>
      <c r="B188" s="204">
        <v>42824</v>
      </c>
      <c r="C188" s="1">
        <v>114</v>
      </c>
      <c r="D188" s="1">
        <v>3000039247</v>
      </c>
      <c r="E188" s="1" t="s">
        <v>30</v>
      </c>
      <c r="F188" s="16">
        <v>831</v>
      </c>
      <c r="G188" s="213">
        <v>42813</v>
      </c>
      <c r="H188" s="1" t="s">
        <v>637</v>
      </c>
      <c r="I188" s="204">
        <v>42815</v>
      </c>
      <c r="J188" s="1" t="s">
        <v>229</v>
      </c>
      <c r="K188" s="1">
        <v>22</v>
      </c>
      <c r="L188" s="1">
        <v>21.9</v>
      </c>
      <c r="M188" s="5">
        <f t="shared" si="23"/>
        <v>21.9</v>
      </c>
      <c r="N188" s="211">
        <f t="shared" si="25"/>
        <v>42829</v>
      </c>
      <c r="O188" s="1">
        <v>1122000</v>
      </c>
      <c r="P188" s="38">
        <f t="shared" si="22"/>
        <v>1116900</v>
      </c>
      <c r="Q188" s="225"/>
      <c r="R188" s="8"/>
      <c r="S188" s="8"/>
      <c r="T188" s="8"/>
      <c r="U188" s="8"/>
      <c r="V188" s="8"/>
      <c r="W188" s="8"/>
      <c r="X188" s="8"/>
    </row>
    <row r="189" spans="1:24" s="1" customFormat="1" x14ac:dyDescent="0.25">
      <c r="A189" s="84"/>
      <c r="B189" s="204">
        <v>42824</v>
      </c>
      <c r="C189" s="1">
        <v>114</v>
      </c>
      <c r="D189" s="1">
        <v>3000039524</v>
      </c>
      <c r="E189" s="1" t="s">
        <v>30</v>
      </c>
      <c r="F189" s="16">
        <v>831</v>
      </c>
      <c r="G189" s="213">
        <v>42813</v>
      </c>
      <c r="H189" s="1" t="s">
        <v>637</v>
      </c>
      <c r="I189" s="204">
        <v>42815</v>
      </c>
      <c r="J189" s="1" t="s">
        <v>229</v>
      </c>
      <c r="K189" s="1">
        <v>7.02</v>
      </c>
      <c r="L189" s="1">
        <v>7.02</v>
      </c>
      <c r="M189" s="5">
        <f t="shared" si="23"/>
        <v>7.02</v>
      </c>
      <c r="N189" s="211">
        <f t="shared" si="25"/>
        <v>42829</v>
      </c>
      <c r="O189" s="1">
        <v>354651</v>
      </c>
      <c r="P189" s="38">
        <f t="shared" si="22"/>
        <v>354651</v>
      </c>
      <c r="Q189" s="225"/>
    </row>
    <row r="190" spans="1:24" s="1" customFormat="1" x14ac:dyDescent="0.25">
      <c r="A190" s="84"/>
      <c r="B190" s="204">
        <v>42824</v>
      </c>
      <c r="C190" s="1">
        <v>114</v>
      </c>
      <c r="D190" s="1">
        <v>3000039524</v>
      </c>
      <c r="E190" s="1" t="s">
        <v>30</v>
      </c>
      <c r="F190" s="1">
        <v>834</v>
      </c>
      <c r="G190" s="213">
        <v>42813</v>
      </c>
      <c r="H190" s="1" t="s">
        <v>692</v>
      </c>
      <c r="I190" s="204">
        <v>42815</v>
      </c>
      <c r="J190" s="1" t="s">
        <v>229</v>
      </c>
      <c r="K190" s="1">
        <v>32.409999999999997</v>
      </c>
      <c r="L190" s="1">
        <v>32.31</v>
      </c>
      <c r="M190" s="5">
        <f t="shared" si="23"/>
        <v>32.31</v>
      </c>
      <c r="N190" s="211">
        <f t="shared" si="25"/>
        <v>42829</v>
      </c>
      <c r="O190" s="1">
        <v>1636705</v>
      </c>
      <c r="P190" s="38">
        <f t="shared" si="22"/>
        <v>1631655.0000000005</v>
      </c>
      <c r="Q190" s="225"/>
    </row>
    <row r="191" spans="1:24" s="1" customFormat="1" x14ac:dyDescent="0.25">
      <c r="A191" s="84"/>
      <c r="B191" s="204">
        <v>42824</v>
      </c>
      <c r="C191" s="1">
        <v>114</v>
      </c>
      <c r="D191" s="1">
        <v>3000039524</v>
      </c>
      <c r="E191" s="1" t="s">
        <v>30</v>
      </c>
      <c r="F191" s="1">
        <v>840</v>
      </c>
      <c r="G191" s="213">
        <v>42814</v>
      </c>
      <c r="H191" s="1" t="s">
        <v>820</v>
      </c>
      <c r="I191" s="204">
        <v>42816</v>
      </c>
      <c r="J191" s="1" t="s">
        <v>229</v>
      </c>
      <c r="K191" s="1">
        <v>30.07</v>
      </c>
      <c r="L191" s="1">
        <v>29.96</v>
      </c>
      <c r="M191" s="5">
        <f t="shared" si="23"/>
        <v>29.96</v>
      </c>
      <c r="N191" s="211">
        <f t="shared" si="25"/>
        <v>42830</v>
      </c>
      <c r="O191" s="1">
        <v>1518535</v>
      </c>
      <c r="P191" s="38">
        <f t="shared" si="22"/>
        <v>1512980</v>
      </c>
      <c r="Q191" s="225"/>
    </row>
    <row r="192" spans="1:24" s="1" customFormat="1" x14ac:dyDescent="0.25">
      <c r="A192" s="84"/>
      <c r="B192" s="204">
        <v>42824</v>
      </c>
      <c r="C192" s="1">
        <v>114</v>
      </c>
      <c r="D192" s="1">
        <v>3000037981</v>
      </c>
      <c r="E192" s="1" t="s">
        <v>612</v>
      </c>
      <c r="F192" s="1">
        <v>355</v>
      </c>
      <c r="G192" s="213">
        <v>42814</v>
      </c>
      <c r="H192" s="1" t="s">
        <v>749</v>
      </c>
      <c r="I192" s="204">
        <v>42817</v>
      </c>
      <c r="J192" s="1" t="s">
        <v>16</v>
      </c>
      <c r="K192" s="1">
        <v>27.6</v>
      </c>
      <c r="L192" s="1">
        <v>27.39</v>
      </c>
      <c r="M192" s="5">
        <f t="shared" si="23"/>
        <v>27.39</v>
      </c>
      <c r="N192" s="211">
        <f t="shared" si="25"/>
        <v>42831</v>
      </c>
      <c r="O192" s="1">
        <v>1555260</v>
      </c>
      <c r="P192" s="38">
        <f t="shared" si="22"/>
        <v>1543426.5</v>
      </c>
      <c r="Q192" s="225"/>
    </row>
    <row r="193" spans="1:17" s="1" customFormat="1" x14ac:dyDescent="0.25">
      <c r="A193" s="84"/>
      <c r="B193" s="204">
        <v>42824</v>
      </c>
      <c r="C193" s="1">
        <v>114</v>
      </c>
      <c r="D193" s="1">
        <v>3000039524</v>
      </c>
      <c r="E193" s="1" t="s">
        <v>30</v>
      </c>
      <c r="F193" s="1">
        <v>846</v>
      </c>
      <c r="G193" s="213">
        <v>42816</v>
      </c>
      <c r="H193" s="1" t="s">
        <v>684</v>
      </c>
      <c r="I193" s="204">
        <v>42817</v>
      </c>
      <c r="J193" s="1" t="s">
        <v>229</v>
      </c>
      <c r="K193" s="1">
        <v>30</v>
      </c>
      <c r="L193" s="1">
        <v>29.92</v>
      </c>
      <c r="M193" s="5">
        <f t="shared" si="23"/>
        <v>29.92</v>
      </c>
      <c r="N193" s="211">
        <f t="shared" si="25"/>
        <v>42831</v>
      </c>
      <c r="O193" s="1">
        <v>1515000</v>
      </c>
      <c r="P193" s="38">
        <f t="shared" ref="P193:P224" si="26">(+O193/K193*M193)</f>
        <v>1510960</v>
      </c>
      <c r="Q193" s="225"/>
    </row>
    <row r="194" spans="1:17" s="1" customFormat="1" x14ac:dyDescent="0.25">
      <c r="A194" s="84"/>
      <c r="B194" s="204">
        <v>42824</v>
      </c>
      <c r="C194" s="1">
        <v>114</v>
      </c>
      <c r="D194" s="1">
        <v>3000039248</v>
      </c>
      <c r="E194" s="1" t="s">
        <v>348</v>
      </c>
      <c r="F194" s="1">
        <v>353</v>
      </c>
      <c r="G194" s="213">
        <v>42804</v>
      </c>
      <c r="H194" s="1" t="s">
        <v>924</v>
      </c>
      <c r="I194" s="204">
        <v>42818</v>
      </c>
      <c r="J194" s="1" t="s">
        <v>8</v>
      </c>
      <c r="K194" s="1">
        <v>7.43</v>
      </c>
      <c r="L194" s="1">
        <v>7.24</v>
      </c>
      <c r="M194" s="5">
        <f t="shared" si="23"/>
        <v>7.24</v>
      </c>
      <c r="N194" s="211">
        <f t="shared" si="25"/>
        <v>42832</v>
      </c>
      <c r="O194" s="1">
        <v>424253</v>
      </c>
      <c r="P194" s="38">
        <f t="shared" si="26"/>
        <v>413404</v>
      </c>
      <c r="Q194" s="225"/>
    </row>
    <row r="195" spans="1:17" s="1" customFormat="1" x14ac:dyDescent="0.25">
      <c r="A195" s="84"/>
      <c r="B195" s="204">
        <v>42824</v>
      </c>
      <c r="C195" s="1">
        <v>114</v>
      </c>
      <c r="D195" s="1">
        <v>3000039328</v>
      </c>
      <c r="E195" s="1" t="s">
        <v>348</v>
      </c>
      <c r="F195" s="1">
        <v>354</v>
      </c>
      <c r="G195" s="213">
        <v>42804</v>
      </c>
      <c r="H195" s="1" t="s">
        <v>924</v>
      </c>
      <c r="I195" s="204">
        <v>42818</v>
      </c>
      <c r="J195" s="1" t="s">
        <v>8</v>
      </c>
      <c r="K195" s="1">
        <v>21.16</v>
      </c>
      <c r="L195" s="1">
        <v>21.16</v>
      </c>
      <c r="M195" s="5">
        <f t="shared" si="23"/>
        <v>21.16</v>
      </c>
      <c r="N195" s="211">
        <f t="shared" si="25"/>
        <v>42832</v>
      </c>
      <c r="O195" s="1">
        <v>1191308</v>
      </c>
      <c r="P195" s="38">
        <f t="shared" si="26"/>
        <v>1191308</v>
      </c>
      <c r="Q195" s="225"/>
    </row>
    <row r="196" spans="1:17" s="1" customFormat="1" x14ac:dyDescent="0.25">
      <c r="A196" s="84"/>
      <c r="B196" s="204">
        <v>42824</v>
      </c>
      <c r="C196" s="1">
        <v>114</v>
      </c>
      <c r="D196" s="1">
        <v>3000040069</v>
      </c>
      <c r="E196" s="1" t="s">
        <v>938</v>
      </c>
      <c r="F196" s="1">
        <v>1</v>
      </c>
      <c r="G196" s="213">
        <v>42808</v>
      </c>
      <c r="H196" s="1" t="s">
        <v>939</v>
      </c>
      <c r="I196" s="204">
        <v>42818</v>
      </c>
      <c r="J196" s="1" t="s">
        <v>61</v>
      </c>
      <c r="K196" s="1">
        <v>19.57</v>
      </c>
      <c r="L196" s="1">
        <v>19.53</v>
      </c>
      <c r="M196" s="5">
        <f t="shared" si="23"/>
        <v>19.53</v>
      </c>
      <c r="N196" s="211">
        <f t="shared" si="25"/>
        <v>42832</v>
      </c>
      <c r="O196" s="1">
        <v>1726062</v>
      </c>
      <c r="P196" s="38">
        <f t="shared" si="26"/>
        <v>1722534.0245273379</v>
      </c>
      <c r="Q196" s="225"/>
    </row>
    <row r="197" spans="1:17" s="1" customFormat="1" x14ac:dyDescent="0.25">
      <c r="A197" s="84"/>
      <c r="B197" s="204">
        <v>42824</v>
      </c>
      <c r="C197" s="1">
        <v>114</v>
      </c>
      <c r="D197" s="1">
        <v>3000039796</v>
      </c>
      <c r="E197" s="1" t="s">
        <v>430</v>
      </c>
      <c r="F197" s="1">
        <v>96</v>
      </c>
      <c r="G197" s="213">
        <v>42814</v>
      </c>
      <c r="H197" s="1" t="s">
        <v>927</v>
      </c>
      <c r="I197" s="204">
        <v>42819</v>
      </c>
      <c r="J197" s="1" t="s">
        <v>61</v>
      </c>
      <c r="K197" s="1">
        <v>20.92</v>
      </c>
      <c r="L197" s="1">
        <v>20.84</v>
      </c>
      <c r="M197" s="5">
        <f t="shared" si="23"/>
        <v>20.84</v>
      </c>
      <c r="N197" s="211">
        <f t="shared" si="25"/>
        <v>42833</v>
      </c>
      <c r="O197" s="1">
        <v>2322109</v>
      </c>
      <c r="P197" s="38">
        <f t="shared" si="26"/>
        <v>2313229.0420650095</v>
      </c>
      <c r="Q197" s="225"/>
    </row>
    <row r="198" spans="1:17" s="1" customFormat="1" x14ac:dyDescent="0.25">
      <c r="A198" s="84"/>
      <c r="B198" s="204">
        <v>42824</v>
      </c>
      <c r="C198" s="1">
        <v>114</v>
      </c>
      <c r="D198" s="1">
        <v>3000039060</v>
      </c>
      <c r="E198" s="1" t="s">
        <v>138</v>
      </c>
      <c r="F198" s="16">
        <v>9160</v>
      </c>
      <c r="G198" s="213">
        <v>42806</v>
      </c>
      <c r="H198" s="1" t="s">
        <v>928</v>
      </c>
      <c r="I198" s="204">
        <v>42819</v>
      </c>
      <c r="J198" s="1" t="s">
        <v>8</v>
      </c>
      <c r="K198" s="1">
        <v>13.7</v>
      </c>
      <c r="L198" s="1">
        <v>13.21</v>
      </c>
      <c r="M198" s="5">
        <f t="shared" si="23"/>
        <v>13.21</v>
      </c>
      <c r="N198" s="211">
        <f t="shared" si="25"/>
        <v>42833</v>
      </c>
      <c r="O198" s="1">
        <v>801450</v>
      </c>
      <c r="P198" s="38">
        <f t="shared" si="26"/>
        <v>772785</v>
      </c>
      <c r="Q198" s="225"/>
    </row>
    <row r="199" spans="1:17" s="1" customFormat="1" x14ac:dyDescent="0.25">
      <c r="A199" s="84"/>
      <c r="B199" s="204">
        <v>42824</v>
      </c>
      <c r="C199" s="1">
        <v>114</v>
      </c>
      <c r="D199" s="1">
        <v>3000039468</v>
      </c>
      <c r="E199" s="1" t="s">
        <v>138</v>
      </c>
      <c r="F199" s="16">
        <v>9161</v>
      </c>
      <c r="G199" s="213">
        <v>42806</v>
      </c>
      <c r="H199" s="1" t="s">
        <v>928</v>
      </c>
      <c r="I199" s="204">
        <v>42819</v>
      </c>
      <c r="J199" s="1" t="s">
        <v>8</v>
      </c>
      <c r="K199" s="1">
        <v>16.760000000000002</v>
      </c>
      <c r="L199" s="1">
        <v>16.760000000000002</v>
      </c>
      <c r="M199" s="5">
        <f t="shared" si="23"/>
        <v>16.760000000000002</v>
      </c>
      <c r="N199" s="211">
        <f t="shared" si="25"/>
        <v>42833</v>
      </c>
      <c r="O199" s="1">
        <v>930180</v>
      </c>
      <c r="P199" s="38">
        <f t="shared" si="26"/>
        <v>930180</v>
      </c>
      <c r="Q199" s="225"/>
    </row>
    <row r="200" spans="1:17" s="1" customFormat="1" x14ac:dyDescent="0.25">
      <c r="A200" s="84"/>
      <c r="B200" s="204">
        <v>42824</v>
      </c>
      <c r="C200" s="1">
        <v>114</v>
      </c>
      <c r="D200" s="1">
        <v>3000039218</v>
      </c>
      <c r="E200" s="1" t="s">
        <v>18</v>
      </c>
      <c r="F200" s="16">
        <v>238</v>
      </c>
      <c r="G200" s="213">
        <v>42814</v>
      </c>
      <c r="H200" s="1" t="s">
        <v>929</v>
      </c>
      <c r="I200" s="204">
        <v>42819</v>
      </c>
      <c r="J200" s="1" t="s">
        <v>8</v>
      </c>
      <c r="K200" s="1">
        <v>27.59</v>
      </c>
      <c r="L200" s="1">
        <v>27.49</v>
      </c>
      <c r="M200" s="5">
        <f t="shared" si="23"/>
        <v>27.49</v>
      </c>
      <c r="N200" s="211">
        <f t="shared" si="25"/>
        <v>42833</v>
      </c>
      <c r="O200" s="1">
        <v>1583666</v>
      </c>
      <c r="P200" s="38">
        <f t="shared" si="26"/>
        <v>1577926</v>
      </c>
      <c r="Q200" s="225"/>
    </row>
    <row r="201" spans="1:17" s="1" customFormat="1" x14ac:dyDescent="0.25">
      <c r="A201" s="84"/>
      <c r="B201" s="204">
        <v>42824</v>
      </c>
      <c r="C201" s="1">
        <v>114</v>
      </c>
      <c r="D201" s="1">
        <v>3000039251</v>
      </c>
      <c r="E201" s="1" t="s">
        <v>18</v>
      </c>
      <c r="F201" s="16">
        <v>238</v>
      </c>
      <c r="G201" s="213">
        <v>42814</v>
      </c>
      <c r="H201" s="1" t="s">
        <v>929</v>
      </c>
      <c r="I201" s="204">
        <v>42819</v>
      </c>
      <c r="J201" s="1" t="s">
        <v>8</v>
      </c>
      <c r="K201" s="1">
        <v>0.24</v>
      </c>
      <c r="L201" s="1">
        <v>0.24</v>
      </c>
      <c r="M201" s="5">
        <f t="shared" si="23"/>
        <v>0.24</v>
      </c>
      <c r="N201" s="211">
        <f t="shared" si="25"/>
        <v>42833</v>
      </c>
      <c r="O201" s="1">
        <v>13704</v>
      </c>
      <c r="P201" s="38">
        <f t="shared" si="26"/>
        <v>13704</v>
      </c>
      <c r="Q201" s="225"/>
    </row>
    <row r="202" spans="1:17" s="1" customFormat="1" x14ac:dyDescent="0.25">
      <c r="A202" s="84"/>
      <c r="B202" s="204">
        <v>42824</v>
      </c>
      <c r="C202" s="1">
        <v>114</v>
      </c>
      <c r="D202" s="1">
        <v>3000039251</v>
      </c>
      <c r="E202" s="1" t="s">
        <v>18</v>
      </c>
      <c r="F202" s="1">
        <v>239</v>
      </c>
      <c r="G202" s="213">
        <v>42814</v>
      </c>
      <c r="H202" s="1" t="s">
        <v>930</v>
      </c>
      <c r="I202" s="204">
        <v>42819</v>
      </c>
      <c r="J202" s="1" t="s">
        <v>8</v>
      </c>
      <c r="K202" s="1">
        <v>28.01</v>
      </c>
      <c r="L202" s="1">
        <v>27.91</v>
      </c>
      <c r="M202" s="5">
        <f t="shared" ref="M202:M233" si="27">IF(L202&gt;K202,K202,L202)</f>
        <v>27.91</v>
      </c>
      <c r="N202" s="211">
        <f t="shared" si="25"/>
        <v>42833</v>
      </c>
      <c r="O202" s="1">
        <v>1599371</v>
      </c>
      <c r="P202" s="38">
        <f t="shared" si="26"/>
        <v>1593661</v>
      </c>
      <c r="Q202" s="225"/>
    </row>
    <row r="203" spans="1:17" s="1" customFormat="1" x14ac:dyDescent="0.25">
      <c r="A203" s="84"/>
      <c r="B203" s="204">
        <v>42824</v>
      </c>
      <c r="C203" s="1">
        <v>114</v>
      </c>
      <c r="D203" s="1">
        <v>3000039249</v>
      </c>
      <c r="E203" s="1" t="s">
        <v>621</v>
      </c>
      <c r="F203" s="1">
        <v>1005</v>
      </c>
      <c r="G203" s="213">
        <v>42816</v>
      </c>
      <c r="H203" s="1" t="s">
        <v>922</v>
      </c>
      <c r="I203" s="204">
        <v>42820</v>
      </c>
      <c r="J203" s="1" t="s">
        <v>8</v>
      </c>
      <c r="K203" s="1">
        <v>32.880000000000003</v>
      </c>
      <c r="L203" s="1">
        <v>32.799999999999997</v>
      </c>
      <c r="M203" s="5">
        <f t="shared" si="27"/>
        <v>32.799999999999997</v>
      </c>
      <c r="N203" s="211">
        <f t="shared" si="25"/>
        <v>42834</v>
      </c>
      <c r="O203" s="1">
        <v>1877448</v>
      </c>
      <c r="P203" s="38">
        <f t="shared" si="26"/>
        <v>1872879.9999999995</v>
      </c>
      <c r="Q203" s="225"/>
    </row>
    <row r="204" spans="1:17" s="1" customFormat="1" x14ac:dyDescent="0.25">
      <c r="A204" s="84"/>
      <c r="B204" s="204">
        <v>42824</v>
      </c>
      <c r="C204" s="1">
        <v>114</v>
      </c>
      <c r="D204" s="1">
        <v>3000039331</v>
      </c>
      <c r="E204" s="1" t="s">
        <v>18</v>
      </c>
      <c r="F204" s="1">
        <v>244</v>
      </c>
      <c r="G204" s="213">
        <v>42816</v>
      </c>
      <c r="H204" s="1" t="s">
        <v>934</v>
      </c>
      <c r="I204" s="204">
        <v>42820</v>
      </c>
      <c r="J204" s="1" t="s">
        <v>8</v>
      </c>
      <c r="K204" s="1">
        <v>24.53</v>
      </c>
      <c r="L204" s="1">
        <v>24.43</v>
      </c>
      <c r="M204" s="5">
        <f t="shared" si="27"/>
        <v>24.43</v>
      </c>
      <c r="N204" s="211">
        <f t="shared" si="25"/>
        <v>42834</v>
      </c>
      <c r="O204" s="1">
        <v>1381039</v>
      </c>
      <c r="P204" s="38">
        <f t="shared" si="26"/>
        <v>1375409</v>
      </c>
      <c r="Q204" s="225"/>
    </row>
    <row r="205" spans="1:17" s="1" customFormat="1" x14ac:dyDescent="0.25">
      <c r="A205" s="84"/>
      <c r="B205" s="204">
        <v>42824</v>
      </c>
      <c r="C205" s="1">
        <v>114</v>
      </c>
      <c r="D205" s="1">
        <v>3000039331</v>
      </c>
      <c r="E205" s="1" t="s">
        <v>18</v>
      </c>
      <c r="F205" s="1">
        <v>245</v>
      </c>
      <c r="G205" s="213">
        <v>42816</v>
      </c>
      <c r="H205" s="1" t="s">
        <v>935</v>
      </c>
      <c r="I205" s="204">
        <v>42820</v>
      </c>
      <c r="J205" s="1" t="s">
        <v>8</v>
      </c>
      <c r="K205" s="1">
        <v>24.62</v>
      </c>
      <c r="L205" s="1">
        <v>24.51</v>
      </c>
      <c r="M205" s="5">
        <f t="shared" si="27"/>
        <v>24.51</v>
      </c>
      <c r="N205" s="211">
        <f t="shared" si="25"/>
        <v>42834</v>
      </c>
      <c r="O205" s="1">
        <v>1386106</v>
      </c>
      <c r="P205" s="38">
        <f t="shared" si="26"/>
        <v>1379913</v>
      </c>
      <c r="Q205" s="225"/>
    </row>
    <row r="206" spans="1:17" s="1" customFormat="1" x14ac:dyDescent="0.25">
      <c r="A206" s="84"/>
      <c r="B206" s="204">
        <v>42824</v>
      </c>
      <c r="C206" s="1">
        <v>114</v>
      </c>
      <c r="D206" s="1">
        <v>3000039249</v>
      </c>
      <c r="E206" s="1" t="s">
        <v>621</v>
      </c>
      <c r="F206" s="1">
        <v>1004</v>
      </c>
      <c r="G206" s="213">
        <v>42816</v>
      </c>
      <c r="H206" s="1" t="s">
        <v>921</v>
      </c>
      <c r="I206" s="204">
        <v>42821</v>
      </c>
      <c r="J206" s="1" t="s">
        <v>8</v>
      </c>
      <c r="K206" s="1">
        <v>20.63</v>
      </c>
      <c r="L206" s="1">
        <v>20.62</v>
      </c>
      <c r="M206" s="5">
        <f t="shared" si="27"/>
        <v>20.62</v>
      </c>
      <c r="N206" s="211">
        <f t="shared" si="25"/>
        <v>42835</v>
      </c>
      <c r="O206" s="1">
        <v>1177973</v>
      </c>
      <c r="P206" s="38">
        <f t="shared" si="26"/>
        <v>1177402</v>
      </c>
      <c r="Q206" s="225"/>
    </row>
    <row r="207" spans="1:17" s="1" customFormat="1" x14ac:dyDescent="0.25">
      <c r="A207" s="84"/>
      <c r="B207" s="204">
        <v>42824</v>
      </c>
      <c r="C207" s="1">
        <v>114</v>
      </c>
      <c r="D207" s="1">
        <v>3000039249</v>
      </c>
      <c r="E207" s="1" t="s">
        <v>621</v>
      </c>
      <c r="F207" s="16">
        <v>1006</v>
      </c>
      <c r="G207" s="213">
        <v>42816</v>
      </c>
      <c r="H207" s="1" t="s">
        <v>923</v>
      </c>
      <c r="I207" s="204">
        <v>42821</v>
      </c>
      <c r="J207" s="1" t="s">
        <v>8</v>
      </c>
      <c r="K207" s="1">
        <v>2.2999999999999998</v>
      </c>
      <c r="L207" s="1">
        <v>2.2999999999999998</v>
      </c>
      <c r="M207" s="5">
        <f t="shared" si="27"/>
        <v>2.2999999999999998</v>
      </c>
      <c r="N207" s="211">
        <f t="shared" si="25"/>
        <v>42835</v>
      </c>
      <c r="O207" s="1">
        <v>131330</v>
      </c>
      <c r="P207" s="38">
        <f t="shared" si="26"/>
        <v>131330</v>
      </c>
      <c r="Q207" s="225"/>
    </row>
    <row r="208" spans="1:17" s="1" customFormat="1" x14ac:dyDescent="0.25">
      <c r="A208" s="84"/>
      <c r="B208" s="204">
        <v>42824</v>
      </c>
      <c r="C208" s="1">
        <v>114</v>
      </c>
      <c r="D208" s="1">
        <v>3000039329</v>
      </c>
      <c r="E208" s="1" t="s">
        <v>621</v>
      </c>
      <c r="F208" s="16">
        <v>1006</v>
      </c>
      <c r="G208" s="213">
        <v>42816</v>
      </c>
      <c r="H208" s="1" t="s">
        <v>923</v>
      </c>
      <c r="I208" s="204">
        <v>42821</v>
      </c>
      <c r="J208" s="1" t="s">
        <v>8</v>
      </c>
      <c r="K208" s="1">
        <v>25.62</v>
      </c>
      <c r="L208" s="1">
        <v>25.66</v>
      </c>
      <c r="M208" s="5">
        <f t="shared" si="27"/>
        <v>25.62</v>
      </c>
      <c r="N208" s="211">
        <f t="shared" si="25"/>
        <v>42835</v>
      </c>
      <c r="O208" s="1">
        <v>1442406</v>
      </c>
      <c r="P208" s="38">
        <f t="shared" si="26"/>
        <v>1442406</v>
      </c>
      <c r="Q208" s="225"/>
    </row>
    <row r="209" spans="1:18" s="1" customFormat="1" x14ac:dyDescent="0.25">
      <c r="A209" s="84"/>
      <c r="B209" s="204">
        <v>42824</v>
      </c>
      <c r="C209" s="1">
        <v>114</v>
      </c>
      <c r="D209" s="1">
        <v>3000039251</v>
      </c>
      <c r="E209" s="1" t="s">
        <v>18</v>
      </c>
      <c r="F209" s="16">
        <v>242</v>
      </c>
      <c r="G209" s="213">
        <v>42816</v>
      </c>
      <c r="H209" s="1" t="s">
        <v>932</v>
      </c>
      <c r="I209" s="204">
        <v>42821</v>
      </c>
      <c r="J209" s="1" t="s">
        <v>8</v>
      </c>
      <c r="K209" s="1">
        <v>3.14</v>
      </c>
      <c r="L209" s="1">
        <v>3.03</v>
      </c>
      <c r="M209" s="5">
        <f t="shared" si="27"/>
        <v>3.03</v>
      </c>
      <c r="N209" s="211">
        <f t="shared" si="25"/>
        <v>42835</v>
      </c>
      <c r="O209" s="1">
        <v>179294</v>
      </c>
      <c r="P209" s="38">
        <f t="shared" si="26"/>
        <v>173013</v>
      </c>
      <c r="Q209" s="225"/>
    </row>
    <row r="210" spans="1:18" s="1" customFormat="1" x14ac:dyDescent="0.25">
      <c r="A210" s="84"/>
      <c r="B210" s="204">
        <v>42824</v>
      </c>
      <c r="C210" s="1">
        <v>114</v>
      </c>
      <c r="D210" s="1">
        <v>3000039331</v>
      </c>
      <c r="E210" s="1" t="s">
        <v>18</v>
      </c>
      <c r="F210" s="16">
        <v>242</v>
      </c>
      <c r="G210" s="213">
        <v>42816</v>
      </c>
      <c r="H210" s="1" t="s">
        <v>932</v>
      </c>
      <c r="I210" s="204">
        <v>42821</v>
      </c>
      <c r="J210" s="1" t="s">
        <v>8</v>
      </c>
      <c r="K210" s="1">
        <v>16.440000000000001</v>
      </c>
      <c r="L210" s="1">
        <v>16.440000000000001</v>
      </c>
      <c r="M210" s="5">
        <f t="shared" si="27"/>
        <v>16.440000000000001</v>
      </c>
      <c r="N210" s="211">
        <f t="shared" si="25"/>
        <v>42835</v>
      </c>
      <c r="O210" s="1">
        <v>925572</v>
      </c>
      <c r="P210" s="38">
        <f t="shared" si="26"/>
        <v>925572</v>
      </c>
      <c r="Q210" s="225"/>
    </row>
    <row r="211" spans="1:18" s="1" customFormat="1" x14ac:dyDescent="0.25">
      <c r="A211" s="84"/>
      <c r="B211" s="204">
        <v>42824</v>
      </c>
      <c r="C211" s="1">
        <v>114</v>
      </c>
      <c r="D211" s="1">
        <v>3000039331</v>
      </c>
      <c r="E211" s="1" t="s">
        <v>18</v>
      </c>
      <c r="F211" s="1">
        <v>243</v>
      </c>
      <c r="G211" s="213">
        <v>42816</v>
      </c>
      <c r="H211" s="1" t="s">
        <v>933</v>
      </c>
      <c r="I211" s="204">
        <v>42821</v>
      </c>
      <c r="J211" s="1" t="s">
        <v>8</v>
      </c>
      <c r="K211" s="1">
        <v>19.87</v>
      </c>
      <c r="L211" s="1">
        <v>19.77</v>
      </c>
      <c r="M211" s="5">
        <f t="shared" si="27"/>
        <v>19.77</v>
      </c>
      <c r="N211" s="211">
        <f t="shared" si="25"/>
        <v>42835</v>
      </c>
      <c r="O211" s="1">
        <v>1118681</v>
      </c>
      <c r="P211" s="38">
        <f t="shared" si="26"/>
        <v>1113051</v>
      </c>
      <c r="Q211" s="225"/>
    </row>
    <row r="212" spans="1:18" s="1" customFormat="1" x14ac:dyDescent="0.25">
      <c r="A212" s="84"/>
      <c r="B212" s="204">
        <v>42824</v>
      </c>
      <c r="C212" s="1">
        <v>114</v>
      </c>
      <c r="D212" s="1">
        <v>3000039524</v>
      </c>
      <c r="E212" s="1" t="s">
        <v>30</v>
      </c>
      <c r="F212" s="1">
        <v>842</v>
      </c>
      <c r="G212" s="213">
        <v>42815</v>
      </c>
      <c r="H212" s="1" t="s">
        <v>937</v>
      </c>
      <c r="I212" s="204">
        <v>42821</v>
      </c>
      <c r="J212" s="1" t="s">
        <v>229</v>
      </c>
      <c r="K212" s="1">
        <v>30.71</v>
      </c>
      <c r="L212" s="1">
        <v>30.66</v>
      </c>
      <c r="M212" s="5">
        <f t="shared" si="27"/>
        <v>30.66</v>
      </c>
      <c r="N212" s="211">
        <f t="shared" si="25"/>
        <v>42835</v>
      </c>
      <c r="O212" s="1">
        <v>1550855</v>
      </c>
      <c r="P212" s="38">
        <f t="shared" si="26"/>
        <v>1548330</v>
      </c>
      <c r="Q212" s="225"/>
    </row>
    <row r="213" spans="1:18" s="1" customFormat="1" x14ac:dyDescent="0.25">
      <c r="A213" s="84"/>
      <c r="B213" s="204">
        <v>42824</v>
      </c>
      <c r="C213" s="1">
        <v>114</v>
      </c>
      <c r="D213" s="1">
        <v>3000039524</v>
      </c>
      <c r="E213" s="1" t="s">
        <v>30</v>
      </c>
      <c r="F213" s="1">
        <v>849</v>
      </c>
      <c r="G213" s="213">
        <v>42816</v>
      </c>
      <c r="H213" s="1" t="s">
        <v>866</v>
      </c>
      <c r="I213" s="204">
        <v>42821</v>
      </c>
      <c r="J213" s="1" t="s">
        <v>229</v>
      </c>
      <c r="K213" s="1">
        <v>29.51</v>
      </c>
      <c r="L213" s="1">
        <v>29.46</v>
      </c>
      <c r="M213" s="5">
        <f t="shared" si="27"/>
        <v>29.46</v>
      </c>
      <c r="N213" s="211">
        <f t="shared" si="25"/>
        <v>42835</v>
      </c>
      <c r="O213" s="1">
        <v>1490255</v>
      </c>
      <c r="P213" s="38">
        <f t="shared" si="26"/>
        <v>1487730</v>
      </c>
      <c r="Q213" s="225"/>
    </row>
    <row r="214" spans="1:18" s="1" customFormat="1" x14ac:dyDescent="0.25">
      <c r="A214" s="84"/>
      <c r="B214" s="204">
        <v>42824</v>
      </c>
      <c r="C214" s="1">
        <v>114</v>
      </c>
      <c r="D214" s="1">
        <v>3000039328</v>
      </c>
      <c r="E214" s="1" t="s">
        <v>348</v>
      </c>
      <c r="F214" s="1">
        <v>367</v>
      </c>
      <c r="G214" s="213">
        <v>42817</v>
      </c>
      <c r="H214" s="1" t="s">
        <v>925</v>
      </c>
      <c r="I214" s="204">
        <v>42822</v>
      </c>
      <c r="J214" s="1" t="s">
        <v>8</v>
      </c>
      <c r="K214" s="1">
        <v>34.729999999999997</v>
      </c>
      <c r="L214" s="1">
        <v>34.700000000000003</v>
      </c>
      <c r="M214" s="5">
        <f t="shared" si="27"/>
        <v>34.700000000000003</v>
      </c>
      <c r="N214" s="211">
        <f t="shared" si="25"/>
        <v>42836</v>
      </c>
      <c r="O214" s="1">
        <v>1955299</v>
      </c>
      <c r="P214" s="38">
        <f t="shared" si="26"/>
        <v>1953610.0000000005</v>
      </c>
      <c r="Q214" s="225"/>
    </row>
    <row r="215" spans="1:18" s="1" customFormat="1" x14ac:dyDescent="0.25">
      <c r="A215" s="84"/>
      <c r="B215" s="204">
        <v>42824</v>
      </c>
      <c r="C215" s="1">
        <v>114</v>
      </c>
      <c r="D215" s="1">
        <v>3000039328</v>
      </c>
      <c r="E215" s="1" t="s">
        <v>348</v>
      </c>
      <c r="F215" s="1">
        <v>368</v>
      </c>
      <c r="G215" s="213">
        <v>42817</v>
      </c>
      <c r="H215" s="1" t="s">
        <v>926</v>
      </c>
      <c r="I215" s="204">
        <v>42822</v>
      </c>
      <c r="J215" s="1" t="s">
        <v>8</v>
      </c>
      <c r="K215" s="1">
        <v>7.11</v>
      </c>
      <c r="L215" s="1">
        <v>7.1</v>
      </c>
      <c r="M215" s="5">
        <f t="shared" si="27"/>
        <v>7.1</v>
      </c>
      <c r="N215" s="211">
        <f t="shared" si="25"/>
        <v>42836</v>
      </c>
      <c r="O215" s="1">
        <v>400293</v>
      </c>
      <c r="P215" s="38">
        <f t="shared" si="26"/>
        <v>399730</v>
      </c>
      <c r="Q215" s="225"/>
    </row>
    <row r="216" spans="1:18" s="1" customFormat="1" x14ac:dyDescent="0.25">
      <c r="A216" s="84"/>
      <c r="B216" s="204">
        <v>42824</v>
      </c>
      <c r="C216" s="1">
        <v>114</v>
      </c>
      <c r="D216" s="1">
        <v>3000039344</v>
      </c>
      <c r="E216" s="1" t="s">
        <v>348</v>
      </c>
      <c r="F216" s="1">
        <v>369</v>
      </c>
      <c r="G216" s="213">
        <v>42817</v>
      </c>
      <c r="H216" s="1" t="s">
        <v>926</v>
      </c>
      <c r="I216" s="204">
        <v>42822</v>
      </c>
      <c r="J216" s="1" t="s">
        <v>8</v>
      </c>
      <c r="K216" s="1">
        <v>27.83</v>
      </c>
      <c r="L216" s="1">
        <v>27.83</v>
      </c>
      <c r="M216" s="5">
        <f t="shared" si="27"/>
        <v>27.83</v>
      </c>
      <c r="N216" s="211">
        <f t="shared" si="25"/>
        <v>42836</v>
      </c>
      <c r="O216" s="1">
        <v>1558480</v>
      </c>
      <c r="P216" s="38">
        <f t="shared" si="26"/>
        <v>1558480</v>
      </c>
      <c r="Q216" s="225"/>
    </row>
    <row r="217" spans="1:18" s="1" customFormat="1" x14ac:dyDescent="0.25">
      <c r="A217" s="84"/>
      <c r="B217" s="204">
        <v>42824</v>
      </c>
      <c r="C217" s="1">
        <v>114</v>
      </c>
      <c r="D217" s="1">
        <v>3000039251</v>
      </c>
      <c r="E217" s="1" t="s">
        <v>18</v>
      </c>
      <c r="F217" s="1">
        <v>240</v>
      </c>
      <c r="G217" s="213">
        <v>42814</v>
      </c>
      <c r="H217" s="1" t="s">
        <v>931</v>
      </c>
      <c r="I217" s="204">
        <v>42822</v>
      </c>
      <c r="J217" s="1" t="s">
        <v>8</v>
      </c>
      <c r="K217" s="1">
        <v>28.61</v>
      </c>
      <c r="L217" s="1">
        <v>28.5</v>
      </c>
      <c r="M217" s="5">
        <f t="shared" si="27"/>
        <v>28.5</v>
      </c>
      <c r="N217" s="211">
        <f t="shared" si="25"/>
        <v>42836</v>
      </c>
      <c r="O217" s="1">
        <v>1633631</v>
      </c>
      <c r="P217" s="38">
        <f t="shared" si="26"/>
        <v>1627350</v>
      </c>
      <c r="Q217" s="225"/>
    </row>
    <row r="218" spans="1:18" s="1" customFormat="1" x14ac:dyDescent="0.25">
      <c r="A218" s="84"/>
      <c r="B218" s="204">
        <v>42824</v>
      </c>
      <c r="C218" s="1">
        <v>103</v>
      </c>
      <c r="D218" s="1">
        <v>3000038739</v>
      </c>
      <c r="E218" s="1" t="s">
        <v>201</v>
      </c>
      <c r="F218" s="1">
        <v>478</v>
      </c>
      <c r="G218" s="213">
        <v>42814</v>
      </c>
      <c r="H218" s="1" t="s">
        <v>452</v>
      </c>
      <c r="I218" s="204">
        <v>42818</v>
      </c>
      <c r="J218" s="1" t="s">
        <v>61</v>
      </c>
      <c r="K218" s="1">
        <v>20.21</v>
      </c>
      <c r="L218" s="1">
        <v>20.18</v>
      </c>
      <c r="M218" s="5">
        <f t="shared" si="27"/>
        <v>20.18</v>
      </c>
      <c r="N218" s="211">
        <f>+I218+20-1</f>
        <v>42837</v>
      </c>
      <c r="O218" s="1">
        <v>2669538</v>
      </c>
      <c r="P218" s="38">
        <f t="shared" si="26"/>
        <v>2665575.3013359723</v>
      </c>
      <c r="Q218" s="225"/>
    </row>
    <row r="219" spans="1:18" s="1" customFormat="1" x14ac:dyDescent="0.25">
      <c r="A219" s="84"/>
      <c r="B219" s="204">
        <v>42802</v>
      </c>
      <c r="C219" s="1">
        <v>114</v>
      </c>
      <c r="D219" s="1">
        <v>3000038931</v>
      </c>
      <c r="E219" s="1" t="s">
        <v>30</v>
      </c>
      <c r="F219" s="1">
        <v>769</v>
      </c>
      <c r="G219" s="213">
        <v>42793</v>
      </c>
      <c r="H219" s="1" t="s">
        <v>756</v>
      </c>
      <c r="I219" s="204">
        <v>42830</v>
      </c>
      <c r="J219" s="1" t="s">
        <v>229</v>
      </c>
      <c r="K219" s="1">
        <v>33.56</v>
      </c>
      <c r="L219" s="1">
        <v>33.450000000000003</v>
      </c>
      <c r="M219" s="5">
        <f t="shared" si="27"/>
        <v>33.450000000000003</v>
      </c>
      <c r="N219" s="211">
        <f>+I219+15-1</f>
        <v>42844</v>
      </c>
      <c r="O219" s="1">
        <v>1711660</v>
      </c>
      <c r="P219" s="38">
        <f t="shared" si="26"/>
        <v>1706049.6722288439</v>
      </c>
      <c r="Q219" s="225"/>
    </row>
    <row r="220" spans="1:18" s="1" customFormat="1" x14ac:dyDescent="0.25">
      <c r="A220" s="84"/>
      <c r="B220" s="204">
        <v>42802</v>
      </c>
      <c r="C220" s="1">
        <v>114</v>
      </c>
      <c r="D220" s="1">
        <v>3000038931</v>
      </c>
      <c r="E220" s="1" t="s">
        <v>30</v>
      </c>
      <c r="F220" s="1">
        <v>772</v>
      </c>
      <c r="G220" s="213">
        <v>42794</v>
      </c>
      <c r="H220" s="1" t="s">
        <v>757</v>
      </c>
      <c r="I220" s="204">
        <v>42830</v>
      </c>
      <c r="J220" s="1" t="s">
        <v>229</v>
      </c>
      <c r="K220" s="1">
        <v>33.79</v>
      </c>
      <c r="L220" s="1">
        <v>33.729999999999997</v>
      </c>
      <c r="M220" s="5">
        <f t="shared" si="27"/>
        <v>33.729999999999997</v>
      </c>
      <c r="N220" s="211">
        <f>+I220+15-1</f>
        <v>42844</v>
      </c>
      <c r="O220" s="1">
        <v>1723290</v>
      </c>
      <c r="P220" s="38">
        <f t="shared" si="26"/>
        <v>1720229.9999999998</v>
      </c>
      <c r="Q220" s="225"/>
    </row>
    <row r="221" spans="1:18" s="1" customFormat="1" x14ac:dyDescent="0.25">
      <c r="A221" s="84"/>
      <c r="B221" s="204"/>
      <c r="G221" s="213"/>
      <c r="I221" s="204"/>
      <c r="M221" s="5"/>
      <c r="N221" s="211"/>
      <c r="P221" s="38"/>
      <c r="Q221" s="225"/>
    </row>
    <row r="222" spans="1:18" x14ac:dyDescent="0.25">
      <c r="J222" s="140"/>
      <c r="P222" s="317"/>
      <c r="Q222" s="310"/>
      <c r="R222" s="140"/>
    </row>
  </sheetData>
  <autoFilter ref="A2:BL221"/>
  <sortState ref="A3:Q220">
    <sortCondition ref="N3:N220"/>
  </sortState>
  <conditionalFormatting sqref="P3:P7">
    <cfRule type="cellIs" dxfId="975" priority="429" operator="lessThan">
      <formula>#REF!</formula>
    </cfRule>
  </conditionalFormatting>
  <conditionalFormatting sqref="P8:P9">
    <cfRule type="cellIs" dxfId="974" priority="209" operator="lessThan">
      <formula>#REF!</formula>
    </cfRule>
  </conditionalFormatting>
  <conditionalFormatting sqref="N3:N9">
    <cfRule type="cellIs" dxfId="973" priority="200" operator="lessThan">
      <formula>$N$1</formula>
    </cfRule>
  </conditionalFormatting>
  <conditionalFormatting sqref="P45 P10:P43 P48:P52 P64 P66:P158 P162:P221">
    <cfRule type="cellIs" dxfId="972" priority="57" operator="lessThan">
      <formula>#REF!</formula>
    </cfRule>
  </conditionalFormatting>
  <conditionalFormatting sqref="P44">
    <cfRule type="cellIs" dxfId="971" priority="56" operator="lessThan">
      <formula>#REF!</formula>
    </cfRule>
  </conditionalFormatting>
  <conditionalFormatting sqref="P54">
    <cfRule type="cellIs" dxfId="970" priority="54" operator="lessThan">
      <formula>#REF!</formula>
    </cfRule>
  </conditionalFormatting>
  <conditionalFormatting sqref="P55">
    <cfRule type="cellIs" dxfId="969" priority="53" operator="lessThan">
      <formula>#REF!</formula>
    </cfRule>
  </conditionalFormatting>
  <conditionalFormatting sqref="P56">
    <cfRule type="cellIs" dxfId="968" priority="52" operator="lessThan">
      <formula>#REF!</formula>
    </cfRule>
  </conditionalFormatting>
  <conditionalFormatting sqref="P57">
    <cfRule type="cellIs" dxfId="967" priority="51" operator="lessThan">
      <formula>#REF!</formula>
    </cfRule>
  </conditionalFormatting>
  <conditionalFormatting sqref="P53">
    <cfRule type="cellIs" dxfId="966" priority="50" operator="lessThan">
      <formula>#REF!</formula>
    </cfRule>
  </conditionalFormatting>
  <conditionalFormatting sqref="P58">
    <cfRule type="cellIs" dxfId="965" priority="49" operator="lessThan">
      <formula>#REF!</formula>
    </cfRule>
  </conditionalFormatting>
  <conditionalFormatting sqref="P59">
    <cfRule type="cellIs" dxfId="964" priority="48" operator="lessThan">
      <formula>#REF!</formula>
    </cfRule>
  </conditionalFormatting>
  <conditionalFormatting sqref="P60">
    <cfRule type="cellIs" dxfId="963" priority="47" operator="lessThan">
      <formula>#REF!</formula>
    </cfRule>
  </conditionalFormatting>
  <conditionalFormatting sqref="P61">
    <cfRule type="cellIs" dxfId="962" priority="46" operator="lessThan">
      <formula>#REF!</formula>
    </cfRule>
  </conditionalFormatting>
  <conditionalFormatting sqref="P62">
    <cfRule type="cellIs" dxfId="961" priority="45" operator="lessThan">
      <formula>#REF!</formula>
    </cfRule>
  </conditionalFormatting>
  <conditionalFormatting sqref="P63">
    <cfRule type="cellIs" dxfId="960" priority="44" operator="lessThan">
      <formula>#REF!</formula>
    </cfRule>
  </conditionalFormatting>
  <conditionalFormatting sqref="N10:N13 N15:N45 N48:N64">
    <cfRule type="cellIs" dxfId="959" priority="27" operator="lessThan">
      <formula>#REF!</formula>
    </cfRule>
  </conditionalFormatting>
  <conditionalFormatting sqref="N10:N13 N15:N45 N48:N64">
    <cfRule type="cellIs" dxfId="958" priority="26" operator="lessThan">
      <formula>$N$1</formula>
    </cfRule>
  </conditionalFormatting>
  <conditionalFormatting sqref="N69:N77">
    <cfRule type="cellIs" dxfId="957" priority="25" operator="lessThan">
      <formula>#REF!</formula>
    </cfRule>
  </conditionalFormatting>
  <conditionalFormatting sqref="N69:N77">
    <cfRule type="cellIs" dxfId="956" priority="24" operator="lessThan">
      <formula>$N$1</formula>
    </cfRule>
  </conditionalFormatting>
  <conditionalFormatting sqref="N78:N158 N162:N221">
    <cfRule type="cellIs" dxfId="955" priority="23" operator="lessThan">
      <formula>#REF!</formula>
    </cfRule>
  </conditionalFormatting>
  <conditionalFormatting sqref="N78:N158 N162:N221">
    <cfRule type="cellIs" dxfId="954" priority="22" operator="lessThan">
      <formula>$N$1</formula>
    </cfRule>
  </conditionalFormatting>
  <conditionalFormatting sqref="P46">
    <cfRule type="cellIs" dxfId="953" priority="16" operator="lessThan">
      <formula>#REF!</formula>
    </cfRule>
  </conditionalFormatting>
  <conditionalFormatting sqref="N46">
    <cfRule type="cellIs" dxfId="952" priority="15" operator="lessThan">
      <formula>#REF!</formula>
    </cfRule>
  </conditionalFormatting>
  <conditionalFormatting sqref="N46">
    <cfRule type="cellIs" dxfId="951" priority="14" operator="lessThan">
      <formula>$N$1</formula>
    </cfRule>
  </conditionalFormatting>
  <conditionalFormatting sqref="P47">
    <cfRule type="cellIs" dxfId="950" priority="13" operator="lessThan">
      <formula>#REF!</formula>
    </cfRule>
  </conditionalFormatting>
  <conditionalFormatting sqref="N47">
    <cfRule type="cellIs" dxfId="949" priority="12" operator="lessThan">
      <formula>#REF!</formula>
    </cfRule>
  </conditionalFormatting>
  <conditionalFormatting sqref="N47">
    <cfRule type="cellIs" dxfId="948" priority="11" operator="lessThan">
      <formula>$N$1</formula>
    </cfRule>
  </conditionalFormatting>
  <conditionalFormatting sqref="P65">
    <cfRule type="cellIs" dxfId="947" priority="10" operator="lessThan">
      <formula>#REF!</formula>
    </cfRule>
  </conditionalFormatting>
  <conditionalFormatting sqref="P159">
    <cfRule type="cellIs" dxfId="946" priority="9" operator="lessThan">
      <formula>#REF!</formula>
    </cfRule>
  </conditionalFormatting>
  <conditionalFormatting sqref="N159">
    <cfRule type="cellIs" dxfId="945" priority="8" operator="lessThan">
      <formula>#REF!</formula>
    </cfRule>
  </conditionalFormatting>
  <conditionalFormatting sqref="N159">
    <cfRule type="cellIs" dxfId="944" priority="7" operator="lessThan">
      <formula>$N$1</formula>
    </cfRule>
  </conditionalFormatting>
  <conditionalFormatting sqref="P160">
    <cfRule type="cellIs" dxfId="943" priority="6" operator="lessThan">
      <formula>#REF!</formula>
    </cfRule>
  </conditionalFormatting>
  <conditionalFormatting sqref="N160">
    <cfRule type="cellIs" dxfId="942" priority="5" operator="lessThan">
      <formula>#REF!</formula>
    </cfRule>
  </conditionalFormatting>
  <conditionalFormatting sqref="N160">
    <cfRule type="cellIs" dxfId="941" priority="4" operator="lessThan">
      <formula>$N$1</formula>
    </cfRule>
  </conditionalFormatting>
  <conditionalFormatting sqref="P161">
    <cfRule type="cellIs" dxfId="940" priority="3" operator="lessThan">
      <formula>#REF!</formula>
    </cfRule>
  </conditionalFormatting>
  <conditionalFormatting sqref="N161">
    <cfRule type="cellIs" dxfId="939" priority="2" operator="lessThan">
      <formula>#REF!</formula>
    </cfRule>
  </conditionalFormatting>
  <conditionalFormatting sqref="N161">
    <cfRule type="cellIs" dxfId="938" priority="1" operator="lessThan">
      <formula>$N$1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521"/>
  <sheetViews>
    <sheetView workbookViewId="0">
      <pane ySplit="2" topLeftCell="A2253" activePane="bottomLeft" state="frozen"/>
      <selection activeCell="E1" sqref="E1"/>
      <selection pane="bottomLeft" activeCell="A2266" sqref="A2266:XFD2266"/>
    </sheetView>
  </sheetViews>
  <sheetFormatPr defaultRowHeight="15" x14ac:dyDescent="0.25"/>
  <cols>
    <col min="1" max="1" width="6.140625" customWidth="1"/>
    <col min="2" max="2" width="10.42578125" customWidth="1"/>
    <col min="3" max="3" width="6" customWidth="1"/>
    <col min="4" max="4" width="11.85546875" customWidth="1"/>
    <col min="5" max="5" width="36" customWidth="1"/>
    <col min="6" max="6" width="18.85546875" customWidth="1"/>
    <col min="7" max="8" width="10.85546875" customWidth="1"/>
    <col min="9" max="9" width="13" customWidth="1"/>
    <col min="10" max="10" width="8" customWidth="1"/>
    <col min="11" max="11" width="7.7109375" customWidth="1"/>
    <col min="12" max="12" width="6.85546875" customWidth="1"/>
    <col min="13" max="13" width="12.5703125" customWidth="1"/>
    <col min="14" max="14" width="14.42578125" customWidth="1"/>
    <col min="15" max="15" width="15.5703125" customWidth="1"/>
    <col min="16" max="16" width="15.28515625" customWidth="1"/>
    <col min="17" max="17" width="14.42578125" customWidth="1"/>
    <col min="18" max="18" width="14" style="1" bestFit="1" customWidth="1"/>
    <col min="19" max="19" width="9.140625" style="77" customWidth="1"/>
  </cols>
  <sheetData>
    <row r="1" spans="1:19" ht="1.5" customHeight="1" x14ac:dyDescent="0.25"/>
    <row r="2" spans="1:19" ht="15" customHeight="1" x14ac:dyDescent="0.25">
      <c r="A2" s="2" t="s">
        <v>6</v>
      </c>
      <c r="B2" s="2" t="s">
        <v>0</v>
      </c>
      <c r="C2" s="2" t="s">
        <v>7</v>
      </c>
      <c r="D2" s="4" t="s">
        <v>19</v>
      </c>
      <c r="E2" s="2" t="s">
        <v>3</v>
      </c>
      <c r="F2" s="2" t="s">
        <v>2</v>
      </c>
      <c r="G2" s="2" t="s">
        <v>1</v>
      </c>
      <c r="H2" s="2" t="s">
        <v>635</v>
      </c>
      <c r="I2" s="2" t="s">
        <v>11</v>
      </c>
      <c r="J2" s="2" t="s">
        <v>4</v>
      </c>
      <c r="K2" s="2" t="s">
        <v>9</v>
      </c>
      <c r="L2" s="2" t="s">
        <v>10</v>
      </c>
      <c r="M2" s="2" t="s">
        <v>13</v>
      </c>
      <c r="N2" s="2" t="s">
        <v>12</v>
      </c>
      <c r="O2" s="2" t="s">
        <v>5</v>
      </c>
      <c r="P2" s="2" t="s">
        <v>14</v>
      </c>
      <c r="Q2" s="9" t="s">
        <v>45</v>
      </c>
      <c r="R2" s="151" t="s">
        <v>21</v>
      </c>
      <c r="S2" s="184" t="s">
        <v>38</v>
      </c>
    </row>
    <row r="3" spans="1:19" s="3" customFormat="1" hidden="1" x14ac:dyDescent="0.25">
      <c r="A3" s="95" t="e">
        <f>+closed!#REF!+1</f>
        <v>#REF!</v>
      </c>
      <c r="B3" s="42">
        <v>42429</v>
      </c>
      <c r="C3" s="39">
        <v>114</v>
      </c>
      <c r="D3" s="39">
        <v>3000027948</v>
      </c>
      <c r="E3" s="39" t="s">
        <v>49</v>
      </c>
      <c r="F3" s="39">
        <v>6</v>
      </c>
      <c r="G3" s="43">
        <v>42416</v>
      </c>
      <c r="H3" s="43"/>
      <c r="I3" s="43">
        <v>42422</v>
      </c>
      <c r="J3" s="39" t="s">
        <v>8</v>
      </c>
      <c r="K3" s="39">
        <v>22.395</v>
      </c>
      <c r="L3" s="39">
        <v>22.395</v>
      </c>
      <c r="M3" s="39">
        <f>IF(L3&gt;K3,K3,L3)</f>
        <v>22.395</v>
      </c>
      <c r="N3" s="40">
        <f t="shared" ref="N3:N34" si="0">+I3+15-1</f>
        <v>42436</v>
      </c>
      <c r="O3" s="39">
        <v>906997</v>
      </c>
      <c r="P3" s="38">
        <f>(+O3/K3*M3)</f>
        <v>906997</v>
      </c>
      <c r="Q3" s="171">
        <v>42461</v>
      </c>
      <c r="R3" s="28">
        <v>42461</v>
      </c>
      <c r="S3" s="185">
        <f t="shared" ref="S3:S34" si="1">R3-N3</f>
        <v>25</v>
      </c>
    </row>
    <row r="4" spans="1:19" s="3" customFormat="1" hidden="1" x14ac:dyDescent="0.25">
      <c r="A4" s="95" t="e">
        <f>+closed!#REF!+1</f>
        <v>#REF!</v>
      </c>
      <c r="B4" s="42">
        <v>42429</v>
      </c>
      <c r="C4" s="39">
        <v>114</v>
      </c>
      <c r="D4" s="39">
        <v>3000028083</v>
      </c>
      <c r="E4" s="39" t="s">
        <v>24</v>
      </c>
      <c r="F4" s="39">
        <v>224</v>
      </c>
      <c r="G4" s="43">
        <v>42420</v>
      </c>
      <c r="H4" s="43"/>
      <c r="I4" s="43">
        <v>42422</v>
      </c>
      <c r="J4" s="39" t="s">
        <v>16</v>
      </c>
      <c r="K4" s="39">
        <v>18</v>
      </c>
      <c r="L4" s="39">
        <v>17.925000000000001</v>
      </c>
      <c r="M4" s="39">
        <f>IF(L4&gt;K4,K4,L4)</f>
        <v>17.925000000000001</v>
      </c>
      <c r="N4" s="40">
        <f t="shared" si="0"/>
        <v>42436</v>
      </c>
      <c r="O4" s="39">
        <v>804600</v>
      </c>
      <c r="P4" s="38">
        <f>(+O4/K4*M4)</f>
        <v>801247.5</v>
      </c>
      <c r="Q4" s="171">
        <v>42461</v>
      </c>
      <c r="R4" s="28">
        <v>42461</v>
      </c>
      <c r="S4" s="185">
        <f t="shared" si="1"/>
        <v>25</v>
      </c>
    </row>
    <row r="5" spans="1:19" s="3" customFormat="1" hidden="1" x14ac:dyDescent="0.25">
      <c r="A5" s="95" t="e">
        <f>+closed!#REF!+1</f>
        <v>#REF!</v>
      </c>
      <c r="B5" s="42">
        <v>42429</v>
      </c>
      <c r="C5" s="39">
        <v>114</v>
      </c>
      <c r="D5" s="39">
        <v>3000027627</v>
      </c>
      <c r="E5" s="39" t="s">
        <v>39</v>
      </c>
      <c r="F5" s="39">
        <v>173</v>
      </c>
      <c r="G5" s="43">
        <v>42422</v>
      </c>
      <c r="H5" s="43"/>
      <c r="I5" s="43">
        <v>42424</v>
      </c>
      <c r="J5" s="39" t="s">
        <v>16</v>
      </c>
      <c r="K5" s="39">
        <v>27.28</v>
      </c>
      <c r="L5" s="39">
        <v>27.26</v>
      </c>
      <c r="M5" s="39">
        <f>IF(L5&gt;K5,K5,L5)</f>
        <v>27.26</v>
      </c>
      <c r="N5" s="40">
        <f t="shared" si="0"/>
        <v>42438</v>
      </c>
      <c r="O5" s="39">
        <v>1102112</v>
      </c>
      <c r="P5" s="38">
        <f>(+O5/K5*M5)</f>
        <v>1101304</v>
      </c>
      <c r="Q5" s="171">
        <v>42461</v>
      </c>
      <c r="R5" s="28">
        <v>42461</v>
      </c>
      <c r="S5" s="185">
        <f t="shared" si="1"/>
        <v>23</v>
      </c>
    </row>
    <row r="6" spans="1:19" s="3" customFormat="1" hidden="1" x14ac:dyDescent="0.25">
      <c r="A6" s="95" t="e">
        <f>+closed!#REF!+1</f>
        <v>#REF!</v>
      </c>
      <c r="B6" s="42">
        <v>42431</v>
      </c>
      <c r="C6" s="39">
        <v>114</v>
      </c>
      <c r="D6" s="39">
        <v>3000028101</v>
      </c>
      <c r="E6" s="39" t="s">
        <v>36</v>
      </c>
      <c r="F6" s="39">
        <v>1066</v>
      </c>
      <c r="G6" s="43">
        <v>42419</v>
      </c>
      <c r="H6" s="43"/>
      <c r="I6" s="43">
        <v>42426</v>
      </c>
      <c r="J6" s="39" t="s">
        <v>16</v>
      </c>
      <c r="K6" s="39">
        <v>19.96</v>
      </c>
      <c r="L6" s="39">
        <v>20.04</v>
      </c>
      <c r="M6" s="39">
        <f>IF(L6&gt;K6,K6,L6)</f>
        <v>19.96</v>
      </c>
      <c r="N6" s="40">
        <f t="shared" si="0"/>
        <v>42440</v>
      </c>
      <c r="O6" s="39">
        <v>892212</v>
      </c>
      <c r="P6" s="38">
        <f>(+O6/K6*M6)</f>
        <v>892212</v>
      </c>
      <c r="Q6" s="171">
        <v>42461</v>
      </c>
      <c r="R6" s="28">
        <v>42461</v>
      </c>
      <c r="S6" s="185">
        <f t="shared" si="1"/>
        <v>21</v>
      </c>
    </row>
    <row r="7" spans="1:19" s="3" customFormat="1" hidden="1" x14ac:dyDescent="0.25">
      <c r="A7" s="95">
        <f>+closed!A526+1</f>
        <v>120</v>
      </c>
      <c r="B7" s="42">
        <v>42436</v>
      </c>
      <c r="C7" s="48">
        <v>114</v>
      </c>
      <c r="D7" s="44" t="s">
        <v>53</v>
      </c>
      <c r="E7" s="49" t="s">
        <v>18</v>
      </c>
      <c r="F7" s="39" t="s">
        <v>54</v>
      </c>
      <c r="G7" s="43">
        <v>42433</v>
      </c>
      <c r="H7" s="43"/>
      <c r="I7" s="43">
        <v>42426</v>
      </c>
      <c r="J7" s="39" t="s">
        <v>16</v>
      </c>
      <c r="K7" s="39"/>
      <c r="L7" s="39"/>
      <c r="M7" s="39"/>
      <c r="N7" s="40">
        <f t="shared" si="0"/>
        <v>42440</v>
      </c>
      <c r="O7" s="39">
        <v>17187</v>
      </c>
      <c r="P7" s="38"/>
      <c r="Q7" s="171">
        <v>42461</v>
      </c>
      <c r="R7" s="28">
        <v>42461</v>
      </c>
      <c r="S7" s="185">
        <f t="shared" si="1"/>
        <v>21</v>
      </c>
    </row>
    <row r="8" spans="1:19" s="3" customFormat="1" hidden="1" x14ac:dyDescent="0.25">
      <c r="A8" s="95">
        <f>+closed!A7+1</f>
        <v>121</v>
      </c>
      <c r="B8" s="42">
        <v>42436</v>
      </c>
      <c r="C8" s="48">
        <v>114</v>
      </c>
      <c r="D8" s="39">
        <v>3000027383</v>
      </c>
      <c r="E8" s="39" t="s">
        <v>18</v>
      </c>
      <c r="F8" s="39">
        <v>213</v>
      </c>
      <c r="G8" s="43">
        <v>42415</v>
      </c>
      <c r="H8" s="43"/>
      <c r="I8" s="43">
        <v>42426</v>
      </c>
      <c r="J8" s="39" t="s">
        <v>16</v>
      </c>
      <c r="K8" s="39">
        <v>7</v>
      </c>
      <c r="L8" s="39">
        <v>7</v>
      </c>
      <c r="M8" s="39">
        <f t="shared" ref="M8:M40" si="2">IF(L8&gt;K8,K8,L8)</f>
        <v>7</v>
      </c>
      <c r="N8" s="40">
        <f t="shared" si="0"/>
        <v>42440</v>
      </c>
      <c r="O8" s="39">
        <v>275100</v>
      </c>
      <c r="P8" s="38">
        <f>(+O8/K8*M8)</f>
        <v>275100</v>
      </c>
      <c r="Q8" s="171">
        <v>42461</v>
      </c>
      <c r="R8" s="28">
        <v>42461</v>
      </c>
      <c r="S8" s="185">
        <f t="shared" si="1"/>
        <v>21</v>
      </c>
    </row>
    <row r="9" spans="1:19" s="3" customFormat="1" hidden="1" x14ac:dyDescent="0.25">
      <c r="A9" s="95">
        <f>+closed!A8+1</f>
        <v>122</v>
      </c>
      <c r="B9" s="42">
        <v>42436</v>
      </c>
      <c r="C9" s="48">
        <v>114</v>
      </c>
      <c r="D9" s="39">
        <v>3000027390</v>
      </c>
      <c r="E9" s="39" t="s">
        <v>18</v>
      </c>
      <c r="F9" s="39">
        <v>213</v>
      </c>
      <c r="G9" s="43">
        <v>42415</v>
      </c>
      <c r="H9" s="43"/>
      <c r="I9" s="43">
        <v>42426</v>
      </c>
      <c r="J9" s="39" t="s">
        <v>16</v>
      </c>
      <c r="K9" s="39">
        <v>22.545000000000002</v>
      </c>
      <c r="L9" s="39">
        <v>22.33</v>
      </c>
      <c r="M9" s="39">
        <f t="shared" si="2"/>
        <v>22.33</v>
      </c>
      <c r="N9" s="40">
        <f t="shared" si="0"/>
        <v>42440</v>
      </c>
      <c r="O9" s="39">
        <v>886018</v>
      </c>
      <c r="P9" s="38">
        <f>(+O9/K9*M9)-17187</f>
        <v>860381.5047682412</v>
      </c>
      <c r="Q9" s="171">
        <v>42461</v>
      </c>
      <c r="R9" s="28">
        <v>42461</v>
      </c>
      <c r="S9" s="185">
        <f t="shared" si="1"/>
        <v>21</v>
      </c>
    </row>
    <row r="10" spans="1:19" s="3" customFormat="1" hidden="1" x14ac:dyDescent="0.25">
      <c r="A10" s="95" t="e">
        <f>+closed!#REF!+1</f>
        <v>#REF!</v>
      </c>
      <c r="B10" s="42">
        <v>42436</v>
      </c>
      <c r="C10" s="48">
        <v>114</v>
      </c>
      <c r="D10" s="39">
        <v>3000028102</v>
      </c>
      <c r="E10" s="39" t="s">
        <v>29</v>
      </c>
      <c r="F10" s="39">
        <v>374</v>
      </c>
      <c r="G10" s="43">
        <v>42355</v>
      </c>
      <c r="H10" s="43"/>
      <c r="I10" s="43">
        <v>42427</v>
      </c>
      <c r="J10" s="39" t="s">
        <v>16</v>
      </c>
      <c r="K10" s="39">
        <v>25.33</v>
      </c>
      <c r="L10" s="39">
        <v>25.23</v>
      </c>
      <c r="M10" s="39">
        <f t="shared" si="2"/>
        <v>25.23</v>
      </c>
      <c r="N10" s="40">
        <f t="shared" si="0"/>
        <v>42441</v>
      </c>
      <c r="O10" s="39">
        <v>1132251</v>
      </c>
      <c r="P10" s="38">
        <f t="shared" ref="P10:P40" si="3">(+O10/K10*M10)</f>
        <v>1127781</v>
      </c>
      <c r="Q10" s="171">
        <v>42461</v>
      </c>
      <c r="R10" s="28">
        <v>42461</v>
      </c>
      <c r="S10" s="185">
        <f t="shared" si="1"/>
        <v>20</v>
      </c>
    </row>
    <row r="11" spans="1:19" s="3" customFormat="1" hidden="1" x14ac:dyDescent="0.25">
      <c r="A11" s="95" t="e">
        <f>+closed!#REF!+1</f>
        <v>#REF!</v>
      </c>
      <c r="B11" s="42">
        <v>42436</v>
      </c>
      <c r="C11" s="48">
        <v>114</v>
      </c>
      <c r="D11" s="39">
        <v>3000027513</v>
      </c>
      <c r="E11" s="39" t="s">
        <v>15</v>
      </c>
      <c r="F11" s="39">
        <v>2876</v>
      </c>
      <c r="G11" s="43">
        <v>42427</v>
      </c>
      <c r="H11" s="43"/>
      <c r="I11" s="43">
        <v>42431</v>
      </c>
      <c r="J11" s="39" t="s">
        <v>16</v>
      </c>
      <c r="K11" s="39">
        <v>27.42</v>
      </c>
      <c r="L11" s="39">
        <v>27.32</v>
      </c>
      <c r="M11" s="39">
        <f t="shared" si="2"/>
        <v>27.32</v>
      </c>
      <c r="N11" s="40">
        <f t="shared" si="0"/>
        <v>42445</v>
      </c>
      <c r="O11" s="39">
        <v>1107768</v>
      </c>
      <c r="P11" s="38">
        <f t="shared" si="3"/>
        <v>1103728</v>
      </c>
      <c r="Q11" s="171">
        <v>42461</v>
      </c>
      <c r="R11" s="28">
        <v>42461</v>
      </c>
      <c r="S11" s="185">
        <f t="shared" si="1"/>
        <v>16</v>
      </c>
    </row>
    <row r="12" spans="1:19" s="3" customFormat="1" hidden="1" x14ac:dyDescent="0.25">
      <c r="A12" s="95" t="e">
        <f>+closed!#REF!+1</f>
        <v>#REF!</v>
      </c>
      <c r="B12" s="42">
        <v>42436</v>
      </c>
      <c r="C12" s="39">
        <v>114</v>
      </c>
      <c r="D12" s="39">
        <v>3000028100</v>
      </c>
      <c r="E12" s="39" t="s">
        <v>44</v>
      </c>
      <c r="F12" s="39">
        <v>123</v>
      </c>
      <c r="G12" s="43">
        <v>42426</v>
      </c>
      <c r="H12" s="43"/>
      <c r="I12" s="43">
        <v>42433</v>
      </c>
      <c r="J12" s="39" t="s">
        <v>8</v>
      </c>
      <c r="K12" s="39">
        <v>26.53</v>
      </c>
      <c r="L12" s="39">
        <v>26.38</v>
      </c>
      <c r="M12" s="39">
        <f t="shared" si="2"/>
        <v>26.38</v>
      </c>
      <c r="N12" s="40">
        <f t="shared" si="0"/>
        <v>42447</v>
      </c>
      <c r="O12" s="39">
        <v>1140790</v>
      </c>
      <c r="P12" s="38">
        <f t="shared" si="3"/>
        <v>1134340</v>
      </c>
      <c r="Q12" s="171">
        <v>42461</v>
      </c>
      <c r="R12" s="28">
        <v>42461</v>
      </c>
      <c r="S12" s="185">
        <f t="shared" si="1"/>
        <v>14</v>
      </c>
    </row>
    <row r="13" spans="1:19" s="3" customFormat="1" hidden="1" x14ac:dyDescent="0.25">
      <c r="A13" s="95">
        <f>+closed!A34+1</f>
        <v>130</v>
      </c>
      <c r="B13" s="42">
        <v>42444</v>
      </c>
      <c r="C13" s="39">
        <v>114</v>
      </c>
      <c r="D13" s="39">
        <v>3000028260</v>
      </c>
      <c r="E13" s="39" t="s">
        <v>37</v>
      </c>
      <c r="F13" s="39">
        <v>281</v>
      </c>
      <c r="G13" s="43">
        <v>42427</v>
      </c>
      <c r="H13" s="43"/>
      <c r="I13" s="43">
        <v>42434</v>
      </c>
      <c r="J13" s="39" t="s">
        <v>8</v>
      </c>
      <c r="K13" s="39">
        <v>27.2</v>
      </c>
      <c r="L13" s="39">
        <v>27.16</v>
      </c>
      <c r="M13" s="39">
        <f t="shared" si="2"/>
        <v>27.16</v>
      </c>
      <c r="N13" s="40">
        <f t="shared" si="0"/>
        <v>42448</v>
      </c>
      <c r="O13" s="39">
        <v>1221280</v>
      </c>
      <c r="P13" s="38">
        <f t="shared" si="3"/>
        <v>1219484</v>
      </c>
      <c r="Q13" s="171">
        <v>42461</v>
      </c>
      <c r="R13" s="28">
        <v>42461</v>
      </c>
      <c r="S13" s="185">
        <f t="shared" si="1"/>
        <v>13</v>
      </c>
    </row>
    <row r="14" spans="1:19" s="3" customFormat="1" hidden="1" x14ac:dyDescent="0.25">
      <c r="A14" s="95">
        <f>+closed!A628+1</f>
        <v>123</v>
      </c>
      <c r="B14" s="42">
        <v>42444</v>
      </c>
      <c r="C14" s="39">
        <v>114</v>
      </c>
      <c r="D14" s="39">
        <v>3000027935</v>
      </c>
      <c r="E14" s="39" t="s">
        <v>27</v>
      </c>
      <c r="F14" s="39">
        <v>783</v>
      </c>
      <c r="G14" s="43">
        <v>42425</v>
      </c>
      <c r="H14" s="43"/>
      <c r="I14" s="43">
        <v>42435</v>
      </c>
      <c r="J14" s="39" t="s">
        <v>8</v>
      </c>
      <c r="K14" s="39">
        <v>1.085</v>
      </c>
      <c r="L14" s="39">
        <v>1.085</v>
      </c>
      <c r="M14" s="39">
        <f t="shared" si="2"/>
        <v>1.085</v>
      </c>
      <c r="N14" s="40">
        <f t="shared" si="0"/>
        <v>42449</v>
      </c>
      <c r="O14" s="39">
        <v>43943</v>
      </c>
      <c r="P14" s="38">
        <f t="shared" si="3"/>
        <v>43943</v>
      </c>
      <c r="Q14" s="171">
        <v>42461</v>
      </c>
      <c r="R14" s="28">
        <v>42461</v>
      </c>
      <c r="S14" s="185">
        <f t="shared" si="1"/>
        <v>12</v>
      </c>
    </row>
    <row r="15" spans="1:19" s="3" customFormat="1" hidden="1" x14ac:dyDescent="0.25">
      <c r="A15" s="95">
        <f>+closed!A14+1</f>
        <v>124</v>
      </c>
      <c r="B15" s="42">
        <v>42444</v>
      </c>
      <c r="C15" s="39">
        <v>114</v>
      </c>
      <c r="D15" s="39">
        <v>3000028037</v>
      </c>
      <c r="E15" s="39" t="s">
        <v>27</v>
      </c>
      <c r="F15" s="39">
        <v>783</v>
      </c>
      <c r="G15" s="43">
        <v>42425</v>
      </c>
      <c r="H15" s="43"/>
      <c r="I15" s="43">
        <v>42435</v>
      </c>
      <c r="J15" s="39" t="s">
        <v>8</v>
      </c>
      <c r="K15" s="39">
        <v>20</v>
      </c>
      <c r="L15" s="39">
        <v>19.914999999999999</v>
      </c>
      <c r="M15" s="39">
        <f t="shared" si="2"/>
        <v>19.914999999999999</v>
      </c>
      <c r="N15" s="40">
        <f t="shared" si="0"/>
        <v>42449</v>
      </c>
      <c r="O15" s="39">
        <v>820000</v>
      </c>
      <c r="P15" s="38">
        <f t="shared" si="3"/>
        <v>816515</v>
      </c>
      <c r="Q15" s="171">
        <v>42461</v>
      </c>
      <c r="R15" s="28">
        <v>42461</v>
      </c>
      <c r="S15" s="185">
        <f t="shared" si="1"/>
        <v>12</v>
      </c>
    </row>
    <row r="16" spans="1:19" s="3" customFormat="1" hidden="1" x14ac:dyDescent="0.25">
      <c r="A16" s="84" t="e">
        <f>+closed!A18+1</f>
        <v>#REF!</v>
      </c>
      <c r="B16" s="24">
        <v>42451</v>
      </c>
      <c r="C16" s="1">
        <v>114</v>
      </c>
      <c r="D16" s="1">
        <v>3000028959</v>
      </c>
      <c r="E16" s="1" t="s">
        <v>62</v>
      </c>
      <c r="F16" s="1">
        <v>7173</v>
      </c>
      <c r="G16" s="25">
        <v>42444</v>
      </c>
      <c r="H16" s="25"/>
      <c r="I16" s="25">
        <v>42446</v>
      </c>
      <c r="J16" s="1" t="s">
        <v>20</v>
      </c>
      <c r="K16" s="1">
        <v>25.58</v>
      </c>
      <c r="L16" s="1">
        <v>25.48</v>
      </c>
      <c r="M16" s="1">
        <f t="shared" si="2"/>
        <v>25.48</v>
      </c>
      <c r="N16" s="7">
        <f t="shared" si="0"/>
        <v>42460</v>
      </c>
      <c r="O16" s="1">
        <v>2618753</v>
      </c>
      <c r="P16" s="38">
        <f t="shared" si="3"/>
        <v>2608515.4980453481</v>
      </c>
      <c r="Q16" s="171">
        <v>42461</v>
      </c>
      <c r="R16" s="28">
        <v>42461</v>
      </c>
      <c r="S16" s="185">
        <f t="shared" si="1"/>
        <v>1</v>
      </c>
    </row>
    <row r="17" spans="1:32" s="3" customFormat="1" hidden="1" x14ac:dyDescent="0.25">
      <c r="A17" s="84">
        <f>+closed!A110+1</f>
        <v>189</v>
      </c>
      <c r="B17" s="24">
        <v>42457</v>
      </c>
      <c r="C17" s="1">
        <v>114</v>
      </c>
      <c r="D17" s="1">
        <v>3000029224</v>
      </c>
      <c r="E17" s="1" t="s">
        <v>62</v>
      </c>
      <c r="F17" s="1">
        <v>7314</v>
      </c>
      <c r="G17" s="25">
        <v>42449</v>
      </c>
      <c r="H17" s="25"/>
      <c r="I17" s="25">
        <v>42450</v>
      </c>
      <c r="J17" s="1" t="s">
        <v>20</v>
      </c>
      <c r="K17" s="1">
        <v>29.43</v>
      </c>
      <c r="L17" s="1">
        <v>29.52</v>
      </c>
      <c r="M17" s="1">
        <f t="shared" si="2"/>
        <v>29.43</v>
      </c>
      <c r="N17" s="7">
        <f t="shared" si="0"/>
        <v>42464</v>
      </c>
      <c r="O17" s="1">
        <v>3337362</v>
      </c>
      <c r="P17" s="38">
        <f t="shared" si="3"/>
        <v>3337362</v>
      </c>
      <c r="Q17" s="171">
        <v>42461</v>
      </c>
      <c r="R17" s="28">
        <v>42461</v>
      </c>
      <c r="S17" s="185">
        <f t="shared" si="1"/>
        <v>-3</v>
      </c>
    </row>
    <row r="18" spans="1:32" s="3" customFormat="1" hidden="1" x14ac:dyDescent="0.25">
      <c r="A18" s="84" t="e">
        <f>+closed!#REF!+1</f>
        <v>#REF!</v>
      </c>
      <c r="B18" s="24">
        <v>42451</v>
      </c>
      <c r="C18" s="1">
        <v>114</v>
      </c>
      <c r="D18" s="1">
        <v>3000026649</v>
      </c>
      <c r="E18" s="1" t="s">
        <v>51</v>
      </c>
      <c r="F18" s="1">
        <v>141</v>
      </c>
      <c r="G18" s="25">
        <v>42434</v>
      </c>
      <c r="H18" s="25"/>
      <c r="I18" s="25">
        <v>42447</v>
      </c>
      <c r="J18" s="1" t="s">
        <v>16</v>
      </c>
      <c r="K18" s="1">
        <v>25.785</v>
      </c>
      <c r="L18" s="1">
        <v>25.89</v>
      </c>
      <c r="M18" s="1">
        <f t="shared" si="2"/>
        <v>25.785</v>
      </c>
      <c r="N18" s="7">
        <f t="shared" si="0"/>
        <v>42461</v>
      </c>
      <c r="O18" s="1">
        <v>917946</v>
      </c>
      <c r="P18" s="38">
        <f t="shared" si="3"/>
        <v>917946</v>
      </c>
      <c r="Q18" s="171">
        <v>42461</v>
      </c>
      <c r="R18" s="28">
        <v>42461</v>
      </c>
      <c r="S18" s="185">
        <f t="shared" si="1"/>
        <v>0</v>
      </c>
    </row>
    <row r="19" spans="1:32" s="3" customFormat="1" hidden="1" x14ac:dyDescent="0.25">
      <c r="A19" s="84">
        <f>+closed!A174+1</f>
        <v>194</v>
      </c>
      <c r="B19" s="24">
        <v>42459</v>
      </c>
      <c r="C19" s="1">
        <v>114</v>
      </c>
      <c r="D19" s="1">
        <v>3000028661</v>
      </c>
      <c r="E19" s="1" t="s">
        <v>52</v>
      </c>
      <c r="F19" s="1">
        <v>1501111559</v>
      </c>
      <c r="G19" s="25">
        <v>42448</v>
      </c>
      <c r="H19" s="25"/>
      <c r="I19" s="25">
        <v>42448</v>
      </c>
      <c r="J19" s="1" t="s">
        <v>20</v>
      </c>
      <c r="K19" s="1">
        <v>35.770000000000003</v>
      </c>
      <c r="L19" s="1">
        <v>35.770000000000003</v>
      </c>
      <c r="M19" s="1">
        <f t="shared" si="2"/>
        <v>35.770000000000003</v>
      </c>
      <c r="N19" s="7">
        <f t="shared" si="0"/>
        <v>42462</v>
      </c>
      <c r="O19" s="1">
        <v>3320171</v>
      </c>
      <c r="P19" s="38">
        <f t="shared" si="3"/>
        <v>3320171</v>
      </c>
      <c r="Q19" s="171">
        <v>42461</v>
      </c>
      <c r="R19" s="28">
        <v>42461</v>
      </c>
      <c r="S19" s="185">
        <f t="shared" si="1"/>
        <v>-1</v>
      </c>
    </row>
    <row r="20" spans="1:32" s="3" customFormat="1" hidden="1" x14ac:dyDescent="0.25">
      <c r="A20" s="84">
        <f>+closed!A19+1</f>
        <v>195</v>
      </c>
      <c r="B20" s="24">
        <v>42459</v>
      </c>
      <c r="C20" s="1">
        <v>114</v>
      </c>
      <c r="D20" s="1">
        <v>3000028661</v>
      </c>
      <c r="E20" s="1" t="s">
        <v>52</v>
      </c>
      <c r="F20" s="1">
        <v>1501111590</v>
      </c>
      <c r="G20" s="25">
        <v>42449</v>
      </c>
      <c r="H20" s="25"/>
      <c r="I20" s="25">
        <v>42449</v>
      </c>
      <c r="J20" s="1" t="s">
        <v>20</v>
      </c>
      <c r="K20" s="1">
        <v>29.68</v>
      </c>
      <c r="L20" s="1">
        <v>29.68</v>
      </c>
      <c r="M20" s="1">
        <f t="shared" si="2"/>
        <v>29.68</v>
      </c>
      <c r="N20" s="7">
        <f t="shared" si="0"/>
        <v>42463</v>
      </c>
      <c r="O20" s="1">
        <v>2754898</v>
      </c>
      <c r="P20" s="38">
        <f t="shared" si="3"/>
        <v>2754898</v>
      </c>
      <c r="Q20" s="171">
        <v>42461</v>
      </c>
      <c r="R20" s="28">
        <v>42461</v>
      </c>
      <c r="S20" s="185">
        <f t="shared" si="1"/>
        <v>-2</v>
      </c>
    </row>
    <row r="21" spans="1:32" s="3" customFormat="1" hidden="1" x14ac:dyDescent="0.25">
      <c r="A21" s="84">
        <f>+closed!A23+1</f>
        <v>191</v>
      </c>
      <c r="B21" s="24">
        <v>42457</v>
      </c>
      <c r="C21" s="1">
        <v>114</v>
      </c>
      <c r="D21" s="1">
        <v>3000028905</v>
      </c>
      <c r="E21" s="1" t="s">
        <v>60</v>
      </c>
      <c r="F21" s="1">
        <v>288</v>
      </c>
      <c r="G21" s="25">
        <v>42440</v>
      </c>
      <c r="H21" s="25"/>
      <c r="I21" s="25">
        <v>42449</v>
      </c>
      <c r="J21" s="1" t="s">
        <v>61</v>
      </c>
      <c r="K21" s="1">
        <v>20.49</v>
      </c>
      <c r="L21" s="1">
        <v>20.41</v>
      </c>
      <c r="M21" s="1">
        <f t="shared" si="2"/>
        <v>20.41</v>
      </c>
      <c r="N21" s="7">
        <f t="shared" si="0"/>
        <v>42463</v>
      </c>
      <c r="O21" s="1">
        <v>1659831</v>
      </c>
      <c r="P21" s="38">
        <f t="shared" si="3"/>
        <v>1653350.4494875548</v>
      </c>
      <c r="Q21" s="171">
        <v>42461</v>
      </c>
      <c r="R21" s="28">
        <v>42461</v>
      </c>
      <c r="S21" s="185">
        <f t="shared" si="1"/>
        <v>-2</v>
      </c>
    </row>
    <row r="22" spans="1:32" s="3" customFormat="1" hidden="1" x14ac:dyDescent="0.25">
      <c r="A22" s="84">
        <f>+closed!A21+1</f>
        <v>192</v>
      </c>
      <c r="B22" s="24">
        <v>42457</v>
      </c>
      <c r="C22" s="1">
        <v>114</v>
      </c>
      <c r="D22" s="1">
        <v>3000028981</v>
      </c>
      <c r="E22" s="1" t="s">
        <v>60</v>
      </c>
      <c r="F22" s="1">
        <v>289</v>
      </c>
      <c r="G22" s="25">
        <v>42442</v>
      </c>
      <c r="H22" s="25"/>
      <c r="I22" s="25">
        <v>42449</v>
      </c>
      <c r="J22" s="1" t="s">
        <v>61</v>
      </c>
      <c r="K22" s="1">
        <v>20.51</v>
      </c>
      <c r="L22" s="1">
        <v>20.420000000000002</v>
      </c>
      <c r="M22" s="1">
        <f t="shared" si="2"/>
        <v>20.420000000000002</v>
      </c>
      <c r="N22" s="7">
        <f t="shared" si="0"/>
        <v>42463</v>
      </c>
      <c r="O22" s="1">
        <v>1681993</v>
      </c>
      <c r="P22" s="38">
        <f t="shared" si="3"/>
        <v>1674612.240858118</v>
      </c>
      <c r="Q22" s="171">
        <v>42461</v>
      </c>
      <c r="R22" s="28">
        <v>42461</v>
      </c>
      <c r="S22" s="185">
        <f t="shared" si="1"/>
        <v>-2</v>
      </c>
    </row>
    <row r="23" spans="1:32" s="3" customFormat="1" hidden="1" x14ac:dyDescent="0.25">
      <c r="A23" s="84">
        <f>+closed!A17+1</f>
        <v>190</v>
      </c>
      <c r="B23" s="24">
        <v>42457</v>
      </c>
      <c r="C23" s="1">
        <v>114</v>
      </c>
      <c r="D23" s="1">
        <v>3000029224</v>
      </c>
      <c r="E23" s="1" t="s">
        <v>62</v>
      </c>
      <c r="F23" s="1">
        <v>7297</v>
      </c>
      <c r="G23" s="25">
        <v>42448</v>
      </c>
      <c r="H23" s="25"/>
      <c r="I23" s="25">
        <v>42450</v>
      </c>
      <c r="J23" s="1" t="s">
        <v>20</v>
      </c>
      <c r="K23" s="1">
        <v>22.23</v>
      </c>
      <c r="L23" s="1">
        <v>22.34</v>
      </c>
      <c r="M23" s="1">
        <f t="shared" si="2"/>
        <v>22.23</v>
      </c>
      <c r="N23" s="7">
        <f t="shared" si="0"/>
        <v>42464</v>
      </c>
      <c r="O23" s="1">
        <v>2520882</v>
      </c>
      <c r="P23" s="38">
        <f t="shared" si="3"/>
        <v>2520882</v>
      </c>
      <c r="Q23" s="171">
        <v>42461</v>
      </c>
      <c r="R23" s="28">
        <v>42461</v>
      </c>
      <c r="S23" s="185">
        <f t="shared" si="1"/>
        <v>-3</v>
      </c>
    </row>
    <row r="24" spans="1:32" s="3" customFormat="1" hidden="1" x14ac:dyDescent="0.25">
      <c r="A24" s="84">
        <f>+closed!A99+1</f>
        <v>197</v>
      </c>
      <c r="B24" s="32">
        <v>42461</v>
      </c>
      <c r="C24" s="17">
        <v>103</v>
      </c>
      <c r="D24" s="17">
        <v>3000028807</v>
      </c>
      <c r="E24" s="17" t="s">
        <v>26</v>
      </c>
      <c r="F24" s="17">
        <v>478</v>
      </c>
      <c r="G24" s="34">
        <v>42441</v>
      </c>
      <c r="H24" s="34"/>
      <c r="I24" s="34">
        <v>42441</v>
      </c>
      <c r="J24" s="17" t="s">
        <v>63</v>
      </c>
      <c r="K24" s="17">
        <v>26.91</v>
      </c>
      <c r="L24" s="17">
        <v>26.91</v>
      </c>
      <c r="M24" s="17">
        <f t="shared" si="2"/>
        <v>26.91</v>
      </c>
      <c r="N24" s="33">
        <f t="shared" si="0"/>
        <v>42455</v>
      </c>
      <c r="O24" s="17">
        <v>2088094</v>
      </c>
      <c r="P24" s="50">
        <f t="shared" si="3"/>
        <v>2088094</v>
      </c>
      <c r="Q24" s="172">
        <v>42461</v>
      </c>
      <c r="R24" s="28">
        <v>42461</v>
      </c>
      <c r="S24" s="185">
        <f t="shared" si="1"/>
        <v>6</v>
      </c>
    </row>
    <row r="25" spans="1:32" s="3" customFormat="1" hidden="1" x14ac:dyDescent="0.25">
      <c r="A25" s="84">
        <f>+closed!A24+1</f>
        <v>198</v>
      </c>
      <c r="B25" s="32">
        <v>42461</v>
      </c>
      <c r="C25" s="17">
        <v>103</v>
      </c>
      <c r="D25" s="17">
        <v>3000028807</v>
      </c>
      <c r="E25" s="17" t="s">
        <v>26</v>
      </c>
      <c r="F25" s="17">
        <v>479</v>
      </c>
      <c r="G25" s="34">
        <v>42441</v>
      </c>
      <c r="H25" s="34"/>
      <c r="I25" s="34">
        <v>42441</v>
      </c>
      <c r="J25" s="17" t="s">
        <v>63</v>
      </c>
      <c r="K25" s="17">
        <v>26.64</v>
      </c>
      <c r="L25" s="17">
        <v>26.64</v>
      </c>
      <c r="M25" s="17">
        <f t="shared" si="2"/>
        <v>26.64</v>
      </c>
      <c r="N25" s="33">
        <f t="shared" si="0"/>
        <v>42455</v>
      </c>
      <c r="O25" s="17">
        <v>2067144</v>
      </c>
      <c r="P25" s="50">
        <f t="shared" si="3"/>
        <v>2067143.9999999998</v>
      </c>
      <c r="Q25" s="172">
        <v>42461</v>
      </c>
      <c r="R25" s="28">
        <v>42461</v>
      </c>
      <c r="S25" s="185">
        <f t="shared" si="1"/>
        <v>6</v>
      </c>
    </row>
    <row r="26" spans="1:32" s="3" customFormat="1" hidden="1" x14ac:dyDescent="0.25">
      <c r="A26" s="84">
        <f>+closed!A25+1</f>
        <v>199</v>
      </c>
      <c r="B26" s="32">
        <v>42461</v>
      </c>
      <c r="C26" s="17">
        <v>103</v>
      </c>
      <c r="D26" s="17">
        <v>3000028807</v>
      </c>
      <c r="E26" s="17" t="s">
        <v>26</v>
      </c>
      <c r="F26" s="17">
        <v>480</v>
      </c>
      <c r="G26" s="34">
        <v>42441</v>
      </c>
      <c r="H26" s="34"/>
      <c r="I26" s="34">
        <v>42441</v>
      </c>
      <c r="J26" s="17" t="s">
        <v>63</v>
      </c>
      <c r="K26" s="17">
        <v>26.585000000000001</v>
      </c>
      <c r="L26" s="17">
        <v>26.585000000000001</v>
      </c>
      <c r="M26" s="17">
        <f t="shared" si="2"/>
        <v>26.585000000000001</v>
      </c>
      <c r="N26" s="33">
        <f t="shared" si="0"/>
        <v>42455</v>
      </c>
      <c r="O26" s="17">
        <v>2062876</v>
      </c>
      <c r="P26" s="50">
        <f t="shared" si="3"/>
        <v>2062876.0000000002</v>
      </c>
      <c r="Q26" s="172">
        <v>42461</v>
      </c>
      <c r="R26" s="28">
        <v>42461</v>
      </c>
      <c r="S26" s="185">
        <f t="shared" si="1"/>
        <v>6</v>
      </c>
    </row>
    <row r="27" spans="1:32" s="3" customFormat="1" hidden="1" x14ac:dyDescent="0.25">
      <c r="A27" s="84">
        <f>+closed!A26+1</f>
        <v>200</v>
      </c>
      <c r="B27" s="32">
        <v>42461</v>
      </c>
      <c r="C27" s="17">
        <v>103</v>
      </c>
      <c r="D27" s="17">
        <v>3000028807</v>
      </c>
      <c r="E27" s="17" t="s">
        <v>26</v>
      </c>
      <c r="F27" s="17">
        <v>484</v>
      </c>
      <c r="G27" s="34">
        <v>42442</v>
      </c>
      <c r="H27" s="34"/>
      <c r="I27" s="34">
        <v>42442</v>
      </c>
      <c r="J27" s="17" t="s">
        <v>63</v>
      </c>
      <c r="K27" s="17">
        <v>32.435000000000002</v>
      </c>
      <c r="L27" s="17">
        <v>32.435000000000002</v>
      </c>
      <c r="M27" s="17">
        <f t="shared" si="2"/>
        <v>32.435000000000002</v>
      </c>
      <c r="N27" s="33">
        <f t="shared" si="0"/>
        <v>42456</v>
      </c>
      <c r="O27" s="17">
        <v>2516809</v>
      </c>
      <c r="P27" s="50">
        <f t="shared" si="3"/>
        <v>2516809</v>
      </c>
      <c r="Q27" s="172">
        <v>42461</v>
      </c>
      <c r="R27" s="28">
        <v>42461</v>
      </c>
      <c r="S27" s="185">
        <f t="shared" si="1"/>
        <v>5</v>
      </c>
    </row>
    <row r="28" spans="1:32" s="3" customFormat="1" hidden="1" x14ac:dyDescent="0.25">
      <c r="A28" s="84">
        <f>+closed!A27+1</f>
        <v>201</v>
      </c>
      <c r="B28" s="32">
        <v>42461</v>
      </c>
      <c r="C28" s="17">
        <v>103</v>
      </c>
      <c r="D28" s="17">
        <v>3000028807</v>
      </c>
      <c r="E28" s="17" t="s">
        <v>26</v>
      </c>
      <c r="F28" s="17">
        <v>486</v>
      </c>
      <c r="G28" s="34">
        <v>42443</v>
      </c>
      <c r="H28" s="34"/>
      <c r="I28" s="34">
        <v>42443</v>
      </c>
      <c r="J28" s="17" t="s">
        <v>63</v>
      </c>
      <c r="K28" s="17">
        <v>32.799999999999997</v>
      </c>
      <c r="L28" s="17">
        <v>32.880000000000003</v>
      </c>
      <c r="M28" s="17">
        <f t="shared" si="2"/>
        <v>32.799999999999997</v>
      </c>
      <c r="N28" s="33">
        <f t="shared" si="0"/>
        <v>42457</v>
      </c>
      <c r="O28" s="17">
        <v>2545132</v>
      </c>
      <c r="P28" s="50">
        <f t="shared" si="3"/>
        <v>2545132</v>
      </c>
      <c r="Q28" s="172">
        <v>42461</v>
      </c>
      <c r="R28" s="28">
        <v>42461</v>
      </c>
      <c r="S28" s="185">
        <f t="shared" si="1"/>
        <v>4</v>
      </c>
    </row>
    <row r="29" spans="1:32" s="3" customFormat="1" hidden="1" x14ac:dyDescent="0.25">
      <c r="A29" s="84">
        <f>+closed!A28+1</f>
        <v>202</v>
      </c>
      <c r="B29" s="32">
        <v>42461</v>
      </c>
      <c r="C29" s="17">
        <v>103</v>
      </c>
      <c r="D29" s="17">
        <v>3000028807</v>
      </c>
      <c r="E29" s="17" t="s">
        <v>26</v>
      </c>
      <c r="F29" s="17">
        <v>487</v>
      </c>
      <c r="G29" s="34">
        <v>42443</v>
      </c>
      <c r="H29" s="34"/>
      <c r="I29" s="34">
        <v>42443</v>
      </c>
      <c r="J29" s="17" t="s">
        <v>63</v>
      </c>
      <c r="K29" s="17">
        <v>26.565000000000001</v>
      </c>
      <c r="L29" s="17">
        <v>26.565000000000001</v>
      </c>
      <c r="M29" s="17">
        <f t="shared" si="2"/>
        <v>26.565000000000001</v>
      </c>
      <c r="N29" s="33">
        <f t="shared" si="0"/>
        <v>42457</v>
      </c>
      <c r="O29" s="17">
        <v>2061324</v>
      </c>
      <c r="P29" s="50">
        <f t="shared" si="3"/>
        <v>2061323.9999999998</v>
      </c>
      <c r="Q29" s="172">
        <v>42461</v>
      </c>
      <c r="R29" s="28">
        <v>42461</v>
      </c>
      <c r="S29" s="185">
        <f t="shared" si="1"/>
        <v>4</v>
      </c>
    </row>
    <row r="30" spans="1:32" s="3" customFormat="1" hidden="1" x14ac:dyDescent="0.25">
      <c r="A30" s="84">
        <f>+closed!A29+1</f>
        <v>203</v>
      </c>
      <c r="B30" s="32">
        <v>42461</v>
      </c>
      <c r="C30" s="17">
        <v>103</v>
      </c>
      <c r="D30" s="17">
        <v>3000028807</v>
      </c>
      <c r="E30" s="17" t="s">
        <v>26</v>
      </c>
      <c r="F30" s="17">
        <v>488</v>
      </c>
      <c r="G30" s="34">
        <v>42443</v>
      </c>
      <c r="H30" s="34"/>
      <c r="I30" s="34">
        <v>42443</v>
      </c>
      <c r="J30" s="17" t="s">
        <v>63</v>
      </c>
      <c r="K30" s="17">
        <v>2.5299999999999998</v>
      </c>
      <c r="L30" s="17">
        <v>2.5299999999999998</v>
      </c>
      <c r="M30" s="17">
        <f t="shared" si="2"/>
        <v>2.5299999999999998</v>
      </c>
      <c r="N30" s="33">
        <f t="shared" si="0"/>
        <v>42457</v>
      </c>
      <c r="O30" s="17">
        <v>196317</v>
      </c>
      <c r="P30" s="50">
        <f t="shared" si="3"/>
        <v>196317</v>
      </c>
      <c r="Q30" s="172">
        <v>42461</v>
      </c>
      <c r="R30" s="28">
        <v>42461</v>
      </c>
      <c r="S30" s="185">
        <f t="shared" si="1"/>
        <v>4</v>
      </c>
      <c r="T30" s="15">
        <v>42608466</v>
      </c>
      <c r="AA30" s="19"/>
      <c r="AD30"/>
      <c r="AE30" s="9" t="s">
        <v>72</v>
      </c>
      <c r="AF30" s="15"/>
    </row>
    <row r="31" spans="1:32" s="3" customFormat="1" hidden="1" x14ac:dyDescent="0.25">
      <c r="A31" s="95" t="e">
        <f>+closed!A4+1</f>
        <v>#REF!</v>
      </c>
      <c r="B31" s="42">
        <v>42429</v>
      </c>
      <c r="C31" s="39">
        <v>114</v>
      </c>
      <c r="D31" s="39">
        <v>3000028083</v>
      </c>
      <c r="E31" s="39" t="s">
        <v>24</v>
      </c>
      <c r="F31" s="39">
        <v>225</v>
      </c>
      <c r="G31" s="43">
        <v>42420</v>
      </c>
      <c r="H31" s="43"/>
      <c r="I31" s="43">
        <v>42425</v>
      </c>
      <c r="J31" s="39" t="s">
        <v>16</v>
      </c>
      <c r="K31" s="39">
        <v>29.835000000000001</v>
      </c>
      <c r="L31" s="39">
        <v>29.7</v>
      </c>
      <c r="M31" s="39">
        <f t="shared" si="2"/>
        <v>29.7</v>
      </c>
      <c r="N31" s="40">
        <f t="shared" si="0"/>
        <v>42439</v>
      </c>
      <c r="O31" s="39">
        <v>1333625</v>
      </c>
      <c r="P31" s="29">
        <f t="shared" si="3"/>
        <v>1327590.4977375565</v>
      </c>
      <c r="Q31" s="171">
        <v>42467</v>
      </c>
      <c r="R31" s="28">
        <v>42467</v>
      </c>
      <c r="S31" s="185">
        <f t="shared" si="1"/>
        <v>28</v>
      </c>
    </row>
    <row r="32" spans="1:32" s="3" customFormat="1" hidden="1" x14ac:dyDescent="0.25">
      <c r="A32" s="95" t="e">
        <f>+closed!#REF!+1</f>
        <v>#REF!</v>
      </c>
      <c r="B32" s="42">
        <v>42431</v>
      </c>
      <c r="C32" s="39">
        <v>114</v>
      </c>
      <c r="D32" s="39">
        <v>3000028102</v>
      </c>
      <c r="E32" s="39" t="s">
        <v>29</v>
      </c>
      <c r="F32" s="39">
        <v>385</v>
      </c>
      <c r="G32" s="43">
        <v>42424</v>
      </c>
      <c r="H32" s="43"/>
      <c r="I32" s="43">
        <v>42428</v>
      </c>
      <c r="J32" s="39" t="s">
        <v>16</v>
      </c>
      <c r="K32" s="39">
        <v>2.5</v>
      </c>
      <c r="L32" s="39">
        <v>2.5</v>
      </c>
      <c r="M32" s="39">
        <f t="shared" si="2"/>
        <v>2.5</v>
      </c>
      <c r="N32" s="40">
        <f t="shared" si="0"/>
        <v>42442</v>
      </c>
      <c r="O32" s="39">
        <v>111750</v>
      </c>
      <c r="P32" s="29">
        <f t="shared" si="3"/>
        <v>111750</v>
      </c>
      <c r="Q32" s="171">
        <v>42467</v>
      </c>
      <c r="R32" s="28">
        <v>42467</v>
      </c>
      <c r="S32" s="185">
        <f t="shared" si="1"/>
        <v>25</v>
      </c>
    </row>
    <row r="33" spans="1:19" s="3" customFormat="1" hidden="1" x14ac:dyDescent="0.25">
      <c r="A33" s="95" t="e">
        <f>+closed!A32+1</f>
        <v>#REF!</v>
      </c>
      <c r="B33" s="42">
        <v>42431</v>
      </c>
      <c r="C33" s="39">
        <v>114</v>
      </c>
      <c r="D33" s="39">
        <v>3000028131</v>
      </c>
      <c r="E33" s="39" t="s">
        <v>29</v>
      </c>
      <c r="F33" s="39">
        <v>386</v>
      </c>
      <c r="G33" s="43">
        <v>42424</v>
      </c>
      <c r="H33" s="43"/>
      <c r="I33" s="43">
        <v>42428</v>
      </c>
      <c r="J33" s="39" t="s">
        <v>16</v>
      </c>
      <c r="K33" s="39">
        <v>26.605</v>
      </c>
      <c r="L33" s="39">
        <v>26.5</v>
      </c>
      <c r="M33" s="39">
        <f t="shared" si="2"/>
        <v>26.5</v>
      </c>
      <c r="N33" s="40">
        <f t="shared" si="0"/>
        <v>42442</v>
      </c>
      <c r="O33" s="39">
        <v>1290343</v>
      </c>
      <c r="P33" s="29">
        <f t="shared" si="3"/>
        <v>1285250.4980266867</v>
      </c>
      <c r="Q33" s="171">
        <v>42467</v>
      </c>
      <c r="R33" s="28">
        <v>42467</v>
      </c>
      <c r="S33" s="185">
        <f t="shared" si="1"/>
        <v>25</v>
      </c>
    </row>
    <row r="34" spans="1:19" s="3" customFormat="1" hidden="1" x14ac:dyDescent="0.25">
      <c r="A34" s="95">
        <f>+closed!A160+1</f>
        <v>129</v>
      </c>
      <c r="B34" s="42">
        <v>42444</v>
      </c>
      <c r="C34" s="39">
        <v>114</v>
      </c>
      <c r="D34" s="39">
        <v>3000028098</v>
      </c>
      <c r="E34" s="39" t="s">
        <v>18</v>
      </c>
      <c r="F34" s="39">
        <v>225</v>
      </c>
      <c r="G34" s="43">
        <v>42426</v>
      </c>
      <c r="H34" s="43"/>
      <c r="I34" s="43">
        <v>42434</v>
      </c>
      <c r="J34" s="39" t="s">
        <v>8</v>
      </c>
      <c r="K34" s="39">
        <v>26.87</v>
      </c>
      <c r="L34" s="39">
        <v>26.8</v>
      </c>
      <c r="M34" s="39">
        <f t="shared" si="2"/>
        <v>26.8</v>
      </c>
      <c r="N34" s="40">
        <f t="shared" si="0"/>
        <v>42448</v>
      </c>
      <c r="O34" s="39">
        <v>1155410</v>
      </c>
      <c r="P34" s="29">
        <f t="shared" si="3"/>
        <v>1152400</v>
      </c>
      <c r="Q34" s="171">
        <v>42467</v>
      </c>
      <c r="R34" s="28">
        <v>42467</v>
      </c>
      <c r="S34" s="185">
        <f t="shared" si="1"/>
        <v>19</v>
      </c>
    </row>
    <row r="35" spans="1:19" s="3" customFormat="1" hidden="1" x14ac:dyDescent="0.25">
      <c r="A35" s="95">
        <f>+closed!A158+1</f>
        <v>125</v>
      </c>
      <c r="B35" s="42">
        <v>42444</v>
      </c>
      <c r="C35" s="39">
        <v>114</v>
      </c>
      <c r="D35" s="39">
        <v>3000027938</v>
      </c>
      <c r="E35" s="39" t="s">
        <v>39</v>
      </c>
      <c r="F35" s="39">
        <v>176</v>
      </c>
      <c r="G35" s="43">
        <v>42429</v>
      </c>
      <c r="H35" s="43"/>
      <c r="I35" s="43">
        <v>42435</v>
      </c>
      <c r="J35" s="39" t="s">
        <v>8</v>
      </c>
      <c r="K35" s="39">
        <v>28.02</v>
      </c>
      <c r="L35" s="39">
        <v>27.9</v>
      </c>
      <c r="M35" s="39">
        <f t="shared" si="2"/>
        <v>27.9</v>
      </c>
      <c r="N35" s="40">
        <f t="shared" ref="N35:N56" si="4">+I35+15-1</f>
        <v>42449</v>
      </c>
      <c r="O35" s="39">
        <v>1134810</v>
      </c>
      <c r="P35" s="29">
        <f t="shared" si="3"/>
        <v>1129950</v>
      </c>
      <c r="Q35" s="171">
        <v>42467</v>
      </c>
      <c r="R35" s="28">
        <v>42467</v>
      </c>
      <c r="S35" s="185">
        <f t="shared" ref="S35:S56" si="5">R35-N35</f>
        <v>18</v>
      </c>
    </row>
    <row r="36" spans="1:19" s="3" customFormat="1" hidden="1" x14ac:dyDescent="0.25">
      <c r="A36" s="95">
        <f>+closed!A114+1</f>
        <v>130</v>
      </c>
      <c r="B36" s="42">
        <v>42444</v>
      </c>
      <c r="C36" s="39">
        <v>114</v>
      </c>
      <c r="D36" s="39">
        <v>3000027936</v>
      </c>
      <c r="E36" s="39" t="s">
        <v>15</v>
      </c>
      <c r="F36" s="39">
        <v>2878</v>
      </c>
      <c r="G36" s="43">
        <v>42429</v>
      </c>
      <c r="H36" s="43"/>
      <c r="I36" s="43">
        <v>42435</v>
      </c>
      <c r="J36" s="39" t="s">
        <v>8</v>
      </c>
      <c r="K36" s="39">
        <v>8</v>
      </c>
      <c r="L36" s="39">
        <v>8</v>
      </c>
      <c r="M36" s="39">
        <f t="shared" si="2"/>
        <v>8</v>
      </c>
      <c r="N36" s="40">
        <f t="shared" si="4"/>
        <v>42449</v>
      </c>
      <c r="O36" s="39">
        <v>324000</v>
      </c>
      <c r="P36" s="29">
        <f t="shared" si="3"/>
        <v>324000</v>
      </c>
      <c r="Q36" s="171">
        <v>42467</v>
      </c>
      <c r="R36" s="28">
        <v>42467</v>
      </c>
      <c r="S36" s="185">
        <f t="shared" si="5"/>
        <v>18</v>
      </c>
    </row>
    <row r="37" spans="1:19" s="3" customFormat="1" hidden="1" x14ac:dyDescent="0.25">
      <c r="A37" s="95">
        <f>+closed!A36+1</f>
        <v>131</v>
      </c>
      <c r="B37" s="42">
        <v>42444</v>
      </c>
      <c r="C37" s="39">
        <v>114</v>
      </c>
      <c r="D37" s="39">
        <v>3000028040</v>
      </c>
      <c r="E37" s="39" t="s">
        <v>15</v>
      </c>
      <c r="F37" s="39">
        <v>2878</v>
      </c>
      <c r="G37" s="43">
        <v>42429</v>
      </c>
      <c r="H37" s="43"/>
      <c r="I37" s="43">
        <v>42435</v>
      </c>
      <c r="J37" s="39" t="s">
        <v>8</v>
      </c>
      <c r="K37" s="39">
        <v>11.67</v>
      </c>
      <c r="L37" s="39">
        <v>11.58</v>
      </c>
      <c r="M37" s="39">
        <f t="shared" si="2"/>
        <v>11.58</v>
      </c>
      <c r="N37" s="40">
        <f t="shared" si="4"/>
        <v>42449</v>
      </c>
      <c r="O37" s="39">
        <v>478470</v>
      </c>
      <c r="P37" s="29">
        <f t="shared" si="3"/>
        <v>474780</v>
      </c>
      <c r="Q37" s="171">
        <v>42467</v>
      </c>
      <c r="R37" s="28">
        <v>42467</v>
      </c>
      <c r="S37" s="185">
        <f t="shared" si="5"/>
        <v>18</v>
      </c>
    </row>
    <row r="38" spans="1:19" s="3" customFormat="1" hidden="1" x14ac:dyDescent="0.25">
      <c r="A38" s="95">
        <f>+closed!A37+1</f>
        <v>132</v>
      </c>
      <c r="B38" s="42">
        <v>42444</v>
      </c>
      <c r="C38" s="39">
        <v>114</v>
      </c>
      <c r="D38" s="39">
        <v>3000028040</v>
      </c>
      <c r="E38" s="39" t="s">
        <v>15</v>
      </c>
      <c r="F38" s="39">
        <v>2880</v>
      </c>
      <c r="G38" s="43">
        <v>42429</v>
      </c>
      <c r="H38" s="43"/>
      <c r="I38" s="43">
        <v>42439</v>
      </c>
      <c r="J38" s="39" t="s">
        <v>8</v>
      </c>
      <c r="K38" s="39">
        <v>16.079999999999998</v>
      </c>
      <c r="L38" s="39">
        <v>16.079999999999998</v>
      </c>
      <c r="M38" s="39">
        <f t="shared" si="2"/>
        <v>16.079999999999998</v>
      </c>
      <c r="N38" s="40">
        <f t="shared" si="4"/>
        <v>42453</v>
      </c>
      <c r="O38" s="39">
        <v>659280</v>
      </c>
      <c r="P38" s="29">
        <f t="shared" si="3"/>
        <v>659280</v>
      </c>
      <c r="Q38" s="171">
        <v>42467</v>
      </c>
      <c r="R38" s="28">
        <v>42467</v>
      </c>
      <c r="S38" s="185">
        <f t="shared" si="5"/>
        <v>14</v>
      </c>
    </row>
    <row r="39" spans="1:19" s="3" customFormat="1" hidden="1" x14ac:dyDescent="0.25">
      <c r="A39" s="95">
        <f>+closed!A38+1</f>
        <v>133</v>
      </c>
      <c r="B39" s="42">
        <v>42444</v>
      </c>
      <c r="C39" s="39">
        <v>114</v>
      </c>
      <c r="D39" s="39">
        <v>3000028097</v>
      </c>
      <c r="E39" s="39" t="s">
        <v>15</v>
      </c>
      <c r="F39" s="39">
        <v>2880</v>
      </c>
      <c r="G39" s="43">
        <v>42429</v>
      </c>
      <c r="H39" s="43"/>
      <c r="I39" s="43">
        <v>42439</v>
      </c>
      <c r="J39" s="39" t="s">
        <v>8</v>
      </c>
      <c r="K39" s="39">
        <v>3</v>
      </c>
      <c r="L39" s="39">
        <v>2.97</v>
      </c>
      <c r="M39" s="39">
        <f t="shared" si="2"/>
        <v>2.97</v>
      </c>
      <c r="N39" s="40">
        <f t="shared" si="4"/>
        <v>42453</v>
      </c>
      <c r="O39" s="39">
        <v>129000</v>
      </c>
      <c r="P39" s="29">
        <f t="shared" si="3"/>
        <v>127710.00000000001</v>
      </c>
      <c r="Q39" s="171">
        <v>42467</v>
      </c>
      <c r="R39" s="28">
        <v>42467</v>
      </c>
      <c r="S39" s="185">
        <f t="shared" si="5"/>
        <v>14</v>
      </c>
    </row>
    <row r="40" spans="1:19" s="3" customFormat="1" hidden="1" x14ac:dyDescent="0.25">
      <c r="A40" s="95">
        <f>+closed!A13+1</f>
        <v>131</v>
      </c>
      <c r="B40" s="42">
        <v>42444</v>
      </c>
      <c r="C40" s="39">
        <v>114</v>
      </c>
      <c r="D40" s="39">
        <v>3000028260</v>
      </c>
      <c r="E40" s="39" t="s">
        <v>37</v>
      </c>
      <c r="F40" s="39">
        <v>284</v>
      </c>
      <c r="G40" s="43">
        <v>42429</v>
      </c>
      <c r="H40" s="43"/>
      <c r="I40" s="43">
        <v>42439</v>
      </c>
      <c r="J40" s="39" t="s">
        <v>8</v>
      </c>
      <c r="K40" s="39">
        <v>22.58</v>
      </c>
      <c r="L40" s="39">
        <v>22.65</v>
      </c>
      <c r="M40" s="39">
        <f t="shared" si="2"/>
        <v>22.58</v>
      </c>
      <c r="N40" s="40">
        <f t="shared" si="4"/>
        <v>42453</v>
      </c>
      <c r="O40" s="39">
        <v>1013842</v>
      </c>
      <c r="P40" s="29">
        <f t="shared" si="3"/>
        <v>1013841.9999999999</v>
      </c>
      <c r="Q40" s="171">
        <v>42467</v>
      </c>
      <c r="R40" s="28">
        <v>42467</v>
      </c>
      <c r="S40" s="185">
        <f t="shared" si="5"/>
        <v>14</v>
      </c>
    </row>
    <row r="41" spans="1:19" s="3" customFormat="1" hidden="1" x14ac:dyDescent="0.25">
      <c r="A41" s="84">
        <f>+closed!A48+1</f>
        <v>213</v>
      </c>
      <c r="B41" s="24">
        <v>42459</v>
      </c>
      <c r="C41" s="1">
        <v>114</v>
      </c>
      <c r="D41" s="1" t="s">
        <v>68</v>
      </c>
      <c r="E41" s="1" t="s">
        <v>27</v>
      </c>
      <c r="F41" s="20" t="s">
        <v>69</v>
      </c>
      <c r="G41" s="25">
        <v>42459</v>
      </c>
      <c r="H41" s="25"/>
      <c r="I41" s="25">
        <v>42447</v>
      </c>
      <c r="J41" s="1" t="s">
        <v>16</v>
      </c>
      <c r="K41" s="1"/>
      <c r="L41" s="1"/>
      <c r="M41" s="1"/>
      <c r="N41" s="7">
        <f t="shared" si="4"/>
        <v>42461</v>
      </c>
      <c r="O41" s="1">
        <v>21799</v>
      </c>
      <c r="P41" s="26"/>
      <c r="Q41" s="171">
        <v>42467</v>
      </c>
      <c r="R41" s="28">
        <v>42467</v>
      </c>
      <c r="S41" s="185">
        <f t="shared" si="5"/>
        <v>6</v>
      </c>
    </row>
    <row r="42" spans="1:19" s="3" customFormat="1" hidden="1" x14ac:dyDescent="0.25">
      <c r="A42" s="84">
        <f>+closed!A41+1</f>
        <v>214</v>
      </c>
      <c r="B42" s="24">
        <v>42459</v>
      </c>
      <c r="C42" s="1">
        <v>114</v>
      </c>
      <c r="D42" s="1">
        <v>3000027512</v>
      </c>
      <c r="E42" s="1" t="s">
        <v>27</v>
      </c>
      <c r="F42" s="16">
        <v>396</v>
      </c>
      <c r="G42" s="25">
        <v>42430</v>
      </c>
      <c r="H42" s="25"/>
      <c r="I42" s="25">
        <v>42447</v>
      </c>
      <c r="J42" s="1" t="s">
        <v>16</v>
      </c>
      <c r="K42" s="1">
        <v>21.22</v>
      </c>
      <c r="L42" s="1">
        <v>21.22</v>
      </c>
      <c r="M42" s="1">
        <f>IF(L42&gt;K42,K42,L42)</f>
        <v>21.22</v>
      </c>
      <c r="N42" s="7">
        <f t="shared" si="4"/>
        <v>42461</v>
      </c>
      <c r="O42" s="1">
        <v>857288</v>
      </c>
      <c r="P42" s="26">
        <f>(+O42/K42*M42)-21799</f>
        <v>835489</v>
      </c>
      <c r="Q42" s="171">
        <v>42467</v>
      </c>
      <c r="R42" s="28">
        <v>42467</v>
      </c>
      <c r="S42" s="185">
        <f t="shared" si="5"/>
        <v>6</v>
      </c>
    </row>
    <row r="43" spans="1:19" s="3" customFormat="1" hidden="1" x14ac:dyDescent="0.25">
      <c r="A43" s="84">
        <f>+closed!A42+1</f>
        <v>215</v>
      </c>
      <c r="B43" s="24">
        <v>42459</v>
      </c>
      <c r="C43" s="1">
        <v>114</v>
      </c>
      <c r="D43" s="1">
        <v>3000028103</v>
      </c>
      <c r="E43" s="1" t="s">
        <v>27</v>
      </c>
      <c r="F43" s="16">
        <v>396</v>
      </c>
      <c r="G43" s="25">
        <v>42430</v>
      </c>
      <c r="H43" s="25"/>
      <c r="I43" s="25">
        <v>42447</v>
      </c>
      <c r="J43" s="1" t="s">
        <v>16</v>
      </c>
      <c r="K43" s="1">
        <v>7.5</v>
      </c>
      <c r="L43" s="1">
        <v>7.35</v>
      </c>
      <c r="M43" s="1">
        <f>IF(L43&gt;K43,K43,L43)</f>
        <v>7.35</v>
      </c>
      <c r="N43" s="7">
        <f t="shared" si="4"/>
        <v>42461</v>
      </c>
      <c r="O43" s="1">
        <v>335250</v>
      </c>
      <c r="P43" s="26">
        <f>(+O43/K43*M43)</f>
        <v>328545</v>
      </c>
      <c r="Q43" s="171">
        <v>42467</v>
      </c>
      <c r="R43" s="28">
        <v>42467</v>
      </c>
      <c r="S43" s="185">
        <f t="shared" si="5"/>
        <v>6</v>
      </c>
    </row>
    <row r="44" spans="1:19" s="3" customFormat="1" hidden="1" x14ac:dyDescent="0.25">
      <c r="A44" s="84">
        <f>+closed!A43+1</f>
        <v>216</v>
      </c>
      <c r="B44" s="24">
        <v>42459</v>
      </c>
      <c r="C44" s="1">
        <v>114</v>
      </c>
      <c r="D44" s="1">
        <v>3000027512</v>
      </c>
      <c r="E44" s="1" t="s">
        <v>27</v>
      </c>
      <c r="F44" s="20" t="s">
        <v>70</v>
      </c>
      <c r="G44" s="25">
        <v>42459</v>
      </c>
      <c r="H44" s="25"/>
      <c r="I44" s="25">
        <v>42452</v>
      </c>
      <c r="J44" s="1" t="s">
        <v>16</v>
      </c>
      <c r="K44" s="1"/>
      <c r="L44" s="1"/>
      <c r="M44" s="1"/>
      <c r="N44" s="7">
        <f t="shared" si="4"/>
        <v>42466</v>
      </c>
      <c r="O44" s="1">
        <v>19860</v>
      </c>
      <c r="P44" s="26"/>
      <c r="Q44" s="171">
        <v>42467</v>
      </c>
      <c r="R44" s="28">
        <v>42467</v>
      </c>
      <c r="S44" s="185">
        <f t="shared" si="5"/>
        <v>1</v>
      </c>
    </row>
    <row r="45" spans="1:19" s="3" customFormat="1" hidden="1" x14ac:dyDescent="0.25">
      <c r="A45" s="84">
        <f>+closed!A44+1</f>
        <v>217</v>
      </c>
      <c r="B45" s="24">
        <v>42459</v>
      </c>
      <c r="C45" s="1">
        <v>114</v>
      </c>
      <c r="D45" s="1">
        <v>3000027512</v>
      </c>
      <c r="E45" s="1" t="s">
        <v>27</v>
      </c>
      <c r="F45" s="16">
        <v>392</v>
      </c>
      <c r="G45" s="25">
        <v>42426</v>
      </c>
      <c r="H45" s="25"/>
      <c r="I45" s="25">
        <v>42452</v>
      </c>
      <c r="J45" s="1" t="s">
        <v>16</v>
      </c>
      <c r="K45" s="1">
        <v>29.295000000000002</v>
      </c>
      <c r="L45" s="1">
        <v>29.12</v>
      </c>
      <c r="M45" s="1">
        <f t="shared" ref="M45:M68" si="6">IF(L45&gt;K45,K45,L45)</f>
        <v>29.12</v>
      </c>
      <c r="N45" s="7">
        <f t="shared" si="4"/>
        <v>42466</v>
      </c>
      <c r="O45" s="1">
        <v>1183518</v>
      </c>
      <c r="P45" s="26">
        <f>(+O45/K45*M45)-19860</f>
        <v>1156588</v>
      </c>
      <c r="Q45" s="171">
        <v>42467</v>
      </c>
      <c r="R45" s="28">
        <v>42467</v>
      </c>
      <c r="S45" s="185">
        <f t="shared" si="5"/>
        <v>1</v>
      </c>
    </row>
    <row r="46" spans="1:19" s="3" customFormat="1" hidden="1" x14ac:dyDescent="0.25">
      <c r="A46" s="84">
        <f>+closed!A171+1</f>
        <v>175</v>
      </c>
      <c r="B46" s="24">
        <v>42457</v>
      </c>
      <c r="C46" s="1">
        <v>114</v>
      </c>
      <c r="D46" s="1">
        <v>3000028332</v>
      </c>
      <c r="E46" s="1" t="s">
        <v>44</v>
      </c>
      <c r="F46" s="1">
        <v>144</v>
      </c>
      <c r="G46" s="25">
        <v>42443</v>
      </c>
      <c r="H46" s="25"/>
      <c r="I46" s="25">
        <v>42448</v>
      </c>
      <c r="J46" s="1" t="s">
        <v>16</v>
      </c>
      <c r="K46" s="1">
        <v>17.7</v>
      </c>
      <c r="L46" s="1">
        <v>17.66</v>
      </c>
      <c r="M46" s="1">
        <f t="shared" si="6"/>
        <v>17.66</v>
      </c>
      <c r="N46" s="7">
        <f t="shared" si="4"/>
        <v>42462</v>
      </c>
      <c r="O46" s="1">
        <v>858449</v>
      </c>
      <c r="P46" s="26">
        <f t="shared" ref="P46:P68" si="7">(+O46/K46*M46)</f>
        <v>856509.00225988706</v>
      </c>
      <c r="Q46" s="171">
        <v>42467</v>
      </c>
      <c r="R46" s="28">
        <v>42467</v>
      </c>
      <c r="S46" s="185">
        <f t="shared" si="5"/>
        <v>5</v>
      </c>
    </row>
    <row r="47" spans="1:19" s="3" customFormat="1" hidden="1" x14ac:dyDescent="0.25">
      <c r="A47" s="84" t="e">
        <f>+closed!#REF!+1</f>
        <v>#REF!</v>
      </c>
      <c r="B47" s="24">
        <v>42457</v>
      </c>
      <c r="C47" s="1">
        <v>114</v>
      </c>
      <c r="D47" s="1">
        <v>3000029196</v>
      </c>
      <c r="E47" s="1" t="s">
        <v>30</v>
      </c>
      <c r="F47" s="1">
        <v>811</v>
      </c>
      <c r="G47" s="25">
        <v>42450</v>
      </c>
      <c r="H47" s="25"/>
      <c r="I47" s="25">
        <v>42450</v>
      </c>
      <c r="J47" s="1" t="s">
        <v>31</v>
      </c>
      <c r="K47" s="1">
        <v>28.43</v>
      </c>
      <c r="L47" s="1">
        <v>28.37</v>
      </c>
      <c r="M47" s="1">
        <f t="shared" si="6"/>
        <v>28.37</v>
      </c>
      <c r="N47" s="7">
        <f t="shared" si="4"/>
        <v>42464</v>
      </c>
      <c r="O47" s="1">
        <v>1324839</v>
      </c>
      <c r="P47" s="26">
        <f t="shared" si="7"/>
        <v>1322042.9978895534</v>
      </c>
      <c r="Q47" s="171">
        <v>42467</v>
      </c>
      <c r="R47" s="28">
        <v>42467</v>
      </c>
      <c r="S47" s="185">
        <f t="shared" si="5"/>
        <v>3</v>
      </c>
    </row>
    <row r="48" spans="1:19" s="3" customFormat="1" hidden="1" x14ac:dyDescent="0.25">
      <c r="A48" s="84">
        <f>+closed!A88+1</f>
        <v>212</v>
      </c>
      <c r="B48" s="24">
        <v>42458</v>
      </c>
      <c r="C48" s="1">
        <v>103</v>
      </c>
      <c r="D48" s="1">
        <v>3000029286</v>
      </c>
      <c r="E48" s="1" t="s">
        <v>52</v>
      </c>
      <c r="F48" s="1">
        <v>1511510256</v>
      </c>
      <c r="G48" s="25">
        <v>42452</v>
      </c>
      <c r="H48" s="25"/>
      <c r="I48" s="25">
        <v>42452</v>
      </c>
      <c r="J48" s="1" t="s">
        <v>16</v>
      </c>
      <c r="K48" s="1">
        <v>6.19</v>
      </c>
      <c r="L48" s="1">
        <v>6.19</v>
      </c>
      <c r="M48" s="1">
        <f t="shared" si="6"/>
        <v>6.19</v>
      </c>
      <c r="N48" s="7">
        <f t="shared" si="4"/>
        <v>42466</v>
      </c>
      <c r="O48" s="1">
        <v>298327</v>
      </c>
      <c r="P48" s="26">
        <f t="shared" si="7"/>
        <v>298327</v>
      </c>
      <c r="Q48" s="171">
        <v>42467</v>
      </c>
      <c r="R48" s="28">
        <v>42467</v>
      </c>
      <c r="S48" s="185">
        <f t="shared" si="5"/>
        <v>1</v>
      </c>
    </row>
    <row r="49" spans="1:20" s="3" customFormat="1" hidden="1" x14ac:dyDescent="0.25">
      <c r="A49" s="84">
        <f>+closed!A271+1</f>
        <v>235</v>
      </c>
      <c r="B49" s="32">
        <v>42467</v>
      </c>
      <c r="C49" s="17">
        <v>103</v>
      </c>
      <c r="D49" s="17">
        <v>3000029045</v>
      </c>
      <c r="E49" s="17" t="s">
        <v>26</v>
      </c>
      <c r="F49" s="17">
        <v>504</v>
      </c>
      <c r="G49" s="34">
        <v>42447</v>
      </c>
      <c r="H49" s="34"/>
      <c r="I49" s="34">
        <v>42447</v>
      </c>
      <c r="J49" s="17" t="s">
        <v>63</v>
      </c>
      <c r="K49" s="17">
        <v>25.555</v>
      </c>
      <c r="L49" s="17">
        <v>25.555</v>
      </c>
      <c r="M49" s="17">
        <f t="shared" si="6"/>
        <v>25.555</v>
      </c>
      <c r="N49" s="33">
        <f t="shared" si="4"/>
        <v>42461</v>
      </c>
      <c r="O49" s="17">
        <v>1943514</v>
      </c>
      <c r="P49" s="35">
        <f t="shared" si="7"/>
        <v>1943514.0000000002</v>
      </c>
      <c r="Q49" s="172">
        <v>42467</v>
      </c>
      <c r="R49" s="28">
        <v>42467</v>
      </c>
      <c r="S49" s="185">
        <f t="shared" si="5"/>
        <v>6</v>
      </c>
    </row>
    <row r="50" spans="1:20" s="3" customFormat="1" hidden="1" x14ac:dyDescent="0.25">
      <c r="A50" s="84">
        <f>+closed!A49+1</f>
        <v>236</v>
      </c>
      <c r="B50" s="32">
        <v>42467</v>
      </c>
      <c r="C50" s="17">
        <v>103</v>
      </c>
      <c r="D50" s="17">
        <v>3000029045</v>
      </c>
      <c r="E50" s="17" t="s">
        <v>26</v>
      </c>
      <c r="F50" s="17">
        <v>505</v>
      </c>
      <c r="G50" s="34">
        <v>42448</v>
      </c>
      <c r="H50" s="34"/>
      <c r="I50" s="34">
        <v>42448</v>
      </c>
      <c r="J50" s="17" t="s">
        <v>63</v>
      </c>
      <c r="K50" s="17">
        <v>27.21</v>
      </c>
      <c r="L50" s="17">
        <v>27.21</v>
      </c>
      <c r="M50" s="17">
        <f t="shared" si="6"/>
        <v>27.21</v>
      </c>
      <c r="N50" s="33">
        <f t="shared" si="4"/>
        <v>42462</v>
      </c>
      <c r="O50" s="17">
        <v>2069381</v>
      </c>
      <c r="P50" s="35">
        <f t="shared" si="7"/>
        <v>2069381</v>
      </c>
      <c r="Q50" s="172">
        <v>42467</v>
      </c>
      <c r="R50" s="28">
        <v>42467</v>
      </c>
      <c r="S50" s="185">
        <f t="shared" si="5"/>
        <v>5</v>
      </c>
    </row>
    <row r="51" spans="1:20" s="3" customFormat="1" hidden="1" x14ac:dyDescent="0.25">
      <c r="A51" s="84">
        <f>+closed!A50+1</f>
        <v>237</v>
      </c>
      <c r="B51" s="32">
        <v>42467</v>
      </c>
      <c r="C51" s="17">
        <v>103</v>
      </c>
      <c r="D51" s="17">
        <v>3000029045</v>
      </c>
      <c r="E51" s="17" t="s">
        <v>26</v>
      </c>
      <c r="F51" s="17">
        <v>506</v>
      </c>
      <c r="G51" s="34">
        <v>42448</v>
      </c>
      <c r="H51" s="34"/>
      <c r="I51" s="34">
        <v>42448</v>
      </c>
      <c r="J51" s="17" t="s">
        <v>63</v>
      </c>
      <c r="K51" s="17">
        <v>32.76</v>
      </c>
      <c r="L51" s="17">
        <v>32.76</v>
      </c>
      <c r="M51" s="17">
        <f t="shared" si="6"/>
        <v>32.76</v>
      </c>
      <c r="N51" s="33">
        <f t="shared" si="4"/>
        <v>42462</v>
      </c>
      <c r="O51" s="17">
        <v>2481471</v>
      </c>
      <c r="P51" s="35">
        <f t="shared" si="7"/>
        <v>2481471</v>
      </c>
      <c r="Q51" s="172">
        <v>42467</v>
      </c>
      <c r="R51" s="28">
        <v>42467</v>
      </c>
      <c r="S51" s="185">
        <f t="shared" si="5"/>
        <v>5</v>
      </c>
    </row>
    <row r="52" spans="1:20" s="3" customFormat="1" hidden="1" x14ac:dyDescent="0.25">
      <c r="A52" s="84">
        <f>+closed!A51+1</f>
        <v>238</v>
      </c>
      <c r="B52" s="32">
        <v>42467</v>
      </c>
      <c r="C52" s="17">
        <v>103</v>
      </c>
      <c r="D52" s="17">
        <v>3000029045</v>
      </c>
      <c r="E52" s="17" t="s">
        <v>26</v>
      </c>
      <c r="F52" s="17">
        <v>507</v>
      </c>
      <c r="G52" s="34">
        <v>42448</v>
      </c>
      <c r="H52" s="34"/>
      <c r="I52" s="34">
        <v>42448</v>
      </c>
      <c r="J52" s="17" t="s">
        <v>63</v>
      </c>
      <c r="K52" s="17">
        <v>27.09</v>
      </c>
      <c r="L52" s="17">
        <v>27.09</v>
      </c>
      <c r="M52" s="17">
        <f t="shared" si="6"/>
        <v>27.09</v>
      </c>
      <c r="N52" s="33">
        <f t="shared" si="4"/>
        <v>42462</v>
      </c>
      <c r="O52" s="17">
        <v>2060255</v>
      </c>
      <c r="P52" s="35">
        <f t="shared" si="7"/>
        <v>2060255.0000000002</v>
      </c>
      <c r="Q52" s="172">
        <v>42467</v>
      </c>
      <c r="R52" s="28">
        <v>42467</v>
      </c>
      <c r="S52" s="185">
        <f t="shared" si="5"/>
        <v>5</v>
      </c>
    </row>
    <row r="53" spans="1:20" s="3" customFormat="1" hidden="1" x14ac:dyDescent="0.25">
      <c r="A53" s="84">
        <f>+closed!A52+1</f>
        <v>239</v>
      </c>
      <c r="B53" s="32">
        <v>42467</v>
      </c>
      <c r="C53" s="17">
        <v>103</v>
      </c>
      <c r="D53" s="17">
        <v>3000029045</v>
      </c>
      <c r="E53" s="17" t="s">
        <v>26</v>
      </c>
      <c r="F53" s="17">
        <v>508</v>
      </c>
      <c r="G53" s="34">
        <v>42448</v>
      </c>
      <c r="H53" s="34"/>
      <c r="I53" s="34">
        <v>42448</v>
      </c>
      <c r="J53" s="17" t="s">
        <v>63</v>
      </c>
      <c r="K53" s="17">
        <v>26.46</v>
      </c>
      <c r="L53" s="17">
        <v>26.46</v>
      </c>
      <c r="M53" s="17">
        <f t="shared" si="6"/>
        <v>26.46</v>
      </c>
      <c r="N53" s="33">
        <f t="shared" si="4"/>
        <v>42462</v>
      </c>
      <c r="O53" s="17">
        <v>2012342</v>
      </c>
      <c r="P53" s="35">
        <f t="shared" si="7"/>
        <v>2012342</v>
      </c>
      <c r="Q53" s="172">
        <v>42467</v>
      </c>
      <c r="R53" s="28">
        <v>42467</v>
      </c>
      <c r="S53" s="185">
        <f t="shared" si="5"/>
        <v>5</v>
      </c>
    </row>
    <row r="54" spans="1:20" s="3" customFormat="1" hidden="1" x14ac:dyDescent="0.25">
      <c r="A54" s="84">
        <f>+closed!A53+1</f>
        <v>240</v>
      </c>
      <c r="B54" s="32">
        <v>42467</v>
      </c>
      <c r="C54" s="17">
        <v>103</v>
      </c>
      <c r="D54" s="17">
        <v>3000029045</v>
      </c>
      <c r="E54" s="17" t="s">
        <v>26</v>
      </c>
      <c r="F54" s="17">
        <v>509</v>
      </c>
      <c r="G54" s="34">
        <v>42448</v>
      </c>
      <c r="H54" s="34"/>
      <c r="I54" s="34">
        <v>42448</v>
      </c>
      <c r="J54" s="17" t="s">
        <v>63</v>
      </c>
      <c r="K54" s="17">
        <v>26.27</v>
      </c>
      <c r="L54" s="17">
        <v>26.27</v>
      </c>
      <c r="M54" s="17">
        <f t="shared" si="6"/>
        <v>26.27</v>
      </c>
      <c r="N54" s="33">
        <f t="shared" si="4"/>
        <v>42462</v>
      </c>
      <c r="O54" s="17">
        <v>1997892</v>
      </c>
      <c r="P54" s="35">
        <f t="shared" si="7"/>
        <v>1997892</v>
      </c>
      <c r="Q54" s="172">
        <v>42467</v>
      </c>
      <c r="R54" s="28">
        <v>42467</v>
      </c>
      <c r="S54" s="185">
        <f t="shared" si="5"/>
        <v>5</v>
      </c>
    </row>
    <row r="55" spans="1:20" s="3" customFormat="1" hidden="1" x14ac:dyDescent="0.25">
      <c r="A55" s="84">
        <f>+closed!A54+1</f>
        <v>241</v>
      </c>
      <c r="B55" s="32">
        <v>42467</v>
      </c>
      <c r="C55" s="17">
        <v>103</v>
      </c>
      <c r="D55" s="17">
        <v>3000029045</v>
      </c>
      <c r="E55" s="17" t="s">
        <v>26</v>
      </c>
      <c r="F55" s="17">
        <v>510</v>
      </c>
      <c r="G55" s="34">
        <v>42450</v>
      </c>
      <c r="H55" s="34"/>
      <c r="I55" s="34">
        <v>42450</v>
      </c>
      <c r="J55" s="17" t="s">
        <v>63</v>
      </c>
      <c r="K55" s="17">
        <v>27.06</v>
      </c>
      <c r="L55" s="17">
        <v>27.06</v>
      </c>
      <c r="M55" s="17">
        <f t="shared" si="6"/>
        <v>27.06</v>
      </c>
      <c r="N55" s="33">
        <f t="shared" si="4"/>
        <v>42464</v>
      </c>
      <c r="O55" s="17">
        <v>2057973</v>
      </c>
      <c r="P55" s="35">
        <f t="shared" si="7"/>
        <v>2057973</v>
      </c>
      <c r="Q55" s="172">
        <v>42467</v>
      </c>
      <c r="R55" s="28">
        <v>42467</v>
      </c>
      <c r="S55" s="185">
        <f t="shared" si="5"/>
        <v>3</v>
      </c>
    </row>
    <row r="56" spans="1:20" s="3" customFormat="1" hidden="1" x14ac:dyDescent="0.25">
      <c r="A56" s="84">
        <f>+closed!A55+1</f>
        <v>242</v>
      </c>
      <c r="B56" s="32">
        <v>42467</v>
      </c>
      <c r="C56" s="17">
        <v>103</v>
      </c>
      <c r="D56" s="17">
        <v>3000029045</v>
      </c>
      <c r="E56" s="17" t="s">
        <v>26</v>
      </c>
      <c r="F56" s="17">
        <v>511</v>
      </c>
      <c r="G56" s="34">
        <v>42450</v>
      </c>
      <c r="H56" s="34"/>
      <c r="I56" s="34">
        <v>42450</v>
      </c>
      <c r="J56" s="17" t="s">
        <v>63</v>
      </c>
      <c r="K56" s="17">
        <v>26.66</v>
      </c>
      <c r="L56" s="17">
        <v>26.66</v>
      </c>
      <c r="M56" s="17">
        <f t="shared" si="6"/>
        <v>26.66</v>
      </c>
      <c r="N56" s="33">
        <f t="shared" si="4"/>
        <v>42464</v>
      </c>
      <c r="O56" s="17">
        <v>2027552</v>
      </c>
      <c r="P56" s="35">
        <f t="shared" si="7"/>
        <v>2027552</v>
      </c>
      <c r="Q56" s="172">
        <v>42467</v>
      </c>
      <c r="R56" s="28">
        <v>42467</v>
      </c>
      <c r="S56" s="185">
        <f t="shared" si="5"/>
        <v>3</v>
      </c>
      <c r="T56" s="15">
        <v>30737059</v>
      </c>
    </row>
    <row r="57" spans="1:20" s="3" customFormat="1" hidden="1" x14ac:dyDescent="0.25">
      <c r="A57" s="84">
        <f>+closed!A30+1</f>
        <v>204</v>
      </c>
      <c r="B57" s="24">
        <v>42464</v>
      </c>
      <c r="C57" s="1">
        <v>103</v>
      </c>
      <c r="D57" s="1">
        <v>3000028556</v>
      </c>
      <c r="E57" s="8" t="s">
        <v>84</v>
      </c>
      <c r="F57" s="1">
        <v>9500773638</v>
      </c>
      <c r="G57" s="25">
        <v>42426</v>
      </c>
      <c r="H57" s="25"/>
      <c r="I57" s="25">
        <v>42426</v>
      </c>
      <c r="J57" s="1" t="s">
        <v>16</v>
      </c>
      <c r="K57" s="1">
        <v>24.78</v>
      </c>
      <c r="L57" s="1">
        <v>24.78</v>
      </c>
      <c r="M57" s="1">
        <f t="shared" si="6"/>
        <v>24.78</v>
      </c>
      <c r="N57" s="7"/>
      <c r="O57" s="1">
        <v>1183491</v>
      </c>
      <c r="P57" s="26">
        <f t="shared" si="7"/>
        <v>1183491</v>
      </c>
      <c r="R57" s="1"/>
    </row>
    <row r="58" spans="1:20" s="3" customFormat="1" hidden="1" x14ac:dyDescent="0.25">
      <c r="A58" s="84">
        <f>+closed!A57+1</f>
        <v>205</v>
      </c>
      <c r="B58" s="24">
        <v>42464</v>
      </c>
      <c r="C58" s="1">
        <v>103</v>
      </c>
      <c r="D58" s="1">
        <v>3000028556</v>
      </c>
      <c r="E58" s="8" t="s">
        <v>84</v>
      </c>
      <c r="F58" s="1">
        <v>9500773639</v>
      </c>
      <c r="G58" s="25">
        <v>42426</v>
      </c>
      <c r="H58" s="25"/>
      <c r="I58" s="25">
        <v>42455</v>
      </c>
      <c r="J58" s="1" t="s">
        <v>16</v>
      </c>
      <c r="K58" s="1">
        <v>25.51</v>
      </c>
      <c r="L58" s="1">
        <v>25.51</v>
      </c>
      <c r="M58" s="1">
        <f t="shared" si="6"/>
        <v>25.51</v>
      </c>
      <c r="N58" s="7"/>
      <c r="O58" s="1">
        <v>1220414</v>
      </c>
      <c r="P58" s="26">
        <f t="shared" si="7"/>
        <v>1220414</v>
      </c>
      <c r="R58" s="1"/>
    </row>
    <row r="59" spans="1:20" s="3" customFormat="1" hidden="1" x14ac:dyDescent="0.25">
      <c r="A59" s="84">
        <f>+closed!A58+1</f>
        <v>206</v>
      </c>
      <c r="B59" s="24">
        <v>42464</v>
      </c>
      <c r="C59" s="1">
        <v>103</v>
      </c>
      <c r="D59" s="1">
        <v>3000028556</v>
      </c>
      <c r="E59" s="8" t="s">
        <v>84</v>
      </c>
      <c r="F59" s="1">
        <v>9500773675</v>
      </c>
      <c r="G59" s="25">
        <v>42427</v>
      </c>
      <c r="H59" s="25"/>
      <c r="I59" s="25">
        <v>42427</v>
      </c>
      <c r="J59" s="1" t="s">
        <v>16</v>
      </c>
      <c r="K59" s="1">
        <v>24.86</v>
      </c>
      <c r="L59" s="1">
        <v>24.86</v>
      </c>
      <c r="M59" s="1">
        <f t="shared" si="6"/>
        <v>24.86</v>
      </c>
      <c r="N59" s="7"/>
      <c r="O59" s="1">
        <v>1189318</v>
      </c>
      <c r="P59" s="26">
        <f t="shared" si="7"/>
        <v>1189318</v>
      </c>
      <c r="R59" s="1"/>
    </row>
    <row r="60" spans="1:20" s="3" customFormat="1" hidden="1" x14ac:dyDescent="0.25">
      <c r="A60" s="84">
        <f>+closed!A59+1</f>
        <v>207</v>
      </c>
      <c r="B60" s="24">
        <v>42464</v>
      </c>
      <c r="C60" s="1">
        <v>103</v>
      </c>
      <c r="D60" s="1">
        <v>3000028556</v>
      </c>
      <c r="E60" s="8" t="s">
        <v>84</v>
      </c>
      <c r="F60" s="1">
        <v>9500773693</v>
      </c>
      <c r="G60" s="25">
        <v>42427</v>
      </c>
      <c r="H60" s="25"/>
      <c r="I60" s="25">
        <v>42427</v>
      </c>
      <c r="J60" s="1" t="s">
        <v>16</v>
      </c>
      <c r="K60" s="1">
        <v>19.61</v>
      </c>
      <c r="L60" s="1">
        <v>19.61</v>
      </c>
      <c r="M60" s="1">
        <f t="shared" si="6"/>
        <v>19.61</v>
      </c>
      <c r="N60" s="7"/>
      <c r="O60" s="1">
        <v>938155</v>
      </c>
      <c r="P60" s="26">
        <f t="shared" si="7"/>
        <v>938155</v>
      </c>
      <c r="R60" s="1"/>
    </row>
    <row r="61" spans="1:20" s="3" customFormat="1" hidden="1" x14ac:dyDescent="0.25">
      <c r="A61" s="84">
        <f>+closed!A60+1</f>
        <v>208</v>
      </c>
      <c r="B61" s="24">
        <v>42464</v>
      </c>
      <c r="C61" s="1">
        <v>103</v>
      </c>
      <c r="D61" s="1">
        <v>3000028556</v>
      </c>
      <c r="E61" s="8" t="s">
        <v>84</v>
      </c>
      <c r="F61" s="1">
        <v>9500773730</v>
      </c>
      <c r="G61" s="25">
        <v>42429</v>
      </c>
      <c r="H61" s="25"/>
      <c r="I61" s="25">
        <v>42429</v>
      </c>
      <c r="J61" s="1" t="s">
        <v>16</v>
      </c>
      <c r="K61" s="1">
        <v>26.08</v>
      </c>
      <c r="L61" s="1">
        <v>26.08</v>
      </c>
      <c r="M61" s="1">
        <f t="shared" si="6"/>
        <v>26.08</v>
      </c>
      <c r="N61" s="7"/>
      <c r="O61" s="1">
        <v>1247684</v>
      </c>
      <c r="P61" s="26">
        <f t="shared" si="7"/>
        <v>1247684</v>
      </c>
      <c r="R61" s="1"/>
    </row>
    <row r="62" spans="1:20" s="3" customFormat="1" hidden="1" x14ac:dyDescent="0.25">
      <c r="A62" s="84">
        <f>+closed!A61+1</f>
        <v>209</v>
      </c>
      <c r="B62" s="24">
        <v>42464</v>
      </c>
      <c r="C62" s="1">
        <v>103</v>
      </c>
      <c r="D62" s="1">
        <v>3000028556</v>
      </c>
      <c r="E62" s="8" t="s">
        <v>84</v>
      </c>
      <c r="F62" s="1">
        <v>9500773731</v>
      </c>
      <c r="G62" s="25">
        <v>42429</v>
      </c>
      <c r="H62" s="25"/>
      <c r="I62" s="25">
        <v>42429</v>
      </c>
      <c r="J62" s="1" t="s">
        <v>16</v>
      </c>
      <c r="K62" s="1">
        <v>24.55</v>
      </c>
      <c r="L62" s="1">
        <v>24.55</v>
      </c>
      <c r="M62" s="1">
        <f t="shared" si="6"/>
        <v>24.55</v>
      </c>
      <c r="N62" s="7"/>
      <c r="O62" s="1">
        <v>1174487</v>
      </c>
      <c r="P62" s="26">
        <f t="shared" si="7"/>
        <v>1174487</v>
      </c>
      <c r="R62" s="1"/>
    </row>
    <row r="63" spans="1:20" s="3" customFormat="1" hidden="1" x14ac:dyDescent="0.25">
      <c r="A63" s="84">
        <f>+closed!A62+1</f>
        <v>210</v>
      </c>
      <c r="B63" s="24">
        <v>42464</v>
      </c>
      <c r="C63" s="1">
        <v>103</v>
      </c>
      <c r="D63" s="1">
        <v>3000028556</v>
      </c>
      <c r="E63" s="8" t="s">
        <v>84</v>
      </c>
      <c r="F63" s="1">
        <v>9500773732</v>
      </c>
      <c r="G63" s="25">
        <v>42429</v>
      </c>
      <c r="H63" s="25"/>
      <c r="I63" s="25">
        <v>42429</v>
      </c>
      <c r="J63" s="1" t="s">
        <v>16</v>
      </c>
      <c r="K63" s="1">
        <v>26.11</v>
      </c>
      <c r="L63" s="1">
        <v>26.11</v>
      </c>
      <c r="M63" s="1">
        <f t="shared" si="6"/>
        <v>26.11</v>
      </c>
      <c r="N63" s="7"/>
      <c r="O63" s="1">
        <v>1249119</v>
      </c>
      <c r="P63" s="26">
        <f t="shared" si="7"/>
        <v>1249119</v>
      </c>
      <c r="R63" s="1"/>
    </row>
    <row r="64" spans="1:20" s="3" customFormat="1" hidden="1" x14ac:dyDescent="0.25">
      <c r="A64" s="84">
        <f>+closed!A63+1</f>
        <v>211</v>
      </c>
      <c r="B64" s="24">
        <v>42464</v>
      </c>
      <c r="C64" s="1">
        <v>103</v>
      </c>
      <c r="D64" s="1">
        <v>3000028556</v>
      </c>
      <c r="E64" s="8" t="s">
        <v>84</v>
      </c>
      <c r="F64" s="1">
        <v>9500773737</v>
      </c>
      <c r="G64" s="25">
        <v>42419</v>
      </c>
      <c r="H64" s="25"/>
      <c r="I64" s="25">
        <v>42429</v>
      </c>
      <c r="J64" s="1" t="s">
        <v>16</v>
      </c>
      <c r="K64" s="1">
        <v>22.57</v>
      </c>
      <c r="L64" s="1">
        <v>22.57</v>
      </c>
      <c r="M64" s="1">
        <f t="shared" si="6"/>
        <v>22.57</v>
      </c>
      <c r="N64" s="7"/>
      <c r="O64" s="1">
        <v>1079763</v>
      </c>
      <c r="P64" s="26">
        <f t="shared" si="7"/>
        <v>1079763</v>
      </c>
      <c r="R64" s="1"/>
      <c r="T64" s="15">
        <v>9284430</v>
      </c>
    </row>
    <row r="65" spans="1:20" s="3" customFormat="1" hidden="1" x14ac:dyDescent="0.25">
      <c r="A65" s="96">
        <f>+closed!A228+1</f>
        <v>283</v>
      </c>
      <c r="B65" s="32">
        <v>42473</v>
      </c>
      <c r="C65" s="17">
        <v>103</v>
      </c>
      <c r="D65" s="17">
        <v>3000029045</v>
      </c>
      <c r="E65" s="17" t="s">
        <v>26</v>
      </c>
      <c r="F65" s="17">
        <v>512</v>
      </c>
      <c r="G65" s="34">
        <v>42450</v>
      </c>
      <c r="H65" s="34"/>
      <c r="I65" s="34">
        <v>42450</v>
      </c>
      <c r="J65" s="17" t="s">
        <v>63</v>
      </c>
      <c r="K65" s="17">
        <v>31.524999999999999</v>
      </c>
      <c r="L65" s="17">
        <v>31.524999999999999</v>
      </c>
      <c r="M65" s="17">
        <f t="shared" si="6"/>
        <v>31.524999999999999</v>
      </c>
      <c r="N65" s="33">
        <f>+I65+15-1</f>
        <v>42464</v>
      </c>
      <c r="O65" s="17">
        <v>2397546</v>
      </c>
      <c r="P65" s="35">
        <f t="shared" si="7"/>
        <v>2397546</v>
      </c>
      <c r="Q65" s="172">
        <v>42473</v>
      </c>
      <c r="R65" s="31">
        <v>42473</v>
      </c>
      <c r="S65" s="186">
        <f>R65-N65</f>
        <v>9</v>
      </c>
    </row>
    <row r="66" spans="1:20" s="3" customFormat="1" hidden="1" x14ac:dyDescent="0.25">
      <c r="A66" s="96">
        <f>+closed!A65+1</f>
        <v>284</v>
      </c>
      <c r="B66" s="32">
        <v>42473</v>
      </c>
      <c r="C66" s="17">
        <v>103</v>
      </c>
      <c r="D66" s="17">
        <v>3000029045</v>
      </c>
      <c r="E66" s="17" t="s">
        <v>26</v>
      </c>
      <c r="F66" s="17">
        <v>513</v>
      </c>
      <c r="G66" s="34">
        <v>42450</v>
      </c>
      <c r="H66" s="34"/>
      <c r="I66" s="34">
        <v>42450</v>
      </c>
      <c r="J66" s="17" t="s">
        <v>63</v>
      </c>
      <c r="K66" s="17">
        <v>27.004999999999999</v>
      </c>
      <c r="L66" s="17">
        <v>27.004999999999999</v>
      </c>
      <c r="M66" s="17">
        <f t="shared" si="6"/>
        <v>27.004999999999999</v>
      </c>
      <c r="N66" s="33">
        <f>+I66+15-1</f>
        <v>42464</v>
      </c>
      <c r="O66" s="17">
        <v>2053790</v>
      </c>
      <c r="P66" s="35">
        <f t="shared" si="7"/>
        <v>2053790</v>
      </c>
      <c r="Q66" s="172">
        <v>42473</v>
      </c>
      <c r="R66" s="31">
        <v>42473</v>
      </c>
      <c r="S66" s="186">
        <f>R66-N66</f>
        <v>9</v>
      </c>
    </row>
    <row r="67" spans="1:20" s="3" customFormat="1" hidden="1" x14ac:dyDescent="0.25">
      <c r="A67" s="96">
        <f>+closed!A66+1</f>
        <v>285</v>
      </c>
      <c r="B67" s="32">
        <v>42473</v>
      </c>
      <c r="C67" s="17">
        <v>103</v>
      </c>
      <c r="D67" s="17">
        <v>3000029045</v>
      </c>
      <c r="E67" s="17" t="s">
        <v>26</v>
      </c>
      <c r="F67" s="17">
        <v>514</v>
      </c>
      <c r="G67" s="34">
        <v>42450</v>
      </c>
      <c r="H67" s="34"/>
      <c r="I67" s="34">
        <v>42450</v>
      </c>
      <c r="J67" s="17" t="s">
        <v>63</v>
      </c>
      <c r="K67" s="17">
        <v>26.635000000000002</v>
      </c>
      <c r="L67" s="17">
        <v>26.635000000000002</v>
      </c>
      <c r="M67" s="17">
        <f t="shared" si="6"/>
        <v>26.635000000000002</v>
      </c>
      <c r="N67" s="33">
        <f>+I67+15-1</f>
        <v>42464</v>
      </c>
      <c r="O67" s="17">
        <v>2025651</v>
      </c>
      <c r="P67" s="35">
        <f t="shared" si="7"/>
        <v>2025650.9999999998</v>
      </c>
      <c r="Q67" s="172">
        <v>42473</v>
      </c>
      <c r="R67" s="31">
        <v>42473</v>
      </c>
      <c r="S67" s="186">
        <f>R67-N67</f>
        <v>9</v>
      </c>
    </row>
    <row r="68" spans="1:20" s="3" customFormat="1" hidden="1" x14ac:dyDescent="0.25">
      <c r="A68" s="96">
        <f>+closed!A67+1</f>
        <v>286</v>
      </c>
      <c r="B68" s="32">
        <v>42473</v>
      </c>
      <c r="C68" s="17">
        <v>103</v>
      </c>
      <c r="D68" s="17">
        <v>3000029045</v>
      </c>
      <c r="E68" s="17" t="s">
        <v>26</v>
      </c>
      <c r="F68" s="17">
        <v>515</v>
      </c>
      <c r="G68" s="34">
        <v>42450</v>
      </c>
      <c r="H68" s="34"/>
      <c r="I68" s="34">
        <v>42450</v>
      </c>
      <c r="J68" s="17" t="s">
        <v>63</v>
      </c>
      <c r="K68" s="17">
        <v>25.9</v>
      </c>
      <c r="L68" s="17">
        <v>25.9</v>
      </c>
      <c r="M68" s="17">
        <f t="shared" si="6"/>
        <v>25.9</v>
      </c>
      <c r="N68" s="33">
        <f>+I68+15-1</f>
        <v>42464</v>
      </c>
      <c r="O68" s="17">
        <v>1969752</v>
      </c>
      <c r="P68" s="35">
        <f t="shared" si="7"/>
        <v>1969751.9999999998</v>
      </c>
      <c r="Q68" s="172">
        <v>42473</v>
      </c>
      <c r="R68" s="31">
        <v>42473</v>
      </c>
      <c r="S68" s="186">
        <f>R68-N68</f>
        <v>9</v>
      </c>
      <c r="T68" s="15">
        <v>8446739</v>
      </c>
    </row>
    <row r="69" spans="1:20" s="3" customFormat="1" hidden="1" x14ac:dyDescent="0.25">
      <c r="A69" s="84">
        <f>+closed!A277+1</f>
        <v>252</v>
      </c>
      <c r="B69" s="24">
        <v>42471</v>
      </c>
      <c r="C69" s="1">
        <v>114</v>
      </c>
      <c r="D69" s="1"/>
      <c r="E69" s="1" t="s">
        <v>52</v>
      </c>
      <c r="F69" s="1" t="s">
        <v>94</v>
      </c>
      <c r="G69" s="25">
        <v>42430</v>
      </c>
      <c r="H69" s="25"/>
      <c r="I69" s="25">
        <v>42430</v>
      </c>
      <c r="J69" s="1" t="s">
        <v>76</v>
      </c>
      <c r="K69" s="1"/>
      <c r="L69" s="1"/>
      <c r="M69" s="1"/>
      <c r="N69" s="7">
        <f>+I69+15-1</f>
        <v>42444</v>
      </c>
      <c r="O69" s="1">
        <v>63965</v>
      </c>
      <c r="P69" s="26">
        <v>63965</v>
      </c>
      <c r="Q69" s="171">
        <v>42474</v>
      </c>
      <c r="R69" s="28">
        <v>42478</v>
      </c>
      <c r="S69" s="187">
        <f>R69-N69</f>
        <v>34</v>
      </c>
      <c r="T69" s="15">
        <v>63965</v>
      </c>
    </row>
    <row r="70" spans="1:20" s="3" customFormat="1" hidden="1" x14ac:dyDescent="0.25">
      <c r="A70" s="84">
        <f>+closed!A22+1</f>
        <v>193</v>
      </c>
      <c r="B70" s="24">
        <v>42457</v>
      </c>
      <c r="C70" s="1">
        <v>103</v>
      </c>
      <c r="D70" s="1">
        <v>3000029059</v>
      </c>
      <c r="E70" s="8" t="s">
        <v>97</v>
      </c>
      <c r="F70" s="18">
        <v>9500774854</v>
      </c>
      <c r="G70" s="25">
        <v>42447</v>
      </c>
      <c r="H70" s="25"/>
      <c r="I70" s="25">
        <v>42447</v>
      </c>
      <c r="J70" s="1" t="s">
        <v>16</v>
      </c>
      <c r="K70" s="1">
        <v>18.809999999999999</v>
      </c>
      <c r="L70" s="1">
        <v>18.809999999999999</v>
      </c>
      <c r="M70" s="1">
        <f t="shared" ref="M70:M101" si="8">IF(L70&gt;K70,K70,L70)</f>
        <v>18.809999999999999</v>
      </c>
      <c r="N70" s="7"/>
      <c r="O70" s="1">
        <v>899883</v>
      </c>
      <c r="P70" s="26">
        <f t="shared" ref="P70:P104" si="9">(+O70/K70*M70)</f>
        <v>899883</v>
      </c>
      <c r="Q70" s="171">
        <v>42478</v>
      </c>
      <c r="R70" s="28">
        <v>42478</v>
      </c>
      <c r="S70" s="187"/>
    </row>
    <row r="71" spans="1:20" s="3" customFormat="1" hidden="1" x14ac:dyDescent="0.25">
      <c r="A71" s="84">
        <f>+closed!A70+1</f>
        <v>194</v>
      </c>
      <c r="B71" s="24">
        <v>42457</v>
      </c>
      <c r="C71" s="1">
        <v>103</v>
      </c>
      <c r="D71" s="1">
        <v>3000029059</v>
      </c>
      <c r="E71" s="8" t="s">
        <v>97</v>
      </c>
      <c r="F71" s="18">
        <v>9500774857</v>
      </c>
      <c r="G71" s="25">
        <v>42447</v>
      </c>
      <c r="H71" s="25"/>
      <c r="I71" s="25">
        <v>42447</v>
      </c>
      <c r="J71" s="1" t="s">
        <v>16</v>
      </c>
      <c r="K71" s="1">
        <v>19.86</v>
      </c>
      <c r="L71" s="1">
        <v>19.86</v>
      </c>
      <c r="M71" s="1">
        <f t="shared" si="8"/>
        <v>19.86</v>
      </c>
      <c r="N71" s="7"/>
      <c r="O71" s="1">
        <v>950115</v>
      </c>
      <c r="P71" s="26">
        <f t="shared" si="9"/>
        <v>950115</v>
      </c>
      <c r="Q71" s="171">
        <v>42478</v>
      </c>
      <c r="R71" s="28">
        <v>42478</v>
      </c>
      <c r="S71" s="187"/>
    </row>
    <row r="72" spans="1:20" s="3" customFormat="1" hidden="1" x14ac:dyDescent="0.25">
      <c r="A72" s="84">
        <f>+closed!A71+1</f>
        <v>195</v>
      </c>
      <c r="B72" s="24">
        <v>42457</v>
      </c>
      <c r="C72" s="1">
        <v>103</v>
      </c>
      <c r="D72" s="1">
        <v>3000029059</v>
      </c>
      <c r="E72" s="8" t="s">
        <v>97</v>
      </c>
      <c r="F72" s="18">
        <v>9500774858</v>
      </c>
      <c r="G72" s="25">
        <v>42447</v>
      </c>
      <c r="H72" s="25"/>
      <c r="I72" s="25">
        <v>42447</v>
      </c>
      <c r="J72" s="1" t="s">
        <v>16</v>
      </c>
      <c r="K72" s="1">
        <v>19.510000000000002</v>
      </c>
      <c r="L72" s="1">
        <v>19.510000000000002</v>
      </c>
      <c r="M72" s="1">
        <f t="shared" si="8"/>
        <v>19.510000000000002</v>
      </c>
      <c r="N72" s="7"/>
      <c r="O72" s="1">
        <v>933370</v>
      </c>
      <c r="P72" s="26">
        <f t="shared" si="9"/>
        <v>933370</v>
      </c>
      <c r="Q72" s="171">
        <v>42478</v>
      </c>
      <c r="R72" s="28">
        <v>42478</v>
      </c>
      <c r="S72" s="187"/>
    </row>
    <row r="73" spans="1:20" s="3" customFormat="1" hidden="1" x14ac:dyDescent="0.25">
      <c r="A73" s="84">
        <f>+closed!A72+1</f>
        <v>196</v>
      </c>
      <c r="B73" s="24">
        <v>42457</v>
      </c>
      <c r="C73" s="1">
        <v>103</v>
      </c>
      <c r="D73" s="1">
        <v>3000029059</v>
      </c>
      <c r="E73" s="8" t="s">
        <v>97</v>
      </c>
      <c r="F73" s="18">
        <v>9500774751</v>
      </c>
      <c r="G73" s="25">
        <v>42445</v>
      </c>
      <c r="H73" s="25"/>
      <c r="I73" s="25">
        <v>42445</v>
      </c>
      <c r="J73" s="1" t="s">
        <v>16</v>
      </c>
      <c r="K73" s="1">
        <v>20.6</v>
      </c>
      <c r="L73" s="1">
        <v>20.6</v>
      </c>
      <c r="M73" s="1">
        <f t="shared" si="8"/>
        <v>20.6</v>
      </c>
      <c r="N73" s="7"/>
      <c r="O73" s="1">
        <v>985517</v>
      </c>
      <c r="P73" s="26">
        <f t="shared" si="9"/>
        <v>985517</v>
      </c>
      <c r="Q73" s="171">
        <v>42478</v>
      </c>
      <c r="R73" s="28">
        <v>42478</v>
      </c>
      <c r="S73" s="187"/>
    </row>
    <row r="74" spans="1:20" s="3" customFormat="1" hidden="1" x14ac:dyDescent="0.25">
      <c r="A74" s="84">
        <f>+closed!A73+1</f>
        <v>197</v>
      </c>
      <c r="B74" s="24">
        <v>42457</v>
      </c>
      <c r="C74" s="1">
        <v>103</v>
      </c>
      <c r="D74" s="1">
        <v>3000029059</v>
      </c>
      <c r="E74" s="8" t="s">
        <v>97</v>
      </c>
      <c r="F74" s="18">
        <v>9500774783</v>
      </c>
      <c r="G74" s="25">
        <v>42446</v>
      </c>
      <c r="H74" s="25"/>
      <c r="I74" s="25">
        <v>42446</v>
      </c>
      <c r="J74" s="1" t="s">
        <v>16</v>
      </c>
      <c r="K74" s="1">
        <v>19.670000000000002</v>
      </c>
      <c r="L74" s="1">
        <v>19.670000000000002</v>
      </c>
      <c r="M74" s="1">
        <f t="shared" si="8"/>
        <v>19.670000000000002</v>
      </c>
      <c r="N74" s="7"/>
      <c r="O74" s="1">
        <v>941025</v>
      </c>
      <c r="P74" s="26">
        <f t="shared" si="9"/>
        <v>941025</v>
      </c>
      <c r="Q74" s="171">
        <v>42478</v>
      </c>
      <c r="R74" s="28">
        <v>42478</v>
      </c>
      <c r="S74" s="187"/>
    </row>
    <row r="75" spans="1:20" s="3" customFormat="1" hidden="1" x14ac:dyDescent="0.25">
      <c r="A75" s="84">
        <f>+closed!A74+1</f>
        <v>198</v>
      </c>
      <c r="B75" s="24">
        <v>42457</v>
      </c>
      <c r="C75" s="1">
        <v>103</v>
      </c>
      <c r="D75" s="1">
        <v>3000029059</v>
      </c>
      <c r="E75" s="8" t="s">
        <v>97</v>
      </c>
      <c r="F75" s="18">
        <v>9500774776</v>
      </c>
      <c r="G75" s="25">
        <v>42446</v>
      </c>
      <c r="H75" s="25"/>
      <c r="I75" s="25">
        <v>42446</v>
      </c>
      <c r="J75" s="1" t="s">
        <v>16</v>
      </c>
      <c r="K75" s="1">
        <v>22.53</v>
      </c>
      <c r="L75" s="1">
        <v>22.53</v>
      </c>
      <c r="M75" s="1">
        <f t="shared" si="8"/>
        <v>22.53</v>
      </c>
      <c r="N75" s="7"/>
      <c r="O75" s="1">
        <v>1077849</v>
      </c>
      <c r="P75" s="26">
        <f t="shared" si="9"/>
        <v>1077849</v>
      </c>
      <c r="Q75" s="171">
        <v>42478</v>
      </c>
      <c r="R75" s="28">
        <v>42478</v>
      </c>
      <c r="S75" s="187"/>
    </row>
    <row r="76" spans="1:20" s="3" customFormat="1" hidden="1" x14ac:dyDescent="0.25">
      <c r="A76" s="84">
        <f>+closed!A75+1</f>
        <v>199</v>
      </c>
      <c r="B76" s="24">
        <v>42457</v>
      </c>
      <c r="C76" s="1">
        <v>103</v>
      </c>
      <c r="D76" s="1">
        <v>3000029059</v>
      </c>
      <c r="E76" s="8" t="s">
        <v>97</v>
      </c>
      <c r="F76" s="18">
        <v>9500774775</v>
      </c>
      <c r="G76" s="25">
        <v>42446</v>
      </c>
      <c r="H76" s="25"/>
      <c r="I76" s="25">
        <v>42446</v>
      </c>
      <c r="J76" s="1" t="s">
        <v>16</v>
      </c>
      <c r="K76" s="1">
        <v>24.61</v>
      </c>
      <c r="L76" s="1">
        <v>24.61</v>
      </c>
      <c r="M76" s="1">
        <f t="shared" si="8"/>
        <v>24.61</v>
      </c>
      <c r="N76" s="7"/>
      <c r="O76" s="1">
        <v>1177358</v>
      </c>
      <c r="P76" s="26">
        <f t="shared" si="9"/>
        <v>1177358</v>
      </c>
      <c r="Q76" s="171">
        <v>42478</v>
      </c>
      <c r="R76" s="28">
        <v>42478</v>
      </c>
      <c r="S76" s="187"/>
    </row>
    <row r="77" spans="1:20" s="3" customFormat="1" hidden="1" x14ac:dyDescent="0.25">
      <c r="A77" s="84">
        <f>+closed!A76+1</f>
        <v>200</v>
      </c>
      <c r="B77" s="24">
        <v>42457</v>
      </c>
      <c r="C77" s="1">
        <v>103</v>
      </c>
      <c r="D77" s="1">
        <v>3000029059</v>
      </c>
      <c r="E77" s="8" t="s">
        <v>97</v>
      </c>
      <c r="F77" s="18">
        <v>9500774780</v>
      </c>
      <c r="G77" s="25">
        <v>42446</v>
      </c>
      <c r="H77" s="25"/>
      <c r="I77" s="25">
        <v>42446</v>
      </c>
      <c r="J77" s="1" t="s">
        <v>16</v>
      </c>
      <c r="K77" s="1">
        <v>21.06</v>
      </c>
      <c r="L77" s="1">
        <v>21.46</v>
      </c>
      <c r="M77" s="1">
        <f t="shared" si="8"/>
        <v>21.06</v>
      </c>
      <c r="N77" s="7"/>
      <c r="O77" s="1">
        <v>1007523</v>
      </c>
      <c r="P77" s="26">
        <f t="shared" si="9"/>
        <v>1007523.0000000001</v>
      </c>
      <c r="Q77" s="171">
        <v>42478</v>
      </c>
      <c r="R77" s="28">
        <v>42478</v>
      </c>
      <c r="S77" s="187"/>
    </row>
    <row r="78" spans="1:20" s="3" customFormat="1" hidden="1" x14ac:dyDescent="0.25">
      <c r="A78" s="84">
        <f>+closed!A77+1</f>
        <v>201</v>
      </c>
      <c r="B78" s="24">
        <v>42457</v>
      </c>
      <c r="C78" s="1">
        <v>103</v>
      </c>
      <c r="D78" s="1">
        <v>3000029059</v>
      </c>
      <c r="E78" s="8" t="s">
        <v>97</v>
      </c>
      <c r="F78" s="18">
        <v>9500774797</v>
      </c>
      <c r="G78" s="25">
        <v>42446</v>
      </c>
      <c r="H78" s="25"/>
      <c r="I78" s="25">
        <v>42446</v>
      </c>
      <c r="J78" s="1" t="s">
        <v>16</v>
      </c>
      <c r="K78" s="1">
        <v>20.170000000000002</v>
      </c>
      <c r="L78" s="1">
        <v>20.170000000000002</v>
      </c>
      <c r="M78" s="1">
        <f t="shared" si="8"/>
        <v>20.170000000000002</v>
      </c>
      <c r="N78" s="7"/>
      <c r="O78" s="1">
        <v>964946</v>
      </c>
      <c r="P78" s="26">
        <f t="shared" si="9"/>
        <v>964946</v>
      </c>
      <c r="Q78" s="171">
        <v>42478</v>
      </c>
      <c r="R78" s="28">
        <v>42478</v>
      </c>
      <c r="S78" s="187"/>
    </row>
    <row r="79" spans="1:20" s="3" customFormat="1" hidden="1" x14ac:dyDescent="0.25">
      <c r="A79" s="84">
        <f>+closed!A78+1</f>
        <v>202</v>
      </c>
      <c r="B79" s="24">
        <v>42457</v>
      </c>
      <c r="C79" s="1">
        <v>103</v>
      </c>
      <c r="D79" s="1">
        <v>3000029059</v>
      </c>
      <c r="E79" s="8" t="s">
        <v>97</v>
      </c>
      <c r="F79" s="18">
        <v>9500774796</v>
      </c>
      <c r="G79" s="25">
        <v>42446</v>
      </c>
      <c r="H79" s="25"/>
      <c r="I79" s="25">
        <v>42446</v>
      </c>
      <c r="J79" s="1" t="s">
        <v>16</v>
      </c>
      <c r="K79" s="1">
        <v>19.600000000000001</v>
      </c>
      <c r="L79" s="1">
        <v>19.600000000000001</v>
      </c>
      <c r="M79" s="1">
        <f t="shared" si="8"/>
        <v>19.600000000000001</v>
      </c>
      <c r="N79" s="7"/>
      <c r="O79" s="1">
        <v>937676</v>
      </c>
      <c r="P79" s="26">
        <f t="shared" si="9"/>
        <v>937676</v>
      </c>
      <c r="Q79" s="171">
        <v>42478</v>
      </c>
      <c r="R79" s="28">
        <v>42478</v>
      </c>
      <c r="S79" s="187"/>
    </row>
    <row r="80" spans="1:20" s="3" customFormat="1" hidden="1" x14ac:dyDescent="0.25">
      <c r="A80" s="84">
        <f>+closed!A79+1</f>
        <v>203</v>
      </c>
      <c r="B80" s="24">
        <v>42457</v>
      </c>
      <c r="C80" s="1">
        <v>103</v>
      </c>
      <c r="D80" s="1">
        <v>3000029059</v>
      </c>
      <c r="E80" s="8" t="s">
        <v>97</v>
      </c>
      <c r="F80" s="18">
        <v>9500774829</v>
      </c>
      <c r="G80" s="25">
        <v>42447</v>
      </c>
      <c r="H80" s="25"/>
      <c r="I80" s="25">
        <v>42447</v>
      </c>
      <c r="J80" s="1" t="s">
        <v>16</v>
      </c>
      <c r="K80" s="1">
        <v>21.31</v>
      </c>
      <c r="L80" s="1">
        <v>21.31</v>
      </c>
      <c r="M80" s="1">
        <f t="shared" si="8"/>
        <v>21.31</v>
      </c>
      <c r="N80" s="7"/>
      <c r="O80" s="1">
        <v>1019484</v>
      </c>
      <c r="P80" s="26">
        <f t="shared" si="9"/>
        <v>1019484</v>
      </c>
      <c r="Q80" s="171">
        <v>42478</v>
      </c>
      <c r="R80" s="28">
        <v>42478</v>
      </c>
      <c r="S80" s="187"/>
    </row>
    <row r="81" spans="1:20" s="3" customFormat="1" hidden="1" x14ac:dyDescent="0.25">
      <c r="A81" s="84">
        <f>+closed!A80+1</f>
        <v>204</v>
      </c>
      <c r="B81" s="24">
        <v>42457</v>
      </c>
      <c r="C81" s="1">
        <v>103</v>
      </c>
      <c r="D81" s="1">
        <v>3000029059</v>
      </c>
      <c r="E81" s="8" t="s">
        <v>97</v>
      </c>
      <c r="F81" s="18">
        <v>9500774830</v>
      </c>
      <c r="G81" s="25">
        <v>42447</v>
      </c>
      <c r="H81" s="25"/>
      <c r="I81" s="25">
        <v>42447</v>
      </c>
      <c r="J81" s="1" t="s">
        <v>16</v>
      </c>
      <c r="K81" s="1">
        <v>24.19</v>
      </c>
      <c r="L81" s="1">
        <v>24.19</v>
      </c>
      <c r="M81" s="1">
        <f t="shared" si="8"/>
        <v>24.19</v>
      </c>
      <c r="N81" s="7"/>
      <c r="O81" s="1">
        <v>1157265</v>
      </c>
      <c r="P81" s="26">
        <f t="shared" si="9"/>
        <v>1157265</v>
      </c>
      <c r="Q81" s="171">
        <v>42478</v>
      </c>
      <c r="R81" s="28">
        <v>42478</v>
      </c>
      <c r="S81" s="187"/>
    </row>
    <row r="82" spans="1:20" s="3" customFormat="1" hidden="1" x14ac:dyDescent="0.25">
      <c r="A82" s="84">
        <f>+closed!A81+1</f>
        <v>205</v>
      </c>
      <c r="B82" s="24">
        <v>42457</v>
      </c>
      <c r="C82" s="1">
        <v>103</v>
      </c>
      <c r="D82" s="1">
        <v>3000029059</v>
      </c>
      <c r="E82" s="8" t="s">
        <v>97</v>
      </c>
      <c r="F82" s="18">
        <v>9500774731</v>
      </c>
      <c r="G82" s="25">
        <v>42445</v>
      </c>
      <c r="H82" s="25"/>
      <c r="I82" s="25">
        <v>42445</v>
      </c>
      <c r="J82" s="1" t="s">
        <v>16</v>
      </c>
      <c r="K82" s="1">
        <v>20.57</v>
      </c>
      <c r="L82" s="1">
        <v>20.57</v>
      </c>
      <c r="M82" s="1">
        <f t="shared" si="8"/>
        <v>20.57</v>
      </c>
      <c r="N82" s="7"/>
      <c r="O82" s="1">
        <v>984082</v>
      </c>
      <c r="P82" s="26">
        <f t="shared" si="9"/>
        <v>984082</v>
      </c>
      <c r="Q82" s="171">
        <v>42478</v>
      </c>
      <c r="R82" s="28">
        <v>42478</v>
      </c>
      <c r="S82" s="187"/>
    </row>
    <row r="83" spans="1:20" s="3" customFormat="1" hidden="1" x14ac:dyDescent="0.25">
      <c r="A83" s="84">
        <f>+closed!A82+1</f>
        <v>206</v>
      </c>
      <c r="B83" s="24">
        <v>42457</v>
      </c>
      <c r="C83" s="1">
        <v>103</v>
      </c>
      <c r="D83" s="1">
        <v>3000029059</v>
      </c>
      <c r="E83" s="8" t="s">
        <v>97</v>
      </c>
      <c r="F83" s="18">
        <v>9500774739</v>
      </c>
      <c r="G83" s="25">
        <v>42445</v>
      </c>
      <c r="H83" s="25"/>
      <c r="I83" s="25">
        <v>42445</v>
      </c>
      <c r="J83" s="1" t="s">
        <v>16</v>
      </c>
      <c r="K83" s="1">
        <v>19.46</v>
      </c>
      <c r="L83" s="1">
        <v>19.46</v>
      </c>
      <c r="M83" s="1">
        <f t="shared" si="8"/>
        <v>19.46</v>
      </c>
      <c r="N83" s="7"/>
      <c r="O83" s="1">
        <v>930978</v>
      </c>
      <c r="P83" s="26">
        <f t="shared" si="9"/>
        <v>930978</v>
      </c>
      <c r="Q83" s="171">
        <v>42478</v>
      </c>
      <c r="R83" s="28">
        <v>42478</v>
      </c>
      <c r="S83" s="187"/>
    </row>
    <row r="84" spans="1:20" s="3" customFormat="1" hidden="1" x14ac:dyDescent="0.25">
      <c r="A84" s="84">
        <f>+closed!A83+1</f>
        <v>207</v>
      </c>
      <c r="B84" s="24">
        <v>42457</v>
      </c>
      <c r="C84" s="1">
        <v>103</v>
      </c>
      <c r="D84" s="1">
        <v>3000029059</v>
      </c>
      <c r="E84" s="8" t="s">
        <v>97</v>
      </c>
      <c r="F84" s="18">
        <v>9500774644</v>
      </c>
      <c r="G84" s="25">
        <v>42444</v>
      </c>
      <c r="H84" s="25"/>
      <c r="I84" s="25">
        <v>42444</v>
      </c>
      <c r="J84" s="1" t="s">
        <v>16</v>
      </c>
      <c r="K84" s="1">
        <v>22.7</v>
      </c>
      <c r="L84" s="1">
        <v>22.7</v>
      </c>
      <c r="M84" s="1">
        <f t="shared" si="8"/>
        <v>22.7</v>
      </c>
      <c r="N84" s="7"/>
      <c r="O84" s="1">
        <v>1085982</v>
      </c>
      <c r="P84" s="26">
        <f t="shared" si="9"/>
        <v>1085982</v>
      </c>
      <c r="Q84" s="171">
        <v>42478</v>
      </c>
      <c r="R84" s="28">
        <v>42478</v>
      </c>
      <c r="S84" s="187"/>
    </row>
    <row r="85" spans="1:20" s="3" customFormat="1" hidden="1" x14ac:dyDescent="0.25">
      <c r="A85" s="84">
        <f>+closed!A84+1</f>
        <v>208</v>
      </c>
      <c r="B85" s="24">
        <v>42457</v>
      </c>
      <c r="C85" s="1">
        <v>103</v>
      </c>
      <c r="D85" s="1">
        <v>3000029059</v>
      </c>
      <c r="E85" s="8" t="s">
        <v>97</v>
      </c>
      <c r="F85" s="18">
        <v>9500774647</v>
      </c>
      <c r="G85" s="25">
        <v>42444</v>
      </c>
      <c r="H85" s="25"/>
      <c r="I85" s="25">
        <v>42444</v>
      </c>
      <c r="J85" s="1" t="s">
        <v>16</v>
      </c>
      <c r="K85" s="1">
        <v>24.75</v>
      </c>
      <c r="L85" s="1">
        <v>24.75</v>
      </c>
      <c r="M85" s="1">
        <f t="shared" si="8"/>
        <v>24.75</v>
      </c>
      <c r="N85" s="7"/>
      <c r="O85" s="1">
        <v>1184056</v>
      </c>
      <c r="P85" s="26">
        <f t="shared" si="9"/>
        <v>1184056</v>
      </c>
      <c r="Q85" s="171">
        <v>42478</v>
      </c>
      <c r="R85" s="28">
        <v>42478</v>
      </c>
      <c r="S85" s="187"/>
    </row>
    <row r="86" spans="1:20" s="3" customFormat="1" hidden="1" x14ac:dyDescent="0.25">
      <c r="A86" s="84">
        <f>+closed!A85+1</f>
        <v>209</v>
      </c>
      <c r="B86" s="24">
        <v>42457</v>
      </c>
      <c r="C86" s="1">
        <v>103</v>
      </c>
      <c r="D86" s="1">
        <v>3000029059</v>
      </c>
      <c r="E86" s="8" t="s">
        <v>97</v>
      </c>
      <c r="F86" s="18">
        <v>9500774682</v>
      </c>
      <c r="G86" s="25">
        <v>42444</v>
      </c>
      <c r="H86" s="25"/>
      <c r="I86" s="25">
        <v>42444</v>
      </c>
      <c r="J86" s="1" t="s">
        <v>16</v>
      </c>
      <c r="K86" s="1">
        <v>19.940000000000001</v>
      </c>
      <c r="L86" s="1">
        <v>19.940000000000001</v>
      </c>
      <c r="M86" s="1">
        <f t="shared" si="8"/>
        <v>19.940000000000001</v>
      </c>
      <c r="N86" s="7"/>
      <c r="O86" s="1">
        <v>953942</v>
      </c>
      <c r="P86" s="26">
        <f t="shared" si="9"/>
        <v>953942</v>
      </c>
      <c r="Q86" s="171">
        <v>42478</v>
      </c>
      <c r="R86" s="28">
        <v>42478</v>
      </c>
      <c r="S86" s="187"/>
    </row>
    <row r="87" spans="1:20" s="3" customFormat="1" hidden="1" x14ac:dyDescent="0.25">
      <c r="A87" s="84">
        <f>+closed!A86+1</f>
        <v>210</v>
      </c>
      <c r="B87" s="24">
        <v>42457</v>
      </c>
      <c r="C87" s="1">
        <v>103</v>
      </c>
      <c r="D87" s="1">
        <v>3000029059</v>
      </c>
      <c r="E87" s="8" t="s">
        <v>97</v>
      </c>
      <c r="F87" s="18">
        <v>9500774681</v>
      </c>
      <c r="G87" s="25">
        <v>42444</v>
      </c>
      <c r="H87" s="25"/>
      <c r="I87" s="25">
        <v>42444</v>
      </c>
      <c r="J87" s="1" t="s">
        <v>16</v>
      </c>
      <c r="K87" s="1">
        <v>19.96</v>
      </c>
      <c r="L87" s="1">
        <v>19.96</v>
      </c>
      <c r="M87" s="1">
        <f t="shared" si="8"/>
        <v>19.96</v>
      </c>
      <c r="N87" s="7"/>
      <c r="O87" s="1">
        <v>954899</v>
      </c>
      <c r="P87" s="26">
        <f t="shared" si="9"/>
        <v>954899</v>
      </c>
      <c r="Q87" s="171">
        <v>42478</v>
      </c>
      <c r="R87" s="28">
        <v>42478</v>
      </c>
      <c r="S87" s="187"/>
    </row>
    <row r="88" spans="1:20" s="3" customFormat="1" hidden="1" x14ac:dyDescent="0.25">
      <c r="A88" s="84">
        <f>+closed!A87+1</f>
        <v>211</v>
      </c>
      <c r="B88" s="24">
        <v>42457</v>
      </c>
      <c r="C88" s="1">
        <v>103</v>
      </c>
      <c r="D88" s="1">
        <v>3000029059</v>
      </c>
      <c r="E88" s="8" t="s">
        <v>97</v>
      </c>
      <c r="F88" s="18">
        <v>9500774674</v>
      </c>
      <c r="G88" s="25">
        <v>42444</v>
      </c>
      <c r="H88" s="25"/>
      <c r="I88" s="25">
        <v>42444</v>
      </c>
      <c r="J88" s="1" t="s">
        <v>16</v>
      </c>
      <c r="K88" s="1">
        <v>20.149999999999999</v>
      </c>
      <c r="L88" s="1">
        <v>20.149999999999999</v>
      </c>
      <c r="M88" s="1">
        <f t="shared" si="8"/>
        <v>20.149999999999999</v>
      </c>
      <c r="N88" s="7"/>
      <c r="O88" s="1">
        <v>963988</v>
      </c>
      <c r="P88" s="26">
        <f t="shared" si="9"/>
        <v>963987.99999999988</v>
      </c>
      <c r="Q88" s="171">
        <v>42478</v>
      </c>
      <c r="R88" s="28">
        <v>42478</v>
      </c>
      <c r="S88" s="187"/>
      <c r="T88" s="15">
        <v>19109938</v>
      </c>
    </row>
    <row r="89" spans="1:20" s="3" customFormat="1" hidden="1" x14ac:dyDescent="0.25">
      <c r="A89" s="84">
        <f>+closed!A98+1</f>
        <v>195</v>
      </c>
      <c r="B89" s="24">
        <v>42461</v>
      </c>
      <c r="C89" s="1">
        <v>114</v>
      </c>
      <c r="D89" s="1">
        <v>3000029429</v>
      </c>
      <c r="E89" s="1" t="s">
        <v>71</v>
      </c>
      <c r="F89" s="1">
        <v>556</v>
      </c>
      <c r="G89" s="25">
        <v>42447</v>
      </c>
      <c r="H89" s="25"/>
      <c r="I89" s="25">
        <v>42455</v>
      </c>
      <c r="J89" s="1" t="s">
        <v>61</v>
      </c>
      <c r="K89" s="1">
        <v>19.53</v>
      </c>
      <c r="L89" s="1">
        <v>19.53</v>
      </c>
      <c r="M89" s="1">
        <f t="shared" si="8"/>
        <v>19.53</v>
      </c>
      <c r="N89" s="7">
        <f t="shared" ref="N89:N118" si="10">+I89+15-1</f>
        <v>42469</v>
      </c>
      <c r="O89" s="1">
        <v>1611225</v>
      </c>
      <c r="P89" s="26">
        <f t="shared" si="9"/>
        <v>1611225</v>
      </c>
      <c r="Q89" s="171">
        <v>42478</v>
      </c>
      <c r="R89" s="28">
        <v>42479</v>
      </c>
      <c r="S89" s="187">
        <f t="shared" ref="S89:S118" si="11">R89-N89</f>
        <v>10</v>
      </c>
    </row>
    <row r="90" spans="1:20" s="3" customFormat="1" hidden="1" x14ac:dyDescent="0.25">
      <c r="A90" s="84">
        <f>+closed!A96+1</f>
        <v>255</v>
      </c>
      <c r="B90" s="24">
        <v>42471</v>
      </c>
      <c r="C90" s="1">
        <v>103</v>
      </c>
      <c r="D90" s="1">
        <v>3000029482</v>
      </c>
      <c r="E90" s="1" t="s">
        <v>78</v>
      </c>
      <c r="F90" s="1">
        <v>11091</v>
      </c>
      <c r="G90" s="25">
        <v>42458</v>
      </c>
      <c r="H90" s="25"/>
      <c r="I90" s="25">
        <v>42458</v>
      </c>
      <c r="J90" s="1" t="s">
        <v>61</v>
      </c>
      <c r="K90" s="1">
        <v>19.89</v>
      </c>
      <c r="L90" s="1">
        <v>19.829999999999998</v>
      </c>
      <c r="M90" s="1">
        <f t="shared" si="8"/>
        <v>19.829999999999998</v>
      </c>
      <c r="N90" s="7">
        <f t="shared" si="10"/>
        <v>42472</v>
      </c>
      <c r="O90" s="1">
        <v>1581255</v>
      </c>
      <c r="P90" s="26">
        <f t="shared" si="9"/>
        <v>1576484.9999999998</v>
      </c>
      <c r="Q90" s="171">
        <v>42478</v>
      </c>
      <c r="R90" s="28">
        <v>42480</v>
      </c>
      <c r="S90" s="187">
        <f t="shared" si="11"/>
        <v>8</v>
      </c>
    </row>
    <row r="91" spans="1:20" s="3" customFormat="1" hidden="1" x14ac:dyDescent="0.25">
      <c r="A91" s="84">
        <f>+closed!A90+1</f>
        <v>256</v>
      </c>
      <c r="B91" s="24">
        <v>42471</v>
      </c>
      <c r="C91" s="1">
        <v>103</v>
      </c>
      <c r="D91" s="1">
        <v>3000029482</v>
      </c>
      <c r="E91" s="1" t="s">
        <v>78</v>
      </c>
      <c r="F91" s="1">
        <v>11094</v>
      </c>
      <c r="G91" s="25">
        <v>42458</v>
      </c>
      <c r="H91" s="25"/>
      <c r="I91" s="25">
        <v>42458</v>
      </c>
      <c r="J91" s="1" t="s">
        <v>61</v>
      </c>
      <c r="K91" s="1">
        <v>19.38</v>
      </c>
      <c r="L91" s="1">
        <v>19.350000000000001</v>
      </c>
      <c r="M91" s="1">
        <f t="shared" si="8"/>
        <v>19.350000000000001</v>
      </c>
      <c r="N91" s="7">
        <f t="shared" si="10"/>
        <v>42472</v>
      </c>
      <c r="O91" s="1">
        <v>1540710</v>
      </c>
      <c r="P91" s="26">
        <f t="shared" si="9"/>
        <v>1538325</v>
      </c>
      <c r="Q91" s="171"/>
      <c r="R91" s="28">
        <v>42472</v>
      </c>
      <c r="S91" s="187">
        <f t="shared" si="11"/>
        <v>0</v>
      </c>
    </row>
    <row r="92" spans="1:20" s="3" customFormat="1" hidden="1" x14ac:dyDescent="0.25">
      <c r="A92" s="84">
        <f>+closed!A91+1</f>
        <v>257</v>
      </c>
      <c r="B92" s="24">
        <v>42471</v>
      </c>
      <c r="C92" s="1">
        <v>103</v>
      </c>
      <c r="D92" s="1">
        <v>3000029482</v>
      </c>
      <c r="E92" s="1" t="s">
        <v>78</v>
      </c>
      <c r="F92" s="1">
        <v>11122</v>
      </c>
      <c r="G92" s="25">
        <v>42459</v>
      </c>
      <c r="H92" s="25"/>
      <c r="I92" s="25">
        <v>42459</v>
      </c>
      <c r="J92" s="1" t="s">
        <v>61</v>
      </c>
      <c r="K92" s="1">
        <v>16.635000000000002</v>
      </c>
      <c r="L92" s="1">
        <v>16.57</v>
      </c>
      <c r="M92" s="1">
        <f t="shared" si="8"/>
        <v>16.57</v>
      </c>
      <c r="N92" s="7">
        <f t="shared" si="10"/>
        <v>42473</v>
      </c>
      <c r="O92" s="1">
        <v>1322483</v>
      </c>
      <c r="P92" s="26">
        <f t="shared" si="9"/>
        <v>1317315.4980462878</v>
      </c>
      <c r="Q92" s="171">
        <v>42478</v>
      </c>
      <c r="R92" s="28">
        <v>42480</v>
      </c>
      <c r="S92" s="187">
        <f t="shared" si="11"/>
        <v>7</v>
      </c>
    </row>
    <row r="93" spans="1:20" s="3" customFormat="1" hidden="1" x14ac:dyDescent="0.25">
      <c r="A93" s="84">
        <f>+closed!A92+1</f>
        <v>258</v>
      </c>
      <c r="B93" s="24">
        <v>42471</v>
      </c>
      <c r="C93" s="1">
        <v>103</v>
      </c>
      <c r="D93" s="1">
        <v>3000029482</v>
      </c>
      <c r="E93" s="1" t="s">
        <v>78</v>
      </c>
      <c r="F93" s="1">
        <v>11151</v>
      </c>
      <c r="G93" s="25">
        <v>42460</v>
      </c>
      <c r="H93" s="25"/>
      <c r="I93" s="25">
        <v>42460</v>
      </c>
      <c r="J93" s="1" t="s">
        <v>61</v>
      </c>
      <c r="K93" s="1">
        <v>16.7</v>
      </c>
      <c r="L93" s="1">
        <v>16.66</v>
      </c>
      <c r="M93" s="1">
        <f t="shared" si="8"/>
        <v>16.66</v>
      </c>
      <c r="N93" s="7">
        <f t="shared" si="10"/>
        <v>42474</v>
      </c>
      <c r="O93" s="1">
        <v>1327650</v>
      </c>
      <c r="P93" s="26">
        <f t="shared" si="9"/>
        <v>1324470</v>
      </c>
      <c r="Q93" s="171"/>
      <c r="R93" s="28">
        <v>42472</v>
      </c>
      <c r="S93" s="187">
        <f t="shared" si="11"/>
        <v>-2</v>
      </c>
    </row>
    <row r="94" spans="1:20" s="3" customFormat="1" hidden="1" x14ac:dyDescent="0.25">
      <c r="A94" s="84">
        <f>+closed!A21+1</f>
        <v>192</v>
      </c>
      <c r="B94" s="24">
        <v>42461</v>
      </c>
      <c r="C94" s="1">
        <v>114</v>
      </c>
      <c r="D94" s="1">
        <v>3000028981</v>
      </c>
      <c r="E94" s="1" t="s">
        <v>60</v>
      </c>
      <c r="F94" s="1">
        <v>296</v>
      </c>
      <c r="G94" s="25">
        <v>42447</v>
      </c>
      <c r="H94" s="25"/>
      <c r="I94" s="25">
        <v>42459</v>
      </c>
      <c r="J94" s="1" t="s">
        <v>61</v>
      </c>
      <c r="K94" s="1">
        <v>13.29</v>
      </c>
      <c r="L94" s="1">
        <v>13.29</v>
      </c>
      <c r="M94" s="1">
        <f t="shared" si="8"/>
        <v>13.29</v>
      </c>
      <c r="N94" s="7">
        <f t="shared" si="10"/>
        <v>42473</v>
      </c>
      <c r="O94" s="1">
        <v>1089893</v>
      </c>
      <c r="P94" s="26">
        <f t="shared" si="9"/>
        <v>1089893</v>
      </c>
      <c r="Q94" s="171">
        <v>42478</v>
      </c>
      <c r="R94" s="28">
        <v>42479</v>
      </c>
      <c r="S94" s="187">
        <f t="shared" si="11"/>
        <v>6</v>
      </c>
    </row>
    <row r="95" spans="1:20" s="3" customFormat="1" hidden="1" x14ac:dyDescent="0.25">
      <c r="A95" s="84">
        <f>+closed!A69+1</f>
        <v>253</v>
      </c>
      <c r="B95" s="24">
        <v>42471</v>
      </c>
      <c r="C95" s="1">
        <v>103</v>
      </c>
      <c r="D95" s="1">
        <v>3000029421</v>
      </c>
      <c r="E95" s="1" t="s">
        <v>77</v>
      </c>
      <c r="F95" s="1">
        <v>220</v>
      </c>
      <c r="G95" s="25">
        <v>42459</v>
      </c>
      <c r="H95" s="25"/>
      <c r="I95" s="25">
        <v>42459</v>
      </c>
      <c r="J95" s="1" t="s">
        <v>61</v>
      </c>
      <c r="K95" s="1">
        <v>19.670000000000002</v>
      </c>
      <c r="L95" s="1">
        <v>19.55</v>
      </c>
      <c r="M95" s="1">
        <f t="shared" si="8"/>
        <v>19.55</v>
      </c>
      <c r="N95" s="7">
        <f t="shared" si="10"/>
        <v>42473</v>
      </c>
      <c r="O95" s="1">
        <v>1553930</v>
      </c>
      <c r="P95" s="26">
        <f t="shared" si="9"/>
        <v>1544450</v>
      </c>
      <c r="Q95" s="171">
        <v>42478</v>
      </c>
      <c r="R95" s="28">
        <v>42478</v>
      </c>
      <c r="S95" s="187">
        <f t="shared" si="11"/>
        <v>5</v>
      </c>
    </row>
    <row r="96" spans="1:20" s="3" customFormat="1" hidden="1" x14ac:dyDescent="0.25">
      <c r="A96" s="84">
        <f>+closed!A95+1</f>
        <v>254</v>
      </c>
      <c r="B96" s="24">
        <v>42471</v>
      </c>
      <c r="C96" s="1">
        <v>103</v>
      </c>
      <c r="D96" s="1">
        <v>3000029421</v>
      </c>
      <c r="E96" s="1" t="s">
        <v>77</v>
      </c>
      <c r="F96" s="1">
        <v>222</v>
      </c>
      <c r="G96" s="25">
        <v>42460</v>
      </c>
      <c r="H96" s="25"/>
      <c r="I96" s="25">
        <v>42460</v>
      </c>
      <c r="J96" s="1" t="s">
        <v>61</v>
      </c>
      <c r="K96" s="1">
        <v>20.64</v>
      </c>
      <c r="L96" s="1">
        <v>20.48</v>
      </c>
      <c r="M96" s="1">
        <f t="shared" si="8"/>
        <v>20.48</v>
      </c>
      <c r="N96" s="7">
        <f t="shared" si="10"/>
        <v>42474</v>
      </c>
      <c r="O96" s="1">
        <v>1630560</v>
      </c>
      <c r="P96" s="26">
        <f t="shared" si="9"/>
        <v>1617920</v>
      </c>
      <c r="Q96" s="171">
        <v>42478</v>
      </c>
      <c r="R96" s="28">
        <v>42478</v>
      </c>
      <c r="S96" s="187">
        <f t="shared" si="11"/>
        <v>4</v>
      </c>
      <c r="T96" s="15">
        <v>11620083</v>
      </c>
    </row>
    <row r="97" spans="1:20" s="3" customFormat="1" hidden="1" x14ac:dyDescent="0.25">
      <c r="A97" s="84">
        <f>+closed!A94+1</f>
        <v>193</v>
      </c>
      <c r="B97" s="24">
        <v>42461</v>
      </c>
      <c r="C97" s="1">
        <v>114</v>
      </c>
      <c r="D97" s="1">
        <v>3000029408</v>
      </c>
      <c r="E97" s="1" t="s">
        <v>60</v>
      </c>
      <c r="F97" s="1">
        <v>296</v>
      </c>
      <c r="G97" s="25">
        <v>42447</v>
      </c>
      <c r="H97" s="25"/>
      <c r="I97" s="25">
        <v>42459</v>
      </c>
      <c r="J97" s="1" t="s">
        <v>61</v>
      </c>
      <c r="K97" s="1">
        <v>11.21</v>
      </c>
      <c r="L97" s="1">
        <v>11.26</v>
      </c>
      <c r="M97" s="1">
        <f t="shared" si="8"/>
        <v>11.21</v>
      </c>
      <c r="N97" s="7">
        <f t="shared" si="10"/>
        <v>42473</v>
      </c>
      <c r="O97" s="1">
        <v>930428</v>
      </c>
      <c r="P97" s="26">
        <f t="shared" si="9"/>
        <v>930427.99999999988</v>
      </c>
      <c r="Q97" s="171">
        <v>42479</v>
      </c>
      <c r="R97" s="28">
        <v>42479</v>
      </c>
      <c r="S97" s="187">
        <f t="shared" si="11"/>
        <v>6</v>
      </c>
    </row>
    <row r="98" spans="1:20" s="3" customFormat="1" hidden="1" x14ac:dyDescent="0.25">
      <c r="A98" s="84">
        <f>+closed!A97+1</f>
        <v>194</v>
      </c>
      <c r="B98" s="24">
        <v>42461</v>
      </c>
      <c r="C98" s="1">
        <v>114</v>
      </c>
      <c r="D98" s="1">
        <v>3000029408</v>
      </c>
      <c r="E98" s="1" t="s">
        <v>60</v>
      </c>
      <c r="F98" s="1">
        <v>300</v>
      </c>
      <c r="G98" s="25">
        <v>42449</v>
      </c>
      <c r="H98" s="25"/>
      <c r="I98" s="25">
        <v>42459</v>
      </c>
      <c r="J98" s="1" t="s">
        <v>61</v>
      </c>
      <c r="K98" s="1">
        <v>26.63</v>
      </c>
      <c r="L98" s="1">
        <v>26.66</v>
      </c>
      <c r="M98" s="1">
        <f t="shared" si="8"/>
        <v>26.63</v>
      </c>
      <c r="N98" s="7">
        <f t="shared" si="10"/>
        <v>42473</v>
      </c>
      <c r="O98" s="1">
        <v>2210286</v>
      </c>
      <c r="P98" s="26">
        <f t="shared" si="9"/>
        <v>2210286</v>
      </c>
      <c r="Q98" s="171">
        <v>42479</v>
      </c>
      <c r="R98" s="28">
        <v>42480</v>
      </c>
      <c r="S98" s="187">
        <f t="shared" si="11"/>
        <v>7</v>
      </c>
    </row>
    <row r="99" spans="1:20" s="3" customFormat="1" hidden="1" x14ac:dyDescent="0.25">
      <c r="A99" s="84">
        <f>+closed!A89+1</f>
        <v>196</v>
      </c>
      <c r="B99" s="24">
        <v>42461</v>
      </c>
      <c r="C99" s="1">
        <v>114</v>
      </c>
      <c r="D99" s="1">
        <v>3000028981</v>
      </c>
      <c r="E99" s="1" t="s">
        <v>60</v>
      </c>
      <c r="F99" s="1">
        <v>290</v>
      </c>
      <c r="G99" s="25">
        <v>42444</v>
      </c>
      <c r="H99" s="25"/>
      <c r="I99" s="25">
        <v>42459</v>
      </c>
      <c r="J99" s="1" t="s">
        <v>61</v>
      </c>
      <c r="K99" s="1">
        <v>25.31</v>
      </c>
      <c r="L99" s="1">
        <v>25.39</v>
      </c>
      <c r="M99" s="1">
        <f t="shared" si="8"/>
        <v>25.31</v>
      </c>
      <c r="N99" s="7">
        <f t="shared" si="10"/>
        <v>42473</v>
      </c>
      <c r="O99" s="1">
        <v>2075634</v>
      </c>
      <c r="P99" s="26">
        <f t="shared" si="9"/>
        <v>2075633.9999999998</v>
      </c>
      <c r="Q99" s="171">
        <v>42479</v>
      </c>
      <c r="R99" s="28">
        <v>42480</v>
      </c>
      <c r="S99" s="187">
        <f t="shared" si="11"/>
        <v>7</v>
      </c>
    </row>
    <row r="100" spans="1:20" s="3" customFormat="1" hidden="1" x14ac:dyDescent="0.25">
      <c r="A100" s="84">
        <f>+closed!A64+1</f>
        <v>212</v>
      </c>
      <c r="B100" s="24">
        <v>42464</v>
      </c>
      <c r="C100" s="1">
        <v>114</v>
      </c>
      <c r="D100" s="1">
        <v>3000028981</v>
      </c>
      <c r="E100" s="1" t="s">
        <v>60</v>
      </c>
      <c r="F100" s="1">
        <v>291</v>
      </c>
      <c r="G100" s="25">
        <v>42445</v>
      </c>
      <c r="H100" s="25"/>
      <c r="I100" s="25">
        <v>42460</v>
      </c>
      <c r="J100" s="1" t="s">
        <v>61</v>
      </c>
      <c r="K100" s="1">
        <v>20.89</v>
      </c>
      <c r="L100" s="1">
        <v>20.39</v>
      </c>
      <c r="M100" s="1">
        <f t="shared" si="8"/>
        <v>20.39</v>
      </c>
      <c r="N100" s="7">
        <f t="shared" si="10"/>
        <v>42474</v>
      </c>
      <c r="O100" s="1">
        <v>1713157</v>
      </c>
      <c r="P100" s="26">
        <f t="shared" si="9"/>
        <v>1672152.7635232168</v>
      </c>
      <c r="Q100" s="171">
        <v>42479</v>
      </c>
      <c r="R100" s="28">
        <v>42480</v>
      </c>
      <c r="S100" s="187">
        <f t="shared" si="11"/>
        <v>6</v>
      </c>
    </row>
    <row r="101" spans="1:20" s="3" customFormat="1" hidden="1" x14ac:dyDescent="0.25">
      <c r="A101" s="84">
        <f>+closed!A100+1</f>
        <v>213</v>
      </c>
      <c r="B101" s="24">
        <v>42464</v>
      </c>
      <c r="C101" s="1">
        <v>114</v>
      </c>
      <c r="D101" s="1">
        <v>3000029408</v>
      </c>
      <c r="E101" s="1" t="s">
        <v>60</v>
      </c>
      <c r="F101" s="1">
        <v>301</v>
      </c>
      <c r="G101" s="25">
        <v>42449</v>
      </c>
      <c r="H101" s="25"/>
      <c r="I101" s="25">
        <v>42460</v>
      </c>
      <c r="J101" s="1" t="s">
        <v>61</v>
      </c>
      <c r="K101" s="1">
        <v>23.67</v>
      </c>
      <c r="L101" s="1">
        <v>23.74</v>
      </c>
      <c r="M101" s="1">
        <f t="shared" si="8"/>
        <v>23.67</v>
      </c>
      <c r="N101" s="7">
        <f t="shared" si="10"/>
        <v>42474</v>
      </c>
      <c r="O101" s="1">
        <v>1964607</v>
      </c>
      <c r="P101" s="26">
        <f t="shared" si="9"/>
        <v>1964607.0000000002</v>
      </c>
      <c r="Q101" s="171">
        <v>42479</v>
      </c>
      <c r="R101" s="28">
        <v>42480</v>
      </c>
      <c r="S101" s="187">
        <f t="shared" si="11"/>
        <v>6</v>
      </c>
    </row>
    <row r="102" spans="1:20" s="3" customFormat="1" hidden="1" x14ac:dyDescent="0.25">
      <c r="A102" s="84">
        <f>+closed!A196+1</f>
        <v>222</v>
      </c>
      <c r="B102" s="24">
        <v>42466</v>
      </c>
      <c r="C102" s="1">
        <v>114</v>
      </c>
      <c r="D102" s="1">
        <v>3000029408</v>
      </c>
      <c r="E102" s="1" t="s">
        <v>60</v>
      </c>
      <c r="F102" s="1">
        <v>311</v>
      </c>
      <c r="G102" s="25">
        <v>42452</v>
      </c>
      <c r="H102" s="25"/>
      <c r="I102" s="25">
        <v>42462</v>
      </c>
      <c r="J102" s="1" t="s">
        <v>61</v>
      </c>
      <c r="K102" s="1">
        <v>23.54</v>
      </c>
      <c r="L102" s="1">
        <v>23.6</v>
      </c>
      <c r="M102" s="1">
        <f t="shared" ref="M102:M133" si="12">IF(L102&gt;K102,K102,L102)</f>
        <v>23.54</v>
      </c>
      <c r="N102" s="7">
        <f t="shared" si="10"/>
        <v>42476</v>
      </c>
      <c r="O102" s="1">
        <v>1953817</v>
      </c>
      <c r="P102" s="26">
        <f t="shared" si="9"/>
        <v>1953817</v>
      </c>
      <c r="Q102" s="171">
        <v>42479</v>
      </c>
      <c r="R102" s="28">
        <v>42480</v>
      </c>
      <c r="S102" s="187">
        <f t="shared" si="11"/>
        <v>4</v>
      </c>
      <c r="T102" s="15">
        <v>10806924</v>
      </c>
    </row>
    <row r="103" spans="1:20" s="53" customFormat="1" hidden="1" x14ac:dyDescent="0.25">
      <c r="A103" s="39">
        <f>+closed!A111+1</f>
        <v>121</v>
      </c>
      <c r="B103" s="42">
        <v>42437</v>
      </c>
      <c r="C103" s="39">
        <v>114</v>
      </c>
      <c r="D103" s="39">
        <v>3000028643</v>
      </c>
      <c r="E103" s="39" t="s">
        <v>47</v>
      </c>
      <c r="F103" s="39">
        <v>224</v>
      </c>
      <c r="G103" s="43">
        <v>42430</v>
      </c>
      <c r="H103" s="43"/>
      <c r="I103" s="43">
        <v>42430</v>
      </c>
      <c r="J103" s="39" t="s">
        <v>48</v>
      </c>
      <c r="K103" s="39">
        <v>5</v>
      </c>
      <c r="L103" s="39">
        <v>5</v>
      </c>
      <c r="M103" s="39">
        <f t="shared" si="12"/>
        <v>5</v>
      </c>
      <c r="N103" s="40">
        <f t="shared" si="10"/>
        <v>42444</v>
      </c>
      <c r="O103" s="39">
        <v>601137</v>
      </c>
      <c r="P103" s="26">
        <f t="shared" si="9"/>
        <v>601137</v>
      </c>
      <c r="Q103" s="173">
        <v>42481</v>
      </c>
      <c r="R103" s="40">
        <v>42481</v>
      </c>
      <c r="S103" s="187">
        <f t="shared" si="11"/>
        <v>37</v>
      </c>
      <c r="T103" s="15">
        <v>601137</v>
      </c>
    </row>
    <row r="104" spans="1:20" s="3" customFormat="1" hidden="1" x14ac:dyDescent="0.25">
      <c r="A104" s="95">
        <f>+closed!A400+1</f>
        <v>94</v>
      </c>
      <c r="B104" s="42">
        <v>42431</v>
      </c>
      <c r="C104" s="39">
        <v>114</v>
      </c>
      <c r="D104" s="39">
        <v>3000028101</v>
      </c>
      <c r="E104" s="39" t="s">
        <v>36</v>
      </c>
      <c r="F104" s="39">
        <v>1068</v>
      </c>
      <c r="G104" s="43">
        <v>42419</v>
      </c>
      <c r="H104" s="43"/>
      <c r="I104" s="43">
        <v>42426</v>
      </c>
      <c r="J104" s="39" t="s">
        <v>16</v>
      </c>
      <c r="K104" s="39">
        <v>17.079999999999998</v>
      </c>
      <c r="L104" s="39">
        <v>17.079999999999998</v>
      </c>
      <c r="M104" s="39">
        <f t="shared" si="12"/>
        <v>17.079999999999998</v>
      </c>
      <c r="N104" s="40">
        <f t="shared" si="10"/>
        <v>42440</v>
      </c>
      <c r="O104" s="39">
        <v>763476</v>
      </c>
      <c r="P104" s="29">
        <f t="shared" si="9"/>
        <v>763476</v>
      </c>
      <c r="Q104" s="173">
        <v>42481</v>
      </c>
      <c r="R104" s="40">
        <v>42481</v>
      </c>
      <c r="S104" s="187">
        <f t="shared" si="11"/>
        <v>41</v>
      </c>
    </row>
    <row r="105" spans="1:20" s="3" customFormat="1" hidden="1" x14ac:dyDescent="0.25">
      <c r="A105" s="95">
        <f>+closed!A104+1</f>
        <v>95</v>
      </c>
      <c r="B105" s="42">
        <v>42431</v>
      </c>
      <c r="C105" s="39">
        <v>114</v>
      </c>
      <c r="D105" s="39">
        <v>3000028521</v>
      </c>
      <c r="E105" s="39" t="s">
        <v>36</v>
      </c>
      <c r="F105" s="39">
        <v>1069</v>
      </c>
      <c r="G105" s="43">
        <v>42419</v>
      </c>
      <c r="H105" s="43"/>
      <c r="I105" s="43">
        <v>42426</v>
      </c>
      <c r="J105" s="39" t="s">
        <v>16</v>
      </c>
      <c r="K105" s="39">
        <v>2.85</v>
      </c>
      <c r="L105" s="39">
        <v>2.92</v>
      </c>
      <c r="M105" s="39">
        <f t="shared" si="12"/>
        <v>2.85</v>
      </c>
      <c r="N105" s="40">
        <f t="shared" si="10"/>
        <v>42440</v>
      </c>
      <c r="O105" s="39">
        <v>138225</v>
      </c>
      <c r="P105" s="29">
        <f>(+O105/K105*M105)-1425</f>
        <v>136800</v>
      </c>
      <c r="Q105" s="173">
        <v>42481</v>
      </c>
      <c r="R105" s="40">
        <v>42481</v>
      </c>
      <c r="S105" s="187">
        <f t="shared" si="11"/>
        <v>41</v>
      </c>
    </row>
    <row r="106" spans="1:20" s="3" customFormat="1" hidden="1" x14ac:dyDescent="0.25">
      <c r="A106" s="95">
        <f>+closed!A105+1</f>
        <v>96</v>
      </c>
      <c r="B106" s="42">
        <v>42431</v>
      </c>
      <c r="C106" s="39">
        <v>114</v>
      </c>
      <c r="D106" s="39">
        <v>3000028083</v>
      </c>
      <c r="E106" s="39" t="s">
        <v>24</v>
      </c>
      <c r="F106" s="39">
        <v>226</v>
      </c>
      <c r="G106" s="43">
        <v>42422</v>
      </c>
      <c r="H106" s="43"/>
      <c r="I106" s="43">
        <v>42426</v>
      </c>
      <c r="J106" s="39" t="s">
        <v>16</v>
      </c>
      <c r="K106" s="39">
        <v>10.31</v>
      </c>
      <c r="L106" s="39">
        <v>10.31</v>
      </c>
      <c r="M106" s="39">
        <f t="shared" si="12"/>
        <v>10.31</v>
      </c>
      <c r="N106" s="40">
        <f t="shared" si="10"/>
        <v>42440</v>
      </c>
      <c r="O106" s="39">
        <v>460857</v>
      </c>
      <c r="P106" s="29">
        <f>(+O106/K106*M106)</f>
        <v>460857</v>
      </c>
      <c r="Q106" s="173">
        <v>42481</v>
      </c>
      <c r="R106" s="40">
        <v>42481</v>
      </c>
      <c r="S106" s="187">
        <f t="shared" si="11"/>
        <v>41</v>
      </c>
    </row>
    <row r="107" spans="1:20" s="3" customFormat="1" hidden="1" x14ac:dyDescent="0.25">
      <c r="A107" s="95">
        <f>+closed!A106+1</f>
        <v>97</v>
      </c>
      <c r="B107" s="42">
        <v>42431</v>
      </c>
      <c r="C107" s="39">
        <v>114</v>
      </c>
      <c r="D107" s="39">
        <v>3000028084</v>
      </c>
      <c r="E107" s="39" t="s">
        <v>24</v>
      </c>
      <c r="F107" s="39">
        <v>227</v>
      </c>
      <c r="G107" s="43">
        <v>42422</v>
      </c>
      <c r="H107" s="43"/>
      <c r="I107" s="43">
        <v>42426</v>
      </c>
      <c r="J107" s="39" t="s">
        <v>16</v>
      </c>
      <c r="K107" s="39">
        <v>28</v>
      </c>
      <c r="L107" s="39">
        <v>27.76</v>
      </c>
      <c r="M107" s="39">
        <f t="shared" si="12"/>
        <v>27.76</v>
      </c>
      <c r="N107" s="40">
        <f t="shared" si="10"/>
        <v>42440</v>
      </c>
      <c r="O107" s="39">
        <v>1251600</v>
      </c>
      <c r="P107" s="29">
        <f>(+O107/K107*M107)</f>
        <v>1240872</v>
      </c>
      <c r="Q107" s="173">
        <v>42481</v>
      </c>
      <c r="R107" s="40">
        <v>42481</v>
      </c>
      <c r="S107" s="187">
        <f t="shared" si="11"/>
        <v>41</v>
      </c>
    </row>
    <row r="108" spans="1:20" s="3" customFormat="1" hidden="1" x14ac:dyDescent="0.25">
      <c r="A108" s="84">
        <f>+closed!A165+1</f>
        <v>186</v>
      </c>
      <c r="B108" s="24">
        <v>42457</v>
      </c>
      <c r="C108" s="1">
        <v>114</v>
      </c>
      <c r="D108" s="1" t="s">
        <v>66</v>
      </c>
      <c r="E108" s="1" t="s">
        <v>18</v>
      </c>
      <c r="F108" s="20" t="s">
        <v>67</v>
      </c>
      <c r="G108" s="25">
        <v>42451</v>
      </c>
      <c r="H108" s="25"/>
      <c r="I108" s="25">
        <v>42432</v>
      </c>
      <c r="J108" s="1" t="s">
        <v>8</v>
      </c>
      <c r="K108" s="1"/>
      <c r="L108" s="1"/>
      <c r="M108" s="1">
        <f t="shared" si="12"/>
        <v>0</v>
      </c>
      <c r="N108" s="7">
        <f t="shared" si="10"/>
        <v>42446</v>
      </c>
      <c r="O108" s="1">
        <v>28756</v>
      </c>
      <c r="P108" s="29"/>
      <c r="Q108" s="173">
        <v>42481</v>
      </c>
      <c r="R108" s="40">
        <v>42481</v>
      </c>
      <c r="S108" s="187">
        <f t="shared" si="11"/>
        <v>35</v>
      </c>
    </row>
    <row r="109" spans="1:20" s="3" customFormat="1" hidden="1" x14ac:dyDescent="0.25">
      <c r="A109" s="84">
        <f>+closed!A108+1</f>
        <v>187</v>
      </c>
      <c r="B109" s="24">
        <v>42457</v>
      </c>
      <c r="C109" s="1">
        <v>114</v>
      </c>
      <c r="D109" s="1">
        <v>3000027932</v>
      </c>
      <c r="E109" s="1" t="s">
        <v>18</v>
      </c>
      <c r="F109" s="16">
        <v>223</v>
      </c>
      <c r="G109" s="25">
        <v>42420</v>
      </c>
      <c r="H109" s="25"/>
      <c r="I109" s="25">
        <v>42432</v>
      </c>
      <c r="J109" s="1" t="s">
        <v>8</v>
      </c>
      <c r="K109" s="1">
        <v>24.34</v>
      </c>
      <c r="L109" s="1">
        <v>24.34</v>
      </c>
      <c r="M109" s="1">
        <f t="shared" si="12"/>
        <v>24.34</v>
      </c>
      <c r="N109" s="7">
        <f t="shared" si="10"/>
        <v>42446</v>
      </c>
      <c r="O109" s="1">
        <v>985770</v>
      </c>
      <c r="P109" s="29">
        <f>(+O109/K109*M109)-28756</f>
        <v>957014</v>
      </c>
      <c r="Q109" s="173">
        <v>42481</v>
      </c>
      <c r="R109" s="40">
        <v>42481</v>
      </c>
      <c r="S109" s="187">
        <f t="shared" si="11"/>
        <v>35</v>
      </c>
    </row>
    <row r="110" spans="1:20" s="3" customFormat="1" hidden="1" x14ac:dyDescent="0.25">
      <c r="A110" s="84">
        <f>+closed!A109+1</f>
        <v>188</v>
      </c>
      <c r="B110" s="24">
        <v>42457</v>
      </c>
      <c r="C110" s="1">
        <v>114</v>
      </c>
      <c r="D110" s="1">
        <v>3000028098</v>
      </c>
      <c r="E110" s="1" t="s">
        <v>18</v>
      </c>
      <c r="F110" s="16">
        <v>223</v>
      </c>
      <c r="G110" s="25">
        <v>42420</v>
      </c>
      <c r="H110" s="25"/>
      <c r="I110" s="25">
        <v>42432</v>
      </c>
      <c r="J110" s="1" t="s">
        <v>8</v>
      </c>
      <c r="K110" s="1">
        <v>7</v>
      </c>
      <c r="L110" s="1">
        <v>6.95</v>
      </c>
      <c r="M110" s="1">
        <f t="shared" si="12"/>
        <v>6.95</v>
      </c>
      <c r="N110" s="7">
        <f t="shared" si="10"/>
        <v>42446</v>
      </c>
      <c r="O110" s="1">
        <v>301000</v>
      </c>
      <c r="P110" s="29">
        <f t="shared" ref="P110:P141" si="13">(+O110/K110*M110)</f>
        <v>298850</v>
      </c>
      <c r="Q110" s="173">
        <v>42481</v>
      </c>
      <c r="R110" s="40">
        <v>42481</v>
      </c>
      <c r="S110" s="187">
        <f t="shared" si="11"/>
        <v>35</v>
      </c>
    </row>
    <row r="111" spans="1:20" s="3" customFormat="1" hidden="1" x14ac:dyDescent="0.25">
      <c r="A111" s="95">
        <f>+closed!A526+1</f>
        <v>120</v>
      </c>
      <c r="B111" s="42">
        <v>42436</v>
      </c>
      <c r="C111" s="39">
        <v>114</v>
      </c>
      <c r="D111" s="39">
        <v>3000028105</v>
      </c>
      <c r="E111" s="39" t="s">
        <v>44</v>
      </c>
      <c r="F111" s="39">
        <v>132</v>
      </c>
      <c r="G111" s="43">
        <v>42427</v>
      </c>
      <c r="H111" s="43"/>
      <c r="I111" s="43">
        <v>42433</v>
      </c>
      <c r="J111" s="39" t="s">
        <v>16</v>
      </c>
      <c r="K111" s="39">
        <v>30.28</v>
      </c>
      <c r="L111" s="39">
        <v>30.16</v>
      </c>
      <c r="M111" s="39">
        <f t="shared" si="12"/>
        <v>30.16</v>
      </c>
      <c r="N111" s="40">
        <f t="shared" si="10"/>
        <v>42447</v>
      </c>
      <c r="O111" s="39">
        <v>1353516</v>
      </c>
      <c r="P111" s="29">
        <f t="shared" si="13"/>
        <v>1348152</v>
      </c>
      <c r="Q111" s="173">
        <v>42481</v>
      </c>
      <c r="R111" s="40">
        <v>42481</v>
      </c>
      <c r="S111" s="187">
        <f t="shared" si="11"/>
        <v>34</v>
      </c>
    </row>
    <row r="112" spans="1:20" s="3" customFormat="1" hidden="1" x14ac:dyDescent="0.25">
      <c r="A112" s="95">
        <f>+closed!A158+1</f>
        <v>125</v>
      </c>
      <c r="B112" s="42">
        <v>42444</v>
      </c>
      <c r="C112" s="39">
        <v>114</v>
      </c>
      <c r="D112" s="39">
        <v>3000028313</v>
      </c>
      <c r="E112" s="39" t="s">
        <v>29</v>
      </c>
      <c r="F112" s="39">
        <v>392</v>
      </c>
      <c r="G112" s="43">
        <v>42429</v>
      </c>
      <c r="H112" s="43"/>
      <c r="I112" s="43">
        <v>42439</v>
      </c>
      <c r="J112" s="39" t="s">
        <v>16</v>
      </c>
      <c r="K112" s="39">
        <v>23.395</v>
      </c>
      <c r="L112" s="39">
        <v>23.21</v>
      </c>
      <c r="M112" s="39">
        <f t="shared" si="12"/>
        <v>23.21</v>
      </c>
      <c r="N112" s="40">
        <f t="shared" si="10"/>
        <v>42453</v>
      </c>
      <c r="O112" s="39">
        <v>1134658</v>
      </c>
      <c r="P112" s="29">
        <f t="shared" si="13"/>
        <v>1125685.4960461638</v>
      </c>
      <c r="Q112" s="173">
        <v>42481</v>
      </c>
      <c r="R112" s="40">
        <v>42481</v>
      </c>
      <c r="S112" s="187">
        <f t="shared" si="11"/>
        <v>28</v>
      </c>
    </row>
    <row r="113" spans="1:20" s="3" customFormat="1" hidden="1" x14ac:dyDescent="0.25">
      <c r="A113" s="95">
        <f>+closed!A112+1</f>
        <v>126</v>
      </c>
      <c r="B113" s="42">
        <v>42444</v>
      </c>
      <c r="C113" s="39">
        <v>114</v>
      </c>
      <c r="D113" s="39">
        <v>3000028625</v>
      </c>
      <c r="E113" s="39" t="s">
        <v>29</v>
      </c>
      <c r="F113" s="39">
        <v>393</v>
      </c>
      <c r="G113" s="43">
        <v>42429</v>
      </c>
      <c r="H113" s="43"/>
      <c r="I113" s="43">
        <v>42439</v>
      </c>
      <c r="J113" s="39" t="s">
        <v>16</v>
      </c>
      <c r="K113" s="39">
        <v>5.03</v>
      </c>
      <c r="L113" s="39">
        <v>5.03</v>
      </c>
      <c r="M113" s="39">
        <f t="shared" si="12"/>
        <v>5.03</v>
      </c>
      <c r="N113" s="40">
        <f t="shared" si="10"/>
        <v>42453</v>
      </c>
      <c r="O113" s="39">
        <v>241440</v>
      </c>
      <c r="P113" s="29">
        <f t="shared" si="13"/>
        <v>241440</v>
      </c>
      <c r="Q113" s="173">
        <v>42481</v>
      </c>
      <c r="R113" s="40">
        <v>42481</v>
      </c>
      <c r="S113" s="187">
        <f t="shared" si="11"/>
        <v>28</v>
      </c>
    </row>
    <row r="114" spans="1:20" s="3" customFormat="1" hidden="1" x14ac:dyDescent="0.25">
      <c r="A114" s="95">
        <f>+closed!A160+1</f>
        <v>129</v>
      </c>
      <c r="B114" s="42">
        <v>42444</v>
      </c>
      <c r="C114" s="39">
        <v>114</v>
      </c>
      <c r="D114" s="39">
        <v>3000028104</v>
      </c>
      <c r="E114" s="39" t="s">
        <v>15</v>
      </c>
      <c r="F114" s="39">
        <v>2877</v>
      </c>
      <c r="G114" s="43">
        <v>42429</v>
      </c>
      <c r="H114" s="43"/>
      <c r="I114" s="43">
        <v>42439</v>
      </c>
      <c r="J114" s="39" t="s">
        <v>16</v>
      </c>
      <c r="K114" s="39">
        <v>33.56</v>
      </c>
      <c r="L114" s="39">
        <v>33.49</v>
      </c>
      <c r="M114" s="39">
        <f t="shared" si="12"/>
        <v>33.49</v>
      </c>
      <c r="N114" s="40">
        <f t="shared" si="10"/>
        <v>42453</v>
      </c>
      <c r="O114" s="39">
        <v>1500132</v>
      </c>
      <c r="P114" s="29">
        <f t="shared" si="13"/>
        <v>1497003</v>
      </c>
      <c r="Q114" s="173">
        <v>42481</v>
      </c>
      <c r="R114" s="40">
        <v>42481</v>
      </c>
      <c r="S114" s="187">
        <f t="shared" si="11"/>
        <v>28</v>
      </c>
    </row>
    <row r="115" spans="1:20" s="3" customFormat="1" hidden="1" x14ac:dyDescent="0.25">
      <c r="A115" s="95">
        <f>+closed!A628+1</f>
        <v>123</v>
      </c>
      <c r="B115" s="42">
        <v>42444</v>
      </c>
      <c r="C115" s="39">
        <v>114</v>
      </c>
      <c r="D115" s="39">
        <v>3000028096</v>
      </c>
      <c r="E115" s="39" t="s">
        <v>27</v>
      </c>
      <c r="F115" s="39">
        <v>785</v>
      </c>
      <c r="G115" s="43">
        <v>42430</v>
      </c>
      <c r="H115" s="43"/>
      <c r="I115" s="43">
        <v>42440</v>
      </c>
      <c r="J115" s="39" t="s">
        <v>8</v>
      </c>
      <c r="K115" s="39">
        <v>29.04</v>
      </c>
      <c r="L115" s="39">
        <v>28.97</v>
      </c>
      <c r="M115" s="39">
        <f t="shared" si="12"/>
        <v>28.97</v>
      </c>
      <c r="N115" s="40">
        <f t="shared" si="10"/>
        <v>42454</v>
      </c>
      <c r="O115" s="39">
        <v>1248720</v>
      </c>
      <c r="P115" s="29">
        <f t="shared" si="13"/>
        <v>1245710</v>
      </c>
      <c r="Q115" s="173">
        <v>42481</v>
      </c>
      <c r="R115" s="40">
        <v>42481</v>
      </c>
      <c r="S115" s="187">
        <f t="shared" si="11"/>
        <v>27</v>
      </c>
    </row>
    <row r="116" spans="1:20" s="3" customFormat="1" hidden="1" x14ac:dyDescent="0.25">
      <c r="A116" s="84">
        <f>+closed!A194+1</f>
        <v>154</v>
      </c>
      <c r="B116" s="24">
        <v>42451</v>
      </c>
      <c r="C116" s="1">
        <v>114</v>
      </c>
      <c r="D116" s="1">
        <v>3000027938</v>
      </c>
      <c r="E116" s="1" t="s">
        <v>39</v>
      </c>
      <c r="F116" s="17">
        <v>177</v>
      </c>
      <c r="G116" s="25">
        <v>42432</v>
      </c>
      <c r="H116" s="25"/>
      <c r="I116" s="25">
        <v>42444</v>
      </c>
      <c r="J116" s="1" t="s">
        <v>8</v>
      </c>
      <c r="K116" s="1">
        <v>30</v>
      </c>
      <c r="L116" s="1">
        <v>30</v>
      </c>
      <c r="M116" s="1">
        <f t="shared" si="12"/>
        <v>30</v>
      </c>
      <c r="N116" s="7">
        <f t="shared" si="10"/>
        <v>42458</v>
      </c>
      <c r="O116" s="1">
        <v>1215000</v>
      </c>
      <c r="P116" s="29">
        <f t="shared" si="13"/>
        <v>1215000</v>
      </c>
      <c r="Q116" s="173">
        <v>42481</v>
      </c>
      <c r="R116" s="40">
        <v>42481</v>
      </c>
      <c r="S116" s="187">
        <f t="shared" si="11"/>
        <v>23</v>
      </c>
    </row>
    <row r="117" spans="1:20" s="3" customFormat="1" hidden="1" x14ac:dyDescent="0.25">
      <c r="A117" s="84">
        <f>+closed!A116+1</f>
        <v>155</v>
      </c>
      <c r="B117" s="24">
        <v>42451</v>
      </c>
      <c r="C117" s="1">
        <v>114</v>
      </c>
      <c r="D117" s="1">
        <v>3000028865</v>
      </c>
      <c r="E117" s="1" t="s">
        <v>39</v>
      </c>
      <c r="F117" s="17">
        <v>177</v>
      </c>
      <c r="G117" s="25">
        <v>42432</v>
      </c>
      <c r="H117" s="25"/>
      <c r="I117" s="25">
        <v>42444</v>
      </c>
      <c r="J117" s="1" t="s">
        <v>8</v>
      </c>
      <c r="K117" s="1">
        <v>9.0950000000000006</v>
      </c>
      <c r="L117" s="1">
        <v>9.01</v>
      </c>
      <c r="M117" s="1">
        <f t="shared" si="12"/>
        <v>9.01</v>
      </c>
      <c r="N117" s="7">
        <f t="shared" si="10"/>
        <v>42458</v>
      </c>
      <c r="O117" s="1">
        <v>404728</v>
      </c>
      <c r="P117" s="29">
        <f t="shared" si="13"/>
        <v>400945.49532710272</v>
      </c>
      <c r="Q117" s="173">
        <v>42481</v>
      </c>
      <c r="R117" s="40">
        <v>42481</v>
      </c>
      <c r="S117" s="187">
        <f t="shared" si="11"/>
        <v>23</v>
      </c>
    </row>
    <row r="118" spans="1:20" s="3" customFormat="1" hidden="1" x14ac:dyDescent="0.25">
      <c r="A118" s="84">
        <f>+closed!A235+1</f>
        <v>168</v>
      </c>
      <c r="B118" s="24">
        <v>42451</v>
      </c>
      <c r="C118" s="1">
        <v>114</v>
      </c>
      <c r="D118" s="1">
        <v>3000028082</v>
      </c>
      <c r="E118" s="1" t="s">
        <v>17</v>
      </c>
      <c r="F118" s="1">
        <v>126</v>
      </c>
      <c r="G118" s="25">
        <v>42440</v>
      </c>
      <c r="H118" s="25"/>
      <c r="I118" s="25">
        <v>42447</v>
      </c>
      <c r="J118" s="1" t="s">
        <v>8</v>
      </c>
      <c r="K118" s="1">
        <v>27.44</v>
      </c>
      <c r="L118" s="1">
        <v>27.38</v>
      </c>
      <c r="M118" s="1">
        <f t="shared" si="12"/>
        <v>27.38</v>
      </c>
      <c r="N118" s="7">
        <f t="shared" si="10"/>
        <v>42461</v>
      </c>
      <c r="O118" s="1">
        <v>1179920</v>
      </c>
      <c r="P118" s="29">
        <f t="shared" si="13"/>
        <v>1177340</v>
      </c>
      <c r="Q118" s="173">
        <v>42481</v>
      </c>
      <c r="R118" s="40">
        <v>42481</v>
      </c>
      <c r="S118" s="187">
        <f t="shared" si="11"/>
        <v>20</v>
      </c>
      <c r="T118" s="15">
        <v>12109145</v>
      </c>
    </row>
    <row r="119" spans="1:20" s="3" customFormat="1" hidden="1" x14ac:dyDescent="0.25">
      <c r="A119" s="55">
        <v>1</v>
      </c>
      <c r="B119" s="54">
        <v>42381</v>
      </c>
      <c r="C119" s="55">
        <v>103</v>
      </c>
      <c r="D119" s="55">
        <v>3000026541</v>
      </c>
      <c r="E119" s="55" t="s">
        <v>23</v>
      </c>
      <c r="F119" s="55">
        <v>2602045219</v>
      </c>
      <c r="G119" s="56">
        <v>42360</v>
      </c>
      <c r="H119" s="56"/>
      <c r="I119" s="56">
        <v>42370</v>
      </c>
      <c r="J119" s="55" t="s">
        <v>43</v>
      </c>
      <c r="K119" s="55">
        <v>19.32</v>
      </c>
      <c r="L119" s="55">
        <v>19.28</v>
      </c>
      <c r="M119" s="55">
        <f t="shared" si="12"/>
        <v>19.28</v>
      </c>
      <c r="N119" s="23"/>
      <c r="O119" s="55">
        <v>982561</v>
      </c>
      <c r="P119" s="57">
        <f t="shared" si="13"/>
        <v>980526.71221532102</v>
      </c>
      <c r="Q119" s="174">
        <v>42480</v>
      </c>
      <c r="R119" s="23">
        <v>42485</v>
      </c>
    </row>
    <row r="120" spans="1:20" s="3" customFormat="1" hidden="1" x14ac:dyDescent="0.25">
      <c r="A120" s="55">
        <v>2</v>
      </c>
      <c r="B120" s="54">
        <v>42381</v>
      </c>
      <c r="C120" s="55">
        <v>103</v>
      </c>
      <c r="D120" s="55">
        <v>3000026541</v>
      </c>
      <c r="E120" s="55" t="s">
        <v>23</v>
      </c>
      <c r="F120" s="55">
        <v>2602045449</v>
      </c>
      <c r="G120" s="56">
        <v>42369</v>
      </c>
      <c r="H120" s="56"/>
      <c r="I120" s="56">
        <v>42371</v>
      </c>
      <c r="J120" s="55" t="s">
        <v>43</v>
      </c>
      <c r="K120" s="55">
        <v>25.27</v>
      </c>
      <c r="L120" s="55">
        <v>25.27</v>
      </c>
      <c r="M120" s="55">
        <f t="shared" si="12"/>
        <v>25.27</v>
      </c>
      <c r="N120" s="23"/>
      <c r="O120" s="55">
        <v>1285161</v>
      </c>
      <c r="P120" s="57">
        <f t="shared" si="13"/>
        <v>1285161</v>
      </c>
      <c r="Q120" s="174">
        <v>42480</v>
      </c>
      <c r="R120" s="23">
        <v>42485</v>
      </c>
    </row>
    <row r="121" spans="1:20" s="3" customFormat="1" hidden="1" x14ac:dyDescent="0.25">
      <c r="A121" s="55">
        <f>+closed!A120+1</f>
        <v>3</v>
      </c>
      <c r="B121" s="54">
        <v>42016</v>
      </c>
      <c r="C121" s="55">
        <v>103</v>
      </c>
      <c r="D121" s="55">
        <v>3000026541</v>
      </c>
      <c r="E121" s="55" t="s">
        <v>23</v>
      </c>
      <c r="F121" s="55">
        <v>2602045527</v>
      </c>
      <c r="G121" s="56">
        <v>42372</v>
      </c>
      <c r="H121" s="56"/>
      <c r="I121" s="56">
        <v>42375</v>
      </c>
      <c r="J121" s="55" t="s">
        <v>43</v>
      </c>
      <c r="K121" s="55">
        <v>15.58</v>
      </c>
      <c r="L121" s="55">
        <v>15.57</v>
      </c>
      <c r="M121" s="55">
        <f t="shared" si="12"/>
        <v>15.57</v>
      </c>
      <c r="N121" s="23"/>
      <c r="O121" s="55">
        <v>792355</v>
      </c>
      <c r="P121" s="57">
        <f t="shared" si="13"/>
        <v>791846.42811296531</v>
      </c>
      <c r="Q121" s="174">
        <v>42480</v>
      </c>
      <c r="R121" s="23">
        <v>42485</v>
      </c>
    </row>
    <row r="122" spans="1:20" s="3" customFormat="1" hidden="1" x14ac:dyDescent="0.25">
      <c r="A122" s="55">
        <f>+closed!A123+1</f>
        <v>5</v>
      </c>
      <c r="B122" s="54">
        <v>42381</v>
      </c>
      <c r="C122" s="55">
        <v>103</v>
      </c>
      <c r="D122" s="55">
        <v>3000026541</v>
      </c>
      <c r="E122" s="55" t="s">
        <v>23</v>
      </c>
      <c r="F122" s="55">
        <v>2602045529</v>
      </c>
      <c r="G122" s="56">
        <v>42373</v>
      </c>
      <c r="H122" s="56"/>
      <c r="I122" s="56">
        <v>42374</v>
      </c>
      <c r="J122" s="55" t="s">
        <v>43</v>
      </c>
      <c r="K122" s="55">
        <v>19.32</v>
      </c>
      <c r="L122" s="55">
        <v>19.29</v>
      </c>
      <c r="M122" s="55">
        <f t="shared" si="12"/>
        <v>19.29</v>
      </c>
      <c r="N122" s="23"/>
      <c r="O122" s="55">
        <v>982561</v>
      </c>
      <c r="P122" s="57">
        <f t="shared" si="13"/>
        <v>981035.28416149062</v>
      </c>
      <c r="Q122" s="174">
        <v>42480</v>
      </c>
      <c r="R122" s="23">
        <v>42485</v>
      </c>
    </row>
    <row r="123" spans="1:20" s="3" customFormat="1" hidden="1" x14ac:dyDescent="0.25">
      <c r="A123" s="55">
        <f>+closed!A121+1</f>
        <v>4</v>
      </c>
      <c r="B123" s="54">
        <v>42381</v>
      </c>
      <c r="C123" s="55">
        <v>103</v>
      </c>
      <c r="D123" s="55">
        <v>3000026541</v>
      </c>
      <c r="E123" s="55" t="s">
        <v>23</v>
      </c>
      <c r="F123" s="55">
        <v>2602045528</v>
      </c>
      <c r="G123" s="56">
        <v>42373</v>
      </c>
      <c r="H123" s="56"/>
      <c r="I123" s="56">
        <v>42375</v>
      </c>
      <c r="J123" s="55" t="s">
        <v>43</v>
      </c>
      <c r="K123" s="55">
        <v>25.7</v>
      </c>
      <c r="L123" s="55">
        <v>25.6</v>
      </c>
      <c r="M123" s="55">
        <f t="shared" si="12"/>
        <v>25.6</v>
      </c>
      <c r="N123" s="23"/>
      <c r="O123" s="55">
        <v>1307030</v>
      </c>
      <c r="P123" s="57">
        <f t="shared" si="13"/>
        <v>1301944.2801556422</v>
      </c>
      <c r="Q123" s="174">
        <v>42480</v>
      </c>
      <c r="R123" s="23">
        <v>42485</v>
      </c>
    </row>
    <row r="124" spans="1:20" s="3" customFormat="1" hidden="1" x14ac:dyDescent="0.25">
      <c r="A124" s="55">
        <f>+closed!A122+1</f>
        <v>6</v>
      </c>
      <c r="B124" s="54">
        <v>42381</v>
      </c>
      <c r="C124" s="55">
        <v>103</v>
      </c>
      <c r="D124" s="55">
        <v>3000026541</v>
      </c>
      <c r="E124" s="55" t="s">
        <v>23</v>
      </c>
      <c r="F124" s="55">
        <v>2602045550</v>
      </c>
      <c r="G124" s="56">
        <v>42374</v>
      </c>
      <c r="H124" s="56"/>
      <c r="I124" s="56">
        <v>42376</v>
      </c>
      <c r="J124" s="55" t="s">
        <v>43</v>
      </c>
      <c r="K124" s="55">
        <v>18.71</v>
      </c>
      <c r="L124" s="55">
        <v>18.690000000000001</v>
      </c>
      <c r="M124" s="55">
        <f t="shared" si="12"/>
        <v>18.690000000000001</v>
      </c>
      <c r="N124" s="23"/>
      <c r="O124" s="55">
        <v>951538</v>
      </c>
      <c r="P124" s="57">
        <f t="shared" si="13"/>
        <v>950520.85622661677</v>
      </c>
      <c r="Q124" s="174">
        <v>42480</v>
      </c>
      <c r="R124" s="23">
        <v>42485</v>
      </c>
    </row>
    <row r="125" spans="1:20" s="3" customFormat="1" hidden="1" x14ac:dyDescent="0.25">
      <c r="A125" s="55">
        <f>+closed!A124+1</f>
        <v>7</v>
      </c>
      <c r="B125" s="54">
        <v>42381</v>
      </c>
      <c r="C125" s="55">
        <v>103</v>
      </c>
      <c r="D125" s="55">
        <v>3000026541</v>
      </c>
      <c r="E125" s="55" t="s">
        <v>23</v>
      </c>
      <c r="F125" s="55">
        <v>2602045574</v>
      </c>
      <c r="G125" s="56">
        <v>42374</v>
      </c>
      <c r="H125" s="56"/>
      <c r="I125" s="56">
        <v>42377</v>
      </c>
      <c r="J125" s="55" t="s">
        <v>43</v>
      </c>
      <c r="K125" s="55">
        <v>19.625</v>
      </c>
      <c r="L125" s="55">
        <v>19.600000000000001</v>
      </c>
      <c r="M125" s="55">
        <f t="shared" si="12"/>
        <v>19.600000000000001</v>
      </c>
      <c r="N125" s="23"/>
      <c r="O125" s="55">
        <v>998073</v>
      </c>
      <c r="P125" s="57">
        <f t="shared" si="13"/>
        <v>996801.56942675158</v>
      </c>
      <c r="Q125" s="174">
        <v>42480</v>
      </c>
      <c r="R125" s="23">
        <v>42485</v>
      </c>
    </row>
    <row r="126" spans="1:20" s="3" customFormat="1" hidden="1" x14ac:dyDescent="0.25">
      <c r="A126" s="55">
        <f>+closed!A613+1</f>
        <v>16</v>
      </c>
      <c r="B126" s="54">
        <v>42388</v>
      </c>
      <c r="C126" s="55">
        <v>103</v>
      </c>
      <c r="D126" s="55">
        <v>3000026541</v>
      </c>
      <c r="E126" s="55" t="s">
        <v>23</v>
      </c>
      <c r="F126" s="55">
        <v>2602045575</v>
      </c>
      <c r="G126" s="56">
        <v>42375</v>
      </c>
      <c r="H126" s="56"/>
      <c r="I126" s="56">
        <v>42377</v>
      </c>
      <c r="J126" s="55" t="s">
        <v>43</v>
      </c>
      <c r="K126" s="55">
        <v>20.02</v>
      </c>
      <c r="L126" s="55">
        <v>19.97</v>
      </c>
      <c r="M126" s="55">
        <f t="shared" si="12"/>
        <v>19.97</v>
      </c>
      <c r="N126" s="23"/>
      <c r="O126" s="55">
        <v>1018161</v>
      </c>
      <c r="P126" s="57">
        <f t="shared" si="13"/>
        <v>1015618.1403596402</v>
      </c>
      <c r="Q126" s="174">
        <v>42480</v>
      </c>
      <c r="R126" s="23">
        <v>42485</v>
      </c>
    </row>
    <row r="127" spans="1:20" s="3" customFormat="1" hidden="1" x14ac:dyDescent="0.25">
      <c r="A127" s="55">
        <f>+closed!A126+1</f>
        <v>17</v>
      </c>
      <c r="B127" s="54">
        <v>42388</v>
      </c>
      <c r="C127" s="55">
        <v>103</v>
      </c>
      <c r="D127" s="55">
        <v>3000026541</v>
      </c>
      <c r="E127" s="55" t="s">
        <v>23</v>
      </c>
      <c r="F127" s="55">
        <v>2602045576</v>
      </c>
      <c r="G127" s="56">
        <v>42375</v>
      </c>
      <c r="H127" s="56"/>
      <c r="I127" s="56">
        <v>42376</v>
      </c>
      <c r="J127" s="55" t="s">
        <v>43</v>
      </c>
      <c r="K127" s="55">
        <v>19.87</v>
      </c>
      <c r="L127" s="55">
        <v>19.82</v>
      </c>
      <c r="M127" s="55">
        <f t="shared" si="12"/>
        <v>19.82</v>
      </c>
      <c r="N127" s="23"/>
      <c r="O127" s="55">
        <v>1010532</v>
      </c>
      <c r="P127" s="57">
        <f t="shared" si="13"/>
        <v>1007989.1414192249</v>
      </c>
      <c r="Q127" s="174">
        <v>42480</v>
      </c>
      <c r="R127" s="23">
        <v>42485</v>
      </c>
    </row>
    <row r="128" spans="1:20" s="3" customFormat="1" hidden="1" x14ac:dyDescent="0.25">
      <c r="A128" s="55">
        <f>+closed!A127+1</f>
        <v>18</v>
      </c>
      <c r="B128" s="54">
        <v>42388</v>
      </c>
      <c r="C128" s="55">
        <v>103</v>
      </c>
      <c r="D128" s="55">
        <v>3000026541</v>
      </c>
      <c r="E128" s="55" t="s">
        <v>23</v>
      </c>
      <c r="F128" s="55">
        <v>2605045639</v>
      </c>
      <c r="G128" s="56">
        <v>42377</v>
      </c>
      <c r="H128" s="56"/>
      <c r="I128" s="56">
        <v>42379</v>
      </c>
      <c r="J128" s="55" t="s">
        <v>43</v>
      </c>
      <c r="K128" s="55">
        <v>20.04</v>
      </c>
      <c r="L128" s="55">
        <v>19.98</v>
      </c>
      <c r="M128" s="55">
        <f t="shared" si="12"/>
        <v>19.98</v>
      </c>
      <c r="N128" s="23"/>
      <c r="O128" s="55">
        <v>1019179</v>
      </c>
      <c r="P128" s="57">
        <f t="shared" si="13"/>
        <v>1016127.5658682635</v>
      </c>
      <c r="Q128" s="174">
        <v>42480</v>
      </c>
      <c r="R128" s="23">
        <v>42485</v>
      </c>
    </row>
    <row r="129" spans="1:18" s="3" customFormat="1" hidden="1" x14ac:dyDescent="0.25">
      <c r="A129" s="55">
        <f>+closed!A131+1</f>
        <v>29</v>
      </c>
      <c r="B129" s="54">
        <v>42397</v>
      </c>
      <c r="C129" s="55">
        <v>103</v>
      </c>
      <c r="D129" s="55">
        <v>3000026541</v>
      </c>
      <c r="E129" s="55" t="s">
        <v>23</v>
      </c>
      <c r="F129" s="55">
        <v>2602045628</v>
      </c>
      <c r="G129" s="56">
        <v>42377</v>
      </c>
      <c r="H129" s="56"/>
      <c r="I129" s="56">
        <v>42378</v>
      </c>
      <c r="J129" s="55" t="s">
        <v>43</v>
      </c>
      <c r="K129" s="55">
        <v>26.25</v>
      </c>
      <c r="L129" s="55">
        <v>26.24</v>
      </c>
      <c r="M129" s="55">
        <f t="shared" si="12"/>
        <v>26.24</v>
      </c>
      <c r="N129" s="23"/>
      <c r="O129" s="55">
        <v>1335002</v>
      </c>
      <c r="P129" s="57">
        <f t="shared" si="13"/>
        <v>1334493.4278095237</v>
      </c>
      <c r="Q129" s="174">
        <v>42480</v>
      </c>
      <c r="R129" s="23">
        <v>42485</v>
      </c>
    </row>
    <row r="130" spans="1:18" s="3" customFormat="1" hidden="1" x14ac:dyDescent="0.25">
      <c r="A130" s="55">
        <f>+closed!A139+1</f>
        <v>27</v>
      </c>
      <c r="B130" s="54">
        <v>42397</v>
      </c>
      <c r="C130" s="55">
        <v>103</v>
      </c>
      <c r="D130" s="55">
        <v>3000026541</v>
      </c>
      <c r="E130" s="55" t="s">
        <v>23</v>
      </c>
      <c r="F130" s="55">
        <v>2602045594</v>
      </c>
      <c r="G130" s="56">
        <v>42376</v>
      </c>
      <c r="H130" s="56"/>
      <c r="I130" s="56">
        <v>42379</v>
      </c>
      <c r="J130" s="55" t="s">
        <v>43</v>
      </c>
      <c r="K130" s="55">
        <v>25.17</v>
      </c>
      <c r="L130" s="55">
        <v>25.09</v>
      </c>
      <c r="M130" s="55">
        <f t="shared" si="12"/>
        <v>25.09</v>
      </c>
      <c r="N130" s="23"/>
      <c r="O130" s="55">
        <v>1280076</v>
      </c>
      <c r="P130" s="57">
        <f t="shared" si="13"/>
        <v>1276007.423122765</v>
      </c>
      <c r="Q130" s="174">
        <v>42480</v>
      </c>
      <c r="R130" s="23">
        <v>42485</v>
      </c>
    </row>
    <row r="131" spans="1:18" s="3" customFormat="1" hidden="1" x14ac:dyDescent="0.25">
      <c r="A131" s="55">
        <f>+closed!A130+1</f>
        <v>28</v>
      </c>
      <c r="B131" s="54">
        <v>42397</v>
      </c>
      <c r="C131" s="55">
        <v>103</v>
      </c>
      <c r="D131" s="55">
        <v>3000026541</v>
      </c>
      <c r="E131" s="55" t="s">
        <v>23</v>
      </c>
      <c r="F131" s="55">
        <v>2602045595</v>
      </c>
      <c r="G131" s="56">
        <v>42376</v>
      </c>
      <c r="H131" s="56"/>
      <c r="I131" s="56">
        <v>42379</v>
      </c>
      <c r="J131" s="55" t="s">
        <v>43</v>
      </c>
      <c r="K131" s="55">
        <v>24.86</v>
      </c>
      <c r="L131" s="55">
        <v>24.86</v>
      </c>
      <c r="M131" s="55">
        <f t="shared" si="12"/>
        <v>24.86</v>
      </c>
      <c r="N131" s="23"/>
      <c r="O131" s="55">
        <v>1264309</v>
      </c>
      <c r="P131" s="57">
        <f t="shared" si="13"/>
        <v>1264309</v>
      </c>
      <c r="Q131" s="174">
        <v>42480</v>
      </c>
      <c r="R131" s="23">
        <v>42485</v>
      </c>
    </row>
    <row r="132" spans="1:18" s="3" customFormat="1" hidden="1" x14ac:dyDescent="0.25">
      <c r="A132" s="55">
        <f>+closed!A128+1</f>
        <v>19</v>
      </c>
      <c r="B132" s="54">
        <v>42388</v>
      </c>
      <c r="C132" s="55">
        <v>103</v>
      </c>
      <c r="D132" s="55">
        <v>3000026541</v>
      </c>
      <c r="E132" s="55" t="s">
        <v>23</v>
      </c>
      <c r="F132" s="55">
        <v>2602045660</v>
      </c>
      <c r="G132" s="56">
        <v>42378</v>
      </c>
      <c r="H132" s="56"/>
      <c r="I132" s="56">
        <v>42379</v>
      </c>
      <c r="J132" s="55" t="s">
        <v>43</v>
      </c>
      <c r="K132" s="55">
        <v>24.22</v>
      </c>
      <c r="L132" s="55">
        <v>24.16</v>
      </c>
      <c r="M132" s="55">
        <f t="shared" si="12"/>
        <v>24.16</v>
      </c>
      <c r="N132" s="23"/>
      <c r="O132" s="55">
        <v>1231761</v>
      </c>
      <c r="P132" s="57">
        <f t="shared" si="13"/>
        <v>1228709.5689512801</v>
      </c>
      <c r="Q132" s="174">
        <v>42480</v>
      </c>
      <c r="R132" s="23">
        <v>42485</v>
      </c>
    </row>
    <row r="133" spans="1:18" s="3" customFormat="1" hidden="1" x14ac:dyDescent="0.25">
      <c r="A133" s="55">
        <f>+closed!A132+1</f>
        <v>20</v>
      </c>
      <c r="B133" s="54">
        <v>42388</v>
      </c>
      <c r="C133" s="55">
        <v>103</v>
      </c>
      <c r="D133" s="55">
        <v>3000026541</v>
      </c>
      <c r="E133" s="55" t="s">
        <v>23</v>
      </c>
      <c r="F133" s="55">
        <v>2602045671</v>
      </c>
      <c r="G133" s="56">
        <v>42378</v>
      </c>
      <c r="H133" s="56"/>
      <c r="I133" s="56">
        <v>42379</v>
      </c>
      <c r="J133" s="55" t="s">
        <v>43</v>
      </c>
      <c r="K133" s="55">
        <v>19.940000000000001</v>
      </c>
      <c r="L133" s="55">
        <v>19.899999999999999</v>
      </c>
      <c r="M133" s="55">
        <f t="shared" si="12"/>
        <v>19.899999999999999</v>
      </c>
      <c r="N133" s="23"/>
      <c r="O133" s="55">
        <v>1014093</v>
      </c>
      <c r="P133" s="57">
        <f t="shared" si="13"/>
        <v>1012058.7111334001</v>
      </c>
      <c r="Q133" s="174">
        <v>42480</v>
      </c>
      <c r="R133" s="23">
        <v>42485</v>
      </c>
    </row>
    <row r="134" spans="1:18" s="3" customFormat="1" hidden="1" x14ac:dyDescent="0.25">
      <c r="A134" s="55">
        <f>+closed!A133+1</f>
        <v>21</v>
      </c>
      <c r="B134" s="54">
        <v>42388</v>
      </c>
      <c r="C134" s="55">
        <v>103</v>
      </c>
      <c r="D134" s="55">
        <v>3000026541</v>
      </c>
      <c r="E134" s="55" t="s">
        <v>23</v>
      </c>
      <c r="F134" s="55">
        <v>2602045691</v>
      </c>
      <c r="G134" s="56">
        <v>42379</v>
      </c>
      <c r="H134" s="56"/>
      <c r="I134" s="56">
        <v>42381</v>
      </c>
      <c r="J134" s="55" t="s">
        <v>43</v>
      </c>
      <c r="K134" s="55">
        <v>19.895</v>
      </c>
      <c r="L134" s="55">
        <v>19.89</v>
      </c>
      <c r="M134" s="55">
        <f t="shared" ref="M134:M165" si="14">IF(L134&gt;K134,K134,L134)</f>
        <v>19.89</v>
      </c>
      <c r="N134" s="23"/>
      <c r="O134" s="55">
        <v>1011803</v>
      </c>
      <c r="P134" s="57">
        <f t="shared" si="13"/>
        <v>1011548.7142498116</v>
      </c>
      <c r="Q134" s="174">
        <v>42480</v>
      </c>
      <c r="R134" s="23">
        <v>42485</v>
      </c>
    </row>
    <row r="135" spans="1:18" s="3" customFormat="1" hidden="1" x14ac:dyDescent="0.25">
      <c r="A135" s="55">
        <f>+closed!A134+1</f>
        <v>22</v>
      </c>
      <c r="B135" s="54">
        <v>42388</v>
      </c>
      <c r="C135" s="55">
        <v>103</v>
      </c>
      <c r="D135" s="55">
        <v>3000026541</v>
      </c>
      <c r="E135" s="55" t="s">
        <v>23</v>
      </c>
      <c r="F135" s="55">
        <v>2602045693</v>
      </c>
      <c r="G135" s="56">
        <v>42380</v>
      </c>
      <c r="H135" s="56"/>
      <c r="I135" s="56">
        <v>42382</v>
      </c>
      <c r="J135" s="55" t="s">
        <v>43</v>
      </c>
      <c r="K135" s="55">
        <v>25.05</v>
      </c>
      <c r="L135" s="55">
        <v>25.05</v>
      </c>
      <c r="M135" s="55">
        <f t="shared" si="14"/>
        <v>25.05</v>
      </c>
      <c r="N135" s="23"/>
      <c r="O135" s="55">
        <v>1273973</v>
      </c>
      <c r="P135" s="57">
        <f t="shared" si="13"/>
        <v>1273973</v>
      </c>
      <c r="Q135" s="174">
        <v>42480</v>
      </c>
      <c r="R135" s="23">
        <v>42485</v>
      </c>
    </row>
    <row r="136" spans="1:18" s="3" customFormat="1" hidden="1" x14ac:dyDescent="0.25">
      <c r="A136" s="55">
        <f>+closed!A135+1</f>
        <v>23</v>
      </c>
      <c r="B136" s="54">
        <v>42388</v>
      </c>
      <c r="C136" s="55">
        <v>103</v>
      </c>
      <c r="D136" s="55">
        <v>3000026541</v>
      </c>
      <c r="E136" s="55" t="s">
        <v>23</v>
      </c>
      <c r="F136" s="55">
        <v>2602045694</v>
      </c>
      <c r="G136" s="56">
        <v>42380</v>
      </c>
      <c r="H136" s="56"/>
      <c r="I136" s="56">
        <v>42383</v>
      </c>
      <c r="J136" s="55" t="s">
        <v>43</v>
      </c>
      <c r="K136" s="55">
        <v>19.535</v>
      </c>
      <c r="L136" s="55">
        <v>19.510000000000002</v>
      </c>
      <c r="M136" s="55">
        <f t="shared" si="14"/>
        <v>19.510000000000002</v>
      </c>
      <c r="N136" s="23"/>
      <c r="O136" s="55">
        <v>993495</v>
      </c>
      <c r="P136" s="57">
        <f t="shared" si="13"/>
        <v>992223.57051446126</v>
      </c>
      <c r="Q136" s="174">
        <v>42480</v>
      </c>
      <c r="R136" s="23">
        <v>42485</v>
      </c>
    </row>
    <row r="137" spans="1:18" s="3" customFormat="1" hidden="1" x14ac:dyDescent="0.25">
      <c r="A137" s="55">
        <f>+closed!A136+1</f>
        <v>24</v>
      </c>
      <c r="B137" s="54">
        <v>42388</v>
      </c>
      <c r="C137" s="55">
        <v>103</v>
      </c>
      <c r="D137" s="55">
        <v>3000026541</v>
      </c>
      <c r="E137" s="55" t="s">
        <v>23</v>
      </c>
      <c r="F137" s="55">
        <v>2602045705</v>
      </c>
      <c r="G137" s="56">
        <v>42380</v>
      </c>
      <c r="H137" s="56"/>
      <c r="I137" s="56">
        <v>42382</v>
      </c>
      <c r="J137" s="55" t="s">
        <v>43</v>
      </c>
      <c r="K137" s="55">
        <v>26.46</v>
      </c>
      <c r="L137" s="55">
        <v>26.44</v>
      </c>
      <c r="M137" s="55">
        <f t="shared" si="14"/>
        <v>26.44</v>
      </c>
      <c r="N137" s="23"/>
      <c r="O137" s="55">
        <v>1345681</v>
      </c>
      <c r="P137" s="57">
        <f t="shared" si="13"/>
        <v>1344663.8563869994</v>
      </c>
      <c r="Q137" s="174">
        <v>42480</v>
      </c>
      <c r="R137" s="23">
        <v>42485</v>
      </c>
    </row>
    <row r="138" spans="1:18" s="3" customFormat="1" hidden="1" x14ac:dyDescent="0.25">
      <c r="A138" s="55">
        <f>+closed!A137+1</f>
        <v>25</v>
      </c>
      <c r="B138" s="54">
        <v>42388</v>
      </c>
      <c r="C138" s="55">
        <v>103</v>
      </c>
      <c r="D138" s="55">
        <v>3000026541</v>
      </c>
      <c r="E138" s="55" t="s">
        <v>23</v>
      </c>
      <c r="F138" s="55">
        <v>2602045706</v>
      </c>
      <c r="G138" s="56">
        <v>42381</v>
      </c>
      <c r="H138" s="56"/>
      <c r="I138" s="56">
        <v>42382</v>
      </c>
      <c r="J138" s="55" t="s">
        <v>43</v>
      </c>
      <c r="K138" s="55">
        <v>19.399999999999999</v>
      </c>
      <c r="L138" s="55">
        <v>19.36</v>
      </c>
      <c r="M138" s="55">
        <f t="shared" si="14"/>
        <v>19.36</v>
      </c>
      <c r="N138" s="23"/>
      <c r="O138" s="55">
        <v>986630</v>
      </c>
      <c r="P138" s="57">
        <f t="shared" si="13"/>
        <v>984595.71134020621</v>
      </c>
      <c r="Q138" s="174">
        <v>42480</v>
      </c>
      <c r="R138" s="23">
        <v>42485</v>
      </c>
    </row>
    <row r="139" spans="1:18" s="3" customFormat="1" hidden="1" x14ac:dyDescent="0.25">
      <c r="A139" s="55">
        <f>+closed!A138+1</f>
        <v>26</v>
      </c>
      <c r="B139" s="54">
        <v>42388</v>
      </c>
      <c r="C139" s="55">
        <v>103</v>
      </c>
      <c r="D139" s="55">
        <v>3000026541</v>
      </c>
      <c r="E139" s="55" t="s">
        <v>23</v>
      </c>
      <c r="F139" s="55">
        <v>2602045730</v>
      </c>
      <c r="G139" s="56">
        <v>42381</v>
      </c>
      <c r="H139" s="56"/>
      <c r="I139" s="56">
        <v>42383</v>
      </c>
      <c r="J139" s="55" t="s">
        <v>43</v>
      </c>
      <c r="K139" s="55">
        <v>25.77</v>
      </c>
      <c r="L139" s="55">
        <v>25.76</v>
      </c>
      <c r="M139" s="55">
        <f t="shared" si="14"/>
        <v>25.76</v>
      </c>
      <c r="N139" s="23"/>
      <c r="O139" s="55">
        <v>1310590</v>
      </c>
      <c r="P139" s="57">
        <f t="shared" si="13"/>
        <v>1310081.4280170742</v>
      </c>
      <c r="Q139" s="174">
        <v>42480</v>
      </c>
      <c r="R139" s="23">
        <v>42485</v>
      </c>
    </row>
    <row r="140" spans="1:18" s="3" customFormat="1" hidden="1" x14ac:dyDescent="0.25">
      <c r="A140" s="55">
        <f>+closed!A129+1</f>
        <v>30</v>
      </c>
      <c r="B140" s="54">
        <v>42397</v>
      </c>
      <c r="C140" s="55">
        <v>103</v>
      </c>
      <c r="D140" s="55">
        <v>3000026541</v>
      </c>
      <c r="E140" s="55" t="s">
        <v>23</v>
      </c>
      <c r="F140" s="55">
        <v>2602045731</v>
      </c>
      <c r="G140" s="56">
        <v>42382</v>
      </c>
      <c r="H140" s="56"/>
      <c r="I140" s="56">
        <v>42383</v>
      </c>
      <c r="J140" s="55" t="s">
        <v>43</v>
      </c>
      <c r="K140" s="55">
        <v>20.02</v>
      </c>
      <c r="L140" s="55">
        <v>19.989999999999998</v>
      </c>
      <c r="M140" s="55">
        <f t="shared" si="14"/>
        <v>19.989999999999998</v>
      </c>
      <c r="N140" s="23"/>
      <c r="O140" s="55">
        <v>1018161</v>
      </c>
      <c r="P140" s="57">
        <f t="shared" si="13"/>
        <v>1016635.284215784</v>
      </c>
      <c r="Q140" s="174">
        <v>42480</v>
      </c>
      <c r="R140" s="23">
        <v>42485</v>
      </c>
    </row>
    <row r="141" spans="1:18" s="3" customFormat="1" hidden="1" x14ac:dyDescent="0.25">
      <c r="A141" s="55">
        <f>+closed!A140+1</f>
        <v>31</v>
      </c>
      <c r="B141" s="54">
        <v>42397</v>
      </c>
      <c r="C141" s="55">
        <v>103</v>
      </c>
      <c r="D141" s="55">
        <v>3000026541</v>
      </c>
      <c r="E141" s="55" t="s">
        <v>23</v>
      </c>
      <c r="F141" s="55">
        <v>2602045749</v>
      </c>
      <c r="G141" s="56">
        <v>42382</v>
      </c>
      <c r="H141" s="56"/>
      <c r="I141" s="56">
        <v>42384</v>
      </c>
      <c r="J141" s="55" t="s">
        <v>43</v>
      </c>
      <c r="K141" s="55">
        <v>19.855</v>
      </c>
      <c r="L141" s="55">
        <v>19.809999999999999</v>
      </c>
      <c r="M141" s="55">
        <f t="shared" si="14"/>
        <v>19.809999999999999</v>
      </c>
      <c r="N141" s="23"/>
      <c r="O141" s="55">
        <v>1009770</v>
      </c>
      <c r="P141" s="57">
        <f t="shared" si="13"/>
        <v>1007481.4253336691</v>
      </c>
      <c r="Q141" s="174">
        <v>42480</v>
      </c>
      <c r="R141" s="23">
        <v>42485</v>
      </c>
    </row>
    <row r="142" spans="1:18" s="3" customFormat="1" hidden="1" x14ac:dyDescent="0.25">
      <c r="A142" s="55">
        <f>+closed!A141+1</f>
        <v>32</v>
      </c>
      <c r="B142" s="54">
        <v>42397</v>
      </c>
      <c r="C142" s="55">
        <v>103</v>
      </c>
      <c r="D142" s="55">
        <v>3000026541</v>
      </c>
      <c r="E142" s="55" t="s">
        <v>23</v>
      </c>
      <c r="F142" s="55">
        <v>2602045754</v>
      </c>
      <c r="G142" s="56">
        <v>42384</v>
      </c>
      <c r="H142" s="56"/>
      <c r="I142" s="56">
        <v>42387</v>
      </c>
      <c r="J142" s="55" t="s">
        <v>43</v>
      </c>
      <c r="K142" s="55">
        <v>25.38</v>
      </c>
      <c r="L142" s="55">
        <v>25.39</v>
      </c>
      <c r="M142" s="55">
        <f t="shared" si="14"/>
        <v>25.38</v>
      </c>
      <c r="N142" s="23"/>
      <c r="O142" s="55">
        <v>1290756</v>
      </c>
      <c r="P142" s="57">
        <f t="shared" ref="P142:P163" si="15">(+O142/K142*M142)</f>
        <v>1290756</v>
      </c>
      <c r="Q142" s="174">
        <v>42480</v>
      </c>
      <c r="R142" s="23">
        <v>42485</v>
      </c>
    </row>
    <row r="143" spans="1:18" s="3" customFormat="1" hidden="1" x14ac:dyDescent="0.25">
      <c r="A143" s="55">
        <f>+closed!A142+1</f>
        <v>33</v>
      </c>
      <c r="B143" s="54">
        <v>42397</v>
      </c>
      <c r="C143" s="55">
        <v>103</v>
      </c>
      <c r="D143" s="55">
        <v>3000026541</v>
      </c>
      <c r="E143" s="55" t="s">
        <v>23</v>
      </c>
      <c r="F143" s="55">
        <v>2602045755</v>
      </c>
      <c r="G143" s="56">
        <v>42384</v>
      </c>
      <c r="H143" s="56"/>
      <c r="I143" s="56">
        <v>42386</v>
      </c>
      <c r="J143" s="55" t="s">
        <v>43</v>
      </c>
      <c r="K143" s="55">
        <v>26.36</v>
      </c>
      <c r="L143" s="55">
        <v>26.37</v>
      </c>
      <c r="M143" s="55">
        <f t="shared" si="14"/>
        <v>26.36</v>
      </c>
      <c r="N143" s="23"/>
      <c r="O143" s="55">
        <v>1340595</v>
      </c>
      <c r="P143" s="57">
        <f t="shared" si="15"/>
        <v>1340595</v>
      </c>
      <c r="Q143" s="174">
        <v>42480</v>
      </c>
      <c r="R143" s="23">
        <v>42485</v>
      </c>
    </row>
    <row r="144" spans="1:18" s="3" customFormat="1" hidden="1" x14ac:dyDescent="0.25">
      <c r="A144" s="55">
        <f>+closed!A143+1</f>
        <v>34</v>
      </c>
      <c r="B144" s="54">
        <v>42397</v>
      </c>
      <c r="C144" s="55">
        <v>103</v>
      </c>
      <c r="D144" s="55">
        <v>3000026541</v>
      </c>
      <c r="E144" s="55" t="s">
        <v>23</v>
      </c>
      <c r="F144" s="55">
        <v>2602045796</v>
      </c>
      <c r="G144" s="56">
        <v>42385</v>
      </c>
      <c r="H144" s="56"/>
      <c r="I144" s="56">
        <v>42387</v>
      </c>
      <c r="J144" s="55" t="s">
        <v>43</v>
      </c>
      <c r="K144" s="55">
        <v>20.05</v>
      </c>
      <c r="L144" s="55">
        <v>20.02</v>
      </c>
      <c r="M144" s="55">
        <f t="shared" si="14"/>
        <v>20.02</v>
      </c>
      <c r="N144" s="23"/>
      <c r="O144" s="55">
        <v>1019687</v>
      </c>
      <c r="P144" s="57">
        <f t="shared" si="15"/>
        <v>1018161.2837905237</v>
      </c>
      <c r="Q144" s="174">
        <v>42480</v>
      </c>
      <c r="R144" s="23">
        <v>42485</v>
      </c>
    </row>
    <row r="145" spans="1:20" s="3" customFormat="1" hidden="1" x14ac:dyDescent="0.25">
      <c r="A145" s="55">
        <f>+closed!A144+1</f>
        <v>35</v>
      </c>
      <c r="B145" s="54">
        <v>42397</v>
      </c>
      <c r="C145" s="55">
        <v>103</v>
      </c>
      <c r="D145" s="55">
        <v>3000026541</v>
      </c>
      <c r="E145" s="55" t="s">
        <v>23</v>
      </c>
      <c r="F145" s="55">
        <v>2602045797</v>
      </c>
      <c r="G145" s="56">
        <v>42385</v>
      </c>
      <c r="H145" s="56"/>
      <c r="I145" s="56">
        <v>42387</v>
      </c>
      <c r="J145" s="55" t="s">
        <v>43</v>
      </c>
      <c r="K145" s="55">
        <v>25.78</v>
      </c>
      <c r="L145" s="55">
        <v>25.8</v>
      </c>
      <c r="M145" s="55">
        <f t="shared" si="14"/>
        <v>25.78</v>
      </c>
      <c r="N145" s="23"/>
      <c r="O145" s="55">
        <v>1311099</v>
      </c>
      <c r="P145" s="57">
        <f t="shared" si="15"/>
        <v>1311099</v>
      </c>
      <c r="Q145" s="174">
        <v>42480</v>
      </c>
      <c r="R145" s="23">
        <v>42485</v>
      </c>
    </row>
    <row r="146" spans="1:20" s="3" customFormat="1" hidden="1" x14ac:dyDescent="0.25">
      <c r="A146" s="55">
        <f>+closed!A409+1</f>
        <v>54</v>
      </c>
      <c r="B146" s="54">
        <v>42403</v>
      </c>
      <c r="C146" s="55">
        <v>103</v>
      </c>
      <c r="D146" s="55">
        <v>3000026541</v>
      </c>
      <c r="E146" s="55" t="s">
        <v>23</v>
      </c>
      <c r="F146" s="55">
        <v>2602045894</v>
      </c>
      <c r="G146" s="56">
        <v>42390</v>
      </c>
      <c r="H146" s="56"/>
      <c r="I146" s="56">
        <v>42391</v>
      </c>
      <c r="J146" s="55" t="s">
        <v>43</v>
      </c>
      <c r="K146" s="55">
        <v>19.61</v>
      </c>
      <c r="L146" s="55">
        <v>19.63</v>
      </c>
      <c r="M146" s="55">
        <f t="shared" si="14"/>
        <v>19.61</v>
      </c>
      <c r="N146" s="23"/>
      <c r="O146" s="55">
        <v>997309</v>
      </c>
      <c r="P146" s="57">
        <f t="shared" si="15"/>
        <v>997308.99999999988</v>
      </c>
      <c r="Q146" s="174">
        <v>42480</v>
      </c>
      <c r="R146" s="23">
        <v>42485</v>
      </c>
    </row>
    <row r="147" spans="1:20" s="3" customFormat="1" hidden="1" x14ac:dyDescent="0.25">
      <c r="A147" s="55">
        <f>+closed!A146+1</f>
        <v>55</v>
      </c>
      <c r="B147" s="54">
        <v>42403</v>
      </c>
      <c r="C147" s="55">
        <v>103</v>
      </c>
      <c r="D147" s="55">
        <v>3000026541</v>
      </c>
      <c r="E147" s="55" t="s">
        <v>23</v>
      </c>
      <c r="F147" s="55">
        <v>2602045895</v>
      </c>
      <c r="G147" s="56">
        <v>42390</v>
      </c>
      <c r="H147" s="56"/>
      <c r="I147" s="56">
        <v>42394</v>
      </c>
      <c r="J147" s="55" t="s">
        <v>43</v>
      </c>
      <c r="K147" s="55">
        <v>19.809999999999999</v>
      </c>
      <c r="L147" s="55">
        <v>19.82</v>
      </c>
      <c r="M147" s="55">
        <f t="shared" si="14"/>
        <v>19.809999999999999</v>
      </c>
      <c r="N147" s="23"/>
      <c r="O147" s="55">
        <v>1007481</v>
      </c>
      <c r="P147" s="57">
        <f t="shared" si="15"/>
        <v>1007481</v>
      </c>
      <c r="Q147" s="174">
        <v>42480</v>
      </c>
      <c r="R147" s="23">
        <v>42485</v>
      </c>
    </row>
    <row r="148" spans="1:20" s="3" customFormat="1" hidden="1" x14ac:dyDescent="0.25">
      <c r="A148" s="55">
        <f>+closed!A149+1</f>
        <v>57</v>
      </c>
      <c r="B148" s="54">
        <v>42403</v>
      </c>
      <c r="C148" s="55">
        <v>103</v>
      </c>
      <c r="D148" s="55">
        <v>3000026541</v>
      </c>
      <c r="E148" s="55" t="s">
        <v>23</v>
      </c>
      <c r="F148" s="55">
        <v>2602046081</v>
      </c>
      <c r="G148" s="56">
        <v>42398</v>
      </c>
      <c r="H148" s="56"/>
      <c r="I148" s="56">
        <v>42401</v>
      </c>
      <c r="J148" s="55" t="s">
        <v>43</v>
      </c>
      <c r="K148" s="55">
        <v>25.37</v>
      </c>
      <c r="L148" s="55">
        <v>25.39</v>
      </c>
      <c r="M148" s="55">
        <f t="shared" si="14"/>
        <v>25.37</v>
      </c>
      <c r="N148" s="23"/>
      <c r="O148" s="55">
        <v>1290247</v>
      </c>
      <c r="P148" s="57">
        <f t="shared" si="15"/>
        <v>1290247</v>
      </c>
      <c r="Q148" s="174">
        <v>42480</v>
      </c>
      <c r="R148" s="23">
        <v>42485</v>
      </c>
    </row>
    <row r="149" spans="1:20" s="3" customFormat="1" hidden="1" x14ac:dyDescent="0.25">
      <c r="A149" s="55">
        <f>+closed!A147+1</f>
        <v>56</v>
      </c>
      <c r="B149" s="54">
        <v>42403</v>
      </c>
      <c r="C149" s="55">
        <v>103</v>
      </c>
      <c r="D149" s="55">
        <v>3000026541</v>
      </c>
      <c r="E149" s="55" t="s">
        <v>23</v>
      </c>
      <c r="F149" s="55">
        <v>2602046080</v>
      </c>
      <c r="G149" s="56">
        <v>42398</v>
      </c>
      <c r="H149" s="56"/>
      <c r="I149" s="56">
        <v>42401</v>
      </c>
      <c r="J149" s="55" t="s">
        <v>43</v>
      </c>
      <c r="K149" s="55">
        <v>19.350000000000001</v>
      </c>
      <c r="L149" s="55">
        <v>19.36</v>
      </c>
      <c r="M149" s="55">
        <f t="shared" si="14"/>
        <v>19.350000000000001</v>
      </c>
      <c r="N149" s="23"/>
      <c r="O149" s="55">
        <v>984087</v>
      </c>
      <c r="P149" s="57">
        <f t="shared" si="15"/>
        <v>984087</v>
      </c>
      <c r="Q149" s="174">
        <v>42480</v>
      </c>
      <c r="R149" s="23">
        <v>42485</v>
      </c>
    </row>
    <row r="150" spans="1:20" s="3" customFormat="1" hidden="1" x14ac:dyDescent="0.25">
      <c r="A150" s="55">
        <f>+closed!A148+1</f>
        <v>58</v>
      </c>
      <c r="B150" s="54">
        <v>42403</v>
      </c>
      <c r="C150" s="55">
        <v>103</v>
      </c>
      <c r="D150" s="55">
        <v>3000026541</v>
      </c>
      <c r="E150" s="55" t="s">
        <v>23</v>
      </c>
      <c r="F150" s="55">
        <v>2602046100</v>
      </c>
      <c r="G150" s="56">
        <v>42398</v>
      </c>
      <c r="H150" s="56"/>
      <c r="I150" s="56">
        <v>42401</v>
      </c>
      <c r="J150" s="55" t="s">
        <v>43</v>
      </c>
      <c r="K150" s="55">
        <v>26.49</v>
      </c>
      <c r="L150" s="55">
        <v>26.49</v>
      </c>
      <c r="M150" s="55">
        <f t="shared" si="14"/>
        <v>26.49</v>
      </c>
      <c r="N150" s="23"/>
      <c r="O150" s="55">
        <v>1347208</v>
      </c>
      <c r="P150" s="57">
        <f t="shared" si="15"/>
        <v>1347208</v>
      </c>
      <c r="Q150" s="174">
        <v>42480</v>
      </c>
      <c r="R150" s="23">
        <v>42485</v>
      </c>
    </row>
    <row r="151" spans="1:20" s="3" customFormat="1" hidden="1" x14ac:dyDescent="0.25">
      <c r="A151" s="55">
        <f>+closed!A150+1</f>
        <v>59</v>
      </c>
      <c r="B151" s="54">
        <v>42403</v>
      </c>
      <c r="C151" s="55">
        <v>103</v>
      </c>
      <c r="D151" s="55">
        <v>3000026541</v>
      </c>
      <c r="E151" s="55" t="s">
        <v>23</v>
      </c>
      <c r="F151" s="55">
        <v>2602046106</v>
      </c>
      <c r="G151" s="56">
        <v>42399</v>
      </c>
      <c r="H151" s="56"/>
      <c r="I151" s="56">
        <v>42402</v>
      </c>
      <c r="J151" s="55" t="s">
        <v>43</v>
      </c>
      <c r="K151" s="55">
        <v>26.05</v>
      </c>
      <c r="L151" s="55">
        <v>26.04</v>
      </c>
      <c r="M151" s="55">
        <f t="shared" si="14"/>
        <v>26.04</v>
      </c>
      <c r="N151" s="23"/>
      <c r="O151" s="55">
        <v>1324830</v>
      </c>
      <c r="P151" s="57">
        <f t="shared" si="15"/>
        <v>1324321.4280230326</v>
      </c>
      <c r="Q151" s="174">
        <v>42480</v>
      </c>
      <c r="R151" s="23">
        <v>42485</v>
      </c>
    </row>
    <row r="152" spans="1:20" s="3" customFormat="1" hidden="1" x14ac:dyDescent="0.25">
      <c r="A152" s="55">
        <f>+closed!A151+1</f>
        <v>60</v>
      </c>
      <c r="B152" s="54">
        <v>42403</v>
      </c>
      <c r="C152" s="55">
        <v>103</v>
      </c>
      <c r="D152" s="55">
        <v>3000026541</v>
      </c>
      <c r="E152" s="55" t="s">
        <v>23</v>
      </c>
      <c r="F152" s="55">
        <v>2602046107</v>
      </c>
      <c r="G152" s="56">
        <v>42399</v>
      </c>
      <c r="H152" s="56"/>
      <c r="I152" s="56">
        <v>42401</v>
      </c>
      <c r="J152" s="55" t="s">
        <v>43</v>
      </c>
      <c r="K152" s="55">
        <v>19.95</v>
      </c>
      <c r="L152" s="55">
        <v>19.97</v>
      </c>
      <c r="M152" s="55">
        <f t="shared" si="14"/>
        <v>19.95</v>
      </c>
      <c r="N152" s="23"/>
      <c r="O152" s="55">
        <v>1014601</v>
      </c>
      <c r="P152" s="57">
        <f t="shared" si="15"/>
        <v>1014601</v>
      </c>
      <c r="Q152" s="174">
        <v>42480</v>
      </c>
      <c r="R152" s="23">
        <v>42485</v>
      </c>
    </row>
    <row r="153" spans="1:20" s="3" customFormat="1" hidden="1" x14ac:dyDescent="0.25">
      <c r="A153" s="55">
        <f>+closed!A152+1</f>
        <v>61</v>
      </c>
      <c r="B153" s="54">
        <v>42403</v>
      </c>
      <c r="C153" s="55">
        <v>103</v>
      </c>
      <c r="D153" s="55">
        <v>3000026541</v>
      </c>
      <c r="E153" s="55" t="s">
        <v>23</v>
      </c>
      <c r="F153" s="55">
        <v>2602046132</v>
      </c>
      <c r="G153" s="56">
        <v>42400</v>
      </c>
      <c r="H153" s="56"/>
      <c r="I153" s="56">
        <v>42402</v>
      </c>
      <c r="J153" s="55" t="s">
        <v>43</v>
      </c>
      <c r="K153" s="55">
        <v>25.91</v>
      </c>
      <c r="L153" s="55">
        <v>25.92</v>
      </c>
      <c r="M153" s="55">
        <f t="shared" si="14"/>
        <v>25.91</v>
      </c>
      <c r="N153" s="23"/>
      <c r="O153" s="55">
        <v>1317709</v>
      </c>
      <c r="P153" s="57">
        <f t="shared" si="15"/>
        <v>1317709</v>
      </c>
      <c r="Q153" s="174">
        <v>42480</v>
      </c>
      <c r="R153" s="23">
        <v>42485</v>
      </c>
    </row>
    <row r="154" spans="1:20" s="3" customFormat="1" hidden="1" x14ac:dyDescent="0.25">
      <c r="A154" s="55">
        <f>+closed!A155+1</f>
        <v>63</v>
      </c>
      <c r="B154" s="54">
        <v>42417</v>
      </c>
      <c r="C154" s="55">
        <v>103</v>
      </c>
      <c r="D154" s="55">
        <v>3000026541</v>
      </c>
      <c r="E154" s="55" t="s">
        <v>23</v>
      </c>
      <c r="F154" s="55">
        <v>2602046154</v>
      </c>
      <c r="G154" s="56">
        <v>42402</v>
      </c>
      <c r="H154" s="56"/>
      <c r="I154" s="56">
        <v>42404</v>
      </c>
      <c r="J154" s="55" t="s">
        <v>43</v>
      </c>
      <c r="K154" s="55">
        <v>26.26</v>
      </c>
      <c r="L154" s="55">
        <v>26.27</v>
      </c>
      <c r="M154" s="55">
        <f t="shared" si="14"/>
        <v>26.26</v>
      </c>
      <c r="N154" s="23"/>
      <c r="O154" s="55">
        <v>1335509</v>
      </c>
      <c r="P154" s="57">
        <f t="shared" si="15"/>
        <v>1335509</v>
      </c>
      <c r="Q154" s="174">
        <v>42480</v>
      </c>
      <c r="R154" s="23">
        <v>42485</v>
      </c>
    </row>
    <row r="155" spans="1:20" s="3" customFormat="1" hidden="1" x14ac:dyDescent="0.25">
      <c r="A155" s="55">
        <f>+closed!A153+1</f>
        <v>62</v>
      </c>
      <c r="B155" s="54">
        <v>42417</v>
      </c>
      <c r="C155" s="55">
        <v>103</v>
      </c>
      <c r="D155" s="55">
        <v>3000026541</v>
      </c>
      <c r="E155" s="55" t="s">
        <v>23</v>
      </c>
      <c r="F155" s="55">
        <v>2602046155</v>
      </c>
      <c r="G155" s="56">
        <v>42402</v>
      </c>
      <c r="H155" s="56"/>
      <c r="I155" s="56">
        <v>42405</v>
      </c>
      <c r="J155" s="55" t="s">
        <v>43</v>
      </c>
      <c r="K155" s="55">
        <v>25.55</v>
      </c>
      <c r="L155" s="55">
        <v>25.55</v>
      </c>
      <c r="M155" s="55">
        <f t="shared" si="14"/>
        <v>25.55</v>
      </c>
      <c r="N155" s="23"/>
      <c r="O155" s="55">
        <v>1299401</v>
      </c>
      <c r="P155" s="57">
        <f t="shared" si="15"/>
        <v>1299401</v>
      </c>
      <c r="Q155" s="174">
        <v>42480</v>
      </c>
      <c r="R155" s="23">
        <v>42485</v>
      </c>
      <c r="T155" s="15">
        <v>42263858</v>
      </c>
    </row>
    <row r="156" spans="1:20" s="3" customFormat="1" hidden="1" x14ac:dyDescent="0.25">
      <c r="A156" s="84">
        <f>+closed!A167+1</f>
        <v>147</v>
      </c>
      <c r="B156" s="24">
        <v>42445</v>
      </c>
      <c r="C156" s="1">
        <v>114</v>
      </c>
      <c r="D156" s="1">
        <v>3000028096</v>
      </c>
      <c r="E156" s="1" t="s">
        <v>27</v>
      </c>
      <c r="F156" s="17">
        <v>786</v>
      </c>
      <c r="G156" s="25">
        <v>42431</v>
      </c>
      <c r="H156" s="25"/>
      <c r="I156" s="25">
        <v>42441</v>
      </c>
      <c r="J156" s="1" t="s">
        <v>8</v>
      </c>
      <c r="K156" s="1">
        <v>17.72</v>
      </c>
      <c r="L156" s="1">
        <v>17.72</v>
      </c>
      <c r="M156" s="1">
        <f t="shared" si="14"/>
        <v>17.72</v>
      </c>
      <c r="N156" s="7">
        <f t="shared" ref="N156:N187" si="16">+I156+15-1</f>
        <v>42455</v>
      </c>
      <c r="O156" s="1">
        <v>761960</v>
      </c>
      <c r="P156" s="26">
        <f t="shared" si="15"/>
        <v>761960</v>
      </c>
      <c r="Q156" s="173">
        <v>42485</v>
      </c>
      <c r="R156" s="40">
        <v>42487</v>
      </c>
      <c r="S156" s="187">
        <f t="shared" ref="S156:S187" si="17">R156-N156</f>
        <v>32</v>
      </c>
    </row>
    <row r="157" spans="1:20" s="3" customFormat="1" hidden="1" x14ac:dyDescent="0.25">
      <c r="A157" s="84">
        <f>+closed!A156+1</f>
        <v>148</v>
      </c>
      <c r="B157" s="24">
        <v>42445</v>
      </c>
      <c r="C157" s="1">
        <v>114</v>
      </c>
      <c r="D157" s="1">
        <v>3000028881</v>
      </c>
      <c r="E157" s="1" t="s">
        <v>27</v>
      </c>
      <c r="F157" s="17">
        <v>786</v>
      </c>
      <c r="G157" s="25">
        <v>42431</v>
      </c>
      <c r="H157" s="25"/>
      <c r="I157" s="25">
        <v>42441</v>
      </c>
      <c r="J157" s="1" t="s">
        <v>8</v>
      </c>
      <c r="K157" s="1">
        <v>11.5</v>
      </c>
      <c r="L157" s="1">
        <v>11.37</v>
      </c>
      <c r="M157" s="1">
        <f t="shared" si="14"/>
        <v>11.37</v>
      </c>
      <c r="N157" s="7">
        <f t="shared" si="16"/>
        <v>42455</v>
      </c>
      <c r="O157" s="1">
        <v>516350</v>
      </c>
      <c r="P157" s="26">
        <f t="shared" si="15"/>
        <v>510512.99999999994</v>
      </c>
      <c r="Q157" s="173">
        <v>42485</v>
      </c>
      <c r="R157" s="40">
        <v>42487</v>
      </c>
      <c r="S157" s="187">
        <f t="shared" si="17"/>
        <v>32</v>
      </c>
    </row>
    <row r="158" spans="1:20" s="3" customFormat="1" hidden="1" x14ac:dyDescent="0.25">
      <c r="A158" s="95">
        <f>+closed!A115+1</f>
        <v>124</v>
      </c>
      <c r="B158" s="42">
        <v>42444</v>
      </c>
      <c r="C158" s="39">
        <v>114</v>
      </c>
      <c r="D158" s="39">
        <v>3000028881</v>
      </c>
      <c r="E158" s="39" t="s">
        <v>27</v>
      </c>
      <c r="F158" s="39">
        <v>788</v>
      </c>
      <c r="G158" s="43">
        <v>42432</v>
      </c>
      <c r="H158" s="43"/>
      <c r="I158" s="43">
        <v>42440</v>
      </c>
      <c r="J158" s="39" t="s">
        <v>8</v>
      </c>
      <c r="K158" s="39">
        <v>25.395</v>
      </c>
      <c r="L158" s="39">
        <v>25.33</v>
      </c>
      <c r="M158" s="39">
        <f t="shared" si="14"/>
        <v>25.33</v>
      </c>
      <c r="N158" s="40">
        <f t="shared" si="16"/>
        <v>42454</v>
      </c>
      <c r="O158" s="39">
        <v>1140236</v>
      </c>
      <c r="P158" s="29">
        <f t="shared" si="15"/>
        <v>1137317.4987202205</v>
      </c>
      <c r="Q158" s="173">
        <v>42485</v>
      </c>
      <c r="R158" s="40">
        <v>42487</v>
      </c>
      <c r="S158" s="187">
        <f t="shared" si="17"/>
        <v>33</v>
      </c>
    </row>
    <row r="159" spans="1:20" s="3" customFormat="1" hidden="1" x14ac:dyDescent="0.25">
      <c r="A159" s="95">
        <f>+closed!A113+1</f>
        <v>127</v>
      </c>
      <c r="B159" s="42">
        <v>42444</v>
      </c>
      <c r="C159" s="39">
        <v>114</v>
      </c>
      <c r="D159" s="39">
        <v>3000027934</v>
      </c>
      <c r="E159" s="39" t="s">
        <v>29</v>
      </c>
      <c r="F159" s="39">
        <v>399</v>
      </c>
      <c r="G159" s="43">
        <v>42434</v>
      </c>
      <c r="H159" s="43"/>
      <c r="I159" s="43">
        <v>42440</v>
      </c>
      <c r="J159" s="39" t="s">
        <v>8</v>
      </c>
      <c r="K159" s="39">
        <v>13.19</v>
      </c>
      <c r="L159" s="39">
        <v>13.19</v>
      </c>
      <c r="M159" s="39">
        <f t="shared" si="14"/>
        <v>13.19</v>
      </c>
      <c r="N159" s="40">
        <f t="shared" si="16"/>
        <v>42454</v>
      </c>
      <c r="O159" s="39">
        <v>534195</v>
      </c>
      <c r="P159" s="29">
        <f t="shared" si="15"/>
        <v>534195</v>
      </c>
      <c r="Q159" s="173">
        <v>42485</v>
      </c>
      <c r="R159" s="40">
        <v>42487</v>
      </c>
      <c r="S159" s="187">
        <f t="shared" si="17"/>
        <v>33</v>
      </c>
    </row>
    <row r="160" spans="1:20" s="3" customFormat="1" hidden="1" x14ac:dyDescent="0.25">
      <c r="A160" s="95">
        <f>+closed!A159+1</f>
        <v>128</v>
      </c>
      <c r="B160" s="42">
        <v>42444</v>
      </c>
      <c r="C160" s="39">
        <v>114</v>
      </c>
      <c r="D160" s="39">
        <v>3000028036</v>
      </c>
      <c r="E160" s="39" t="s">
        <v>29</v>
      </c>
      <c r="F160" s="39">
        <v>400</v>
      </c>
      <c r="G160" s="43">
        <v>42434</v>
      </c>
      <c r="H160" s="43"/>
      <c r="I160" s="43">
        <v>42440</v>
      </c>
      <c r="J160" s="39" t="s">
        <v>8</v>
      </c>
      <c r="K160" s="39">
        <v>15.96</v>
      </c>
      <c r="L160" s="39">
        <v>15.9</v>
      </c>
      <c r="M160" s="39">
        <f t="shared" si="14"/>
        <v>15.9</v>
      </c>
      <c r="N160" s="40">
        <f t="shared" si="16"/>
        <v>42454</v>
      </c>
      <c r="O160" s="39">
        <v>654360</v>
      </c>
      <c r="P160" s="29">
        <f t="shared" si="15"/>
        <v>651900</v>
      </c>
      <c r="Q160" s="173">
        <v>42485</v>
      </c>
      <c r="R160" s="40">
        <v>42487</v>
      </c>
      <c r="S160" s="187">
        <f t="shared" si="17"/>
        <v>33</v>
      </c>
    </row>
    <row r="161" spans="1:20" s="3" customFormat="1" hidden="1" x14ac:dyDescent="0.25">
      <c r="A161" s="84">
        <f>+closed!A198+1</f>
        <v>162</v>
      </c>
      <c r="B161" s="24">
        <v>42451</v>
      </c>
      <c r="C161" s="1">
        <v>114</v>
      </c>
      <c r="D161" s="1">
        <v>3000028095</v>
      </c>
      <c r="E161" s="1" t="s">
        <v>29</v>
      </c>
      <c r="F161" s="1">
        <v>403</v>
      </c>
      <c r="G161" s="25">
        <v>42436</v>
      </c>
      <c r="H161" s="25"/>
      <c r="I161" s="25">
        <v>42445</v>
      </c>
      <c r="J161" s="1" t="s">
        <v>8</v>
      </c>
      <c r="K161" s="1">
        <v>29.44</v>
      </c>
      <c r="L161" s="1">
        <v>29.43</v>
      </c>
      <c r="M161" s="1">
        <f t="shared" si="14"/>
        <v>29.43</v>
      </c>
      <c r="N161" s="7">
        <f t="shared" si="16"/>
        <v>42459</v>
      </c>
      <c r="O161" s="1">
        <v>1265920</v>
      </c>
      <c r="P161" s="26">
        <f t="shared" si="15"/>
        <v>1265490</v>
      </c>
      <c r="Q161" s="173">
        <v>42485</v>
      </c>
      <c r="R161" s="40">
        <v>42487</v>
      </c>
      <c r="S161" s="187">
        <f t="shared" si="17"/>
        <v>28</v>
      </c>
    </row>
    <row r="162" spans="1:20" s="3" customFormat="1" hidden="1" x14ac:dyDescent="0.25">
      <c r="A162" s="95">
        <f>+closed!A182+1</f>
        <v>131</v>
      </c>
      <c r="B162" s="42">
        <v>42444</v>
      </c>
      <c r="C162" s="39">
        <v>114</v>
      </c>
      <c r="D162" s="39">
        <v>3000028097</v>
      </c>
      <c r="E162" s="39" t="s">
        <v>15</v>
      </c>
      <c r="F162" s="39">
        <v>2884</v>
      </c>
      <c r="G162" s="43">
        <v>42434</v>
      </c>
      <c r="H162" s="43"/>
      <c r="I162" s="43">
        <v>42440</v>
      </c>
      <c r="J162" s="39" t="s">
        <v>8</v>
      </c>
      <c r="K162" s="39">
        <v>28.67</v>
      </c>
      <c r="L162" s="39">
        <v>28.8</v>
      </c>
      <c r="M162" s="39">
        <f t="shared" si="14"/>
        <v>28.67</v>
      </c>
      <c r="N162" s="40">
        <f t="shared" si="16"/>
        <v>42454</v>
      </c>
      <c r="O162" s="39">
        <v>1232810</v>
      </c>
      <c r="P162" s="29">
        <f t="shared" si="15"/>
        <v>1232810</v>
      </c>
      <c r="Q162" s="173">
        <v>42485</v>
      </c>
      <c r="R162" s="40">
        <v>42487</v>
      </c>
      <c r="S162" s="187">
        <f t="shared" si="17"/>
        <v>33</v>
      </c>
    </row>
    <row r="163" spans="1:20" s="3" customFormat="1" hidden="1" x14ac:dyDescent="0.25">
      <c r="A163" s="84">
        <f>+closed!A157+1</f>
        <v>149</v>
      </c>
      <c r="B163" s="24">
        <v>42445</v>
      </c>
      <c r="C163" s="1">
        <v>114</v>
      </c>
      <c r="D163" s="1">
        <v>3000028614</v>
      </c>
      <c r="E163" s="1" t="s">
        <v>28</v>
      </c>
      <c r="F163" s="1">
        <v>543</v>
      </c>
      <c r="G163" s="25">
        <v>42429</v>
      </c>
      <c r="H163" s="25"/>
      <c r="I163" s="25">
        <v>42443</v>
      </c>
      <c r="J163" s="1" t="s">
        <v>16</v>
      </c>
      <c r="K163" s="1">
        <v>30.22</v>
      </c>
      <c r="L163" s="1">
        <v>30.1</v>
      </c>
      <c r="M163" s="1">
        <f t="shared" si="14"/>
        <v>30.1</v>
      </c>
      <c r="N163" s="7">
        <f t="shared" si="16"/>
        <v>42457</v>
      </c>
      <c r="O163" s="1">
        <v>1465670</v>
      </c>
      <c r="P163" s="26">
        <f t="shared" si="15"/>
        <v>1459850</v>
      </c>
      <c r="Q163" s="173">
        <v>42485</v>
      </c>
      <c r="R163" s="40">
        <v>42487</v>
      </c>
      <c r="S163" s="187">
        <f t="shared" si="17"/>
        <v>30</v>
      </c>
    </row>
    <row r="164" spans="1:20" s="3" customFormat="1" hidden="1" x14ac:dyDescent="0.25">
      <c r="A164" s="84">
        <f>+closed!A179+1</f>
        <v>184</v>
      </c>
      <c r="B164" s="24">
        <v>42457</v>
      </c>
      <c r="C164" s="1">
        <v>114</v>
      </c>
      <c r="D164" s="1">
        <v>3000028084</v>
      </c>
      <c r="E164" s="1" t="s">
        <v>24</v>
      </c>
      <c r="F164" s="20" t="s">
        <v>65</v>
      </c>
      <c r="G164" s="25">
        <v>42451</v>
      </c>
      <c r="H164" s="25"/>
      <c r="I164" s="25">
        <v>42443</v>
      </c>
      <c r="J164" s="1" t="s">
        <v>16</v>
      </c>
      <c r="K164" s="1"/>
      <c r="L164" s="1"/>
      <c r="M164" s="1">
        <f t="shared" si="14"/>
        <v>0</v>
      </c>
      <c r="N164" s="7">
        <f t="shared" si="16"/>
        <v>42457</v>
      </c>
      <c r="O164" s="1">
        <v>10752</v>
      </c>
      <c r="P164" s="26"/>
      <c r="Q164" s="173">
        <v>42485</v>
      </c>
      <c r="R164" s="40">
        <v>42487</v>
      </c>
      <c r="S164" s="187">
        <f t="shared" si="17"/>
        <v>30</v>
      </c>
    </row>
    <row r="165" spans="1:20" s="3" customFormat="1" hidden="1" x14ac:dyDescent="0.25">
      <c r="A165" s="84">
        <f>+closed!A164+1</f>
        <v>185</v>
      </c>
      <c r="B165" s="24">
        <v>42457</v>
      </c>
      <c r="C165" s="1">
        <v>114</v>
      </c>
      <c r="D165" s="1">
        <v>3000028084</v>
      </c>
      <c r="E165" s="1" t="s">
        <v>24</v>
      </c>
      <c r="F165" s="16">
        <v>231</v>
      </c>
      <c r="G165" s="25">
        <v>42429</v>
      </c>
      <c r="H165" s="25"/>
      <c r="I165" s="25">
        <v>42443</v>
      </c>
      <c r="J165" s="1" t="s">
        <v>16</v>
      </c>
      <c r="K165" s="1">
        <v>29.19</v>
      </c>
      <c r="L165" s="1">
        <v>29.06</v>
      </c>
      <c r="M165" s="1">
        <f t="shared" si="14"/>
        <v>29.06</v>
      </c>
      <c r="N165" s="7">
        <f t="shared" si="16"/>
        <v>42457</v>
      </c>
      <c r="O165" s="1">
        <v>1304793</v>
      </c>
      <c r="P165" s="26">
        <f>(+O165/K165*M165)-10752</f>
        <v>1288230</v>
      </c>
      <c r="Q165" s="173">
        <v>42485</v>
      </c>
      <c r="R165" s="40">
        <v>42487</v>
      </c>
      <c r="S165" s="187">
        <f t="shared" si="17"/>
        <v>30</v>
      </c>
    </row>
    <row r="166" spans="1:20" s="3" customFormat="1" hidden="1" x14ac:dyDescent="0.25">
      <c r="A166" s="84">
        <f>+closed!A324+1</f>
        <v>289</v>
      </c>
      <c r="B166" s="24">
        <v>42474</v>
      </c>
      <c r="C166" s="1">
        <v>114</v>
      </c>
      <c r="D166" s="1">
        <v>3000029682</v>
      </c>
      <c r="E166" s="1" t="s">
        <v>30</v>
      </c>
      <c r="F166" s="1">
        <v>23</v>
      </c>
      <c r="G166" s="25">
        <v>42469</v>
      </c>
      <c r="H166" s="25"/>
      <c r="I166" s="25">
        <v>42446</v>
      </c>
      <c r="J166" s="1" t="s">
        <v>31</v>
      </c>
      <c r="K166" s="1">
        <v>28.11</v>
      </c>
      <c r="L166" s="1">
        <v>28.04</v>
      </c>
      <c r="M166" s="1">
        <f t="shared" ref="M166:M186" si="18">IF(L166&gt;K166,K166,L166)</f>
        <v>28.04</v>
      </c>
      <c r="N166" s="7">
        <f t="shared" si="16"/>
        <v>42460</v>
      </c>
      <c r="O166" s="1">
        <v>1458910</v>
      </c>
      <c r="P166" s="26">
        <f t="shared" ref="P166:P186" si="19">(+O166/K166*M166)</f>
        <v>1455276.9975097829</v>
      </c>
      <c r="Q166" s="173">
        <v>42485</v>
      </c>
      <c r="R166" s="40">
        <v>42487</v>
      </c>
      <c r="S166" s="185">
        <f t="shared" si="17"/>
        <v>27</v>
      </c>
      <c r="T166" s="41">
        <v>10297543</v>
      </c>
    </row>
    <row r="167" spans="1:20" s="3" customFormat="1" hidden="1" x14ac:dyDescent="0.25">
      <c r="A167" s="84">
        <f>+closed!A537+1</f>
        <v>146</v>
      </c>
      <c r="B167" s="24">
        <v>42079</v>
      </c>
      <c r="C167" s="1">
        <v>114</v>
      </c>
      <c r="D167" s="1">
        <v>3000028030</v>
      </c>
      <c r="E167" s="1" t="s">
        <v>37</v>
      </c>
      <c r="F167" s="1">
        <v>286</v>
      </c>
      <c r="G167" s="25">
        <v>42431</v>
      </c>
      <c r="H167" s="25"/>
      <c r="I167" s="25">
        <v>42443</v>
      </c>
      <c r="J167" s="1" t="s">
        <v>16</v>
      </c>
      <c r="K167" s="1">
        <v>30.75</v>
      </c>
      <c r="L167" s="1">
        <v>30.6</v>
      </c>
      <c r="M167" s="1">
        <f t="shared" si="18"/>
        <v>30.6</v>
      </c>
      <c r="N167" s="7">
        <f t="shared" si="16"/>
        <v>42457</v>
      </c>
      <c r="O167" s="1">
        <v>1242300</v>
      </c>
      <c r="P167" s="26">
        <f t="shared" si="19"/>
        <v>1236240</v>
      </c>
      <c r="Q167" s="173">
        <v>42486</v>
      </c>
      <c r="R167" s="28">
        <v>42487</v>
      </c>
      <c r="S167" s="185">
        <f t="shared" si="17"/>
        <v>30</v>
      </c>
    </row>
    <row r="168" spans="1:20" s="3" customFormat="1" hidden="1" x14ac:dyDescent="0.25">
      <c r="A168" s="84">
        <f>+closed!A118+1</f>
        <v>169</v>
      </c>
      <c r="B168" s="24">
        <v>42451</v>
      </c>
      <c r="C168" s="1">
        <v>114</v>
      </c>
      <c r="D168" s="1">
        <v>3000028733</v>
      </c>
      <c r="E168" s="1" t="s">
        <v>55</v>
      </c>
      <c r="F168" s="1">
        <v>7</v>
      </c>
      <c r="G168" s="25">
        <v>42437</v>
      </c>
      <c r="H168" s="25"/>
      <c r="I168" s="25">
        <v>42448</v>
      </c>
      <c r="J168" s="1" t="s">
        <v>16</v>
      </c>
      <c r="K168" s="1">
        <v>29.405000000000001</v>
      </c>
      <c r="L168" s="1">
        <v>29.38</v>
      </c>
      <c r="M168" s="1">
        <f t="shared" si="18"/>
        <v>29.38</v>
      </c>
      <c r="N168" s="7">
        <f t="shared" si="16"/>
        <v>42462</v>
      </c>
      <c r="O168" s="1">
        <v>1382035</v>
      </c>
      <c r="P168" s="26">
        <f t="shared" si="19"/>
        <v>1380860</v>
      </c>
      <c r="Q168" s="173">
        <v>42486</v>
      </c>
      <c r="R168" s="40">
        <v>42487</v>
      </c>
      <c r="S168" s="185">
        <f t="shared" si="17"/>
        <v>25</v>
      </c>
    </row>
    <row r="169" spans="1:20" s="3" customFormat="1" hidden="1" x14ac:dyDescent="0.25">
      <c r="A169" s="84">
        <f>+closed!A304+1</f>
        <v>217</v>
      </c>
      <c r="B169" s="24">
        <v>42464</v>
      </c>
      <c r="C169" s="1">
        <v>114</v>
      </c>
      <c r="D169" s="1">
        <v>3000028765</v>
      </c>
      <c r="E169" s="1" t="s">
        <v>55</v>
      </c>
      <c r="F169" s="1">
        <v>11</v>
      </c>
      <c r="G169" s="25">
        <v>42457</v>
      </c>
      <c r="H169" s="25"/>
      <c r="I169" s="25">
        <v>42460</v>
      </c>
      <c r="J169" s="1" t="s">
        <v>8</v>
      </c>
      <c r="K169" s="1">
        <v>31.16</v>
      </c>
      <c r="L169" s="1">
        <v>31.15</v>
      </c>
      <c r="M169" s="1">
        <f t="shared" si="18"/>
        <v>31.15</v>
      </c>
      <c r="N169" s="7">
        <f t="shared" si="16"/>
        <v>42474</v>
      </c>
      <c r="O169" s="1">
        <v>1424012</v>
      </c>
      <c r="P169" s="26">
        <f t="shared" si="19"/>
        <v>1423555</v>
      </c>
      <c r="Q169" s="173">
        <v>42486</v>
      </c>
      <c r="R169" s="40">
        <v>42487</v>
      </c>
      <c r="S169" s="185">
        <f t="shared" si="17"/>
        <v>13</v>
      </c>
    </row>
    <row r="170" spans="1:20" s="3" customFormat="1" hidden="1" x14ac:dyDescent="0.25">
      <c r="A170" s="84">
        <f>+closed!A176+1</f>
        <v>173</v>
      </c>
      <c r="B170" s="24">
        <v>42457</v>
      </c>
      <c r="C170" s="1">
        <v>114</v>
      </c>
      <c r="D170" s="1">
        <v>3000028105</v>
      </c>
      <c r="E170" s="1" t="s">
        <v>44</v>
      </c>
      <c r="F170" s="16">
        <v>143</v>
      </c>
      <c r="G170" s="25">
        <v>42441</v>
      </c>
      <c r="H170" s="25"/>
      <c r="I170" s="25">
        <v>42450</v>
      </c>
      <c r="J170" s="1" t="s">
        <v>16</v>
      </c>
      <c r="K170" s="1">
        <v>6.08</v>
      </c>
      <c r="L170" s="1">
        <v>6.08</v>
      </c>
      <c r="M170" s="1">
        <f t="shared" si="18"/>
        <v>6.08</v>
      </c>
      <c r="N170" s="7">
        <f t="shared" si="16"/>
        <v>42464</v>
      </c>
      <c r="O170" s="1">
        <v>271776</v>
      </c>
      <c r="P170" s="26">
        <f t="shared" si="19"/>
        <v>271776</v>
      </c>
      <c r="Q170" s="173">
        <v>42486</v>
      </c>
      <c r="R170" s="40">
        <v>42487</v>
      </c>
      <c r="S170" s="187">
        <f t="shared" si="17"/>
        <v>23</v>
      </c>
    </row>
    <row r="171" spans="1:20" s="3" customFormat="1" hidden="1" x14ac:dyDescent="0.25">
      <c r="A171" s="84">
        <f>+A170+1</f>
        <v>174</v>
      </c>
      <c r="B171" s="24">
        <v>42457</v>
      </c>
      <c r="C171" s="1">
        <v>114</v>
      </c>
      <c r="D171" s="1">
        <v>3000028332</v>
      </c>
      <c r="E171" s="1" t="s">
        <v>44</v>
      </c>
      <c r="F171" s="16">
        <v>143</v>
      </c>
      <c r="G171" s="25">
        <v>42441</v>
      </c>
      <c r="H171" s="25"/>
      <c r="I171" s="25">
        <v>42450</v>
      </c>
      <c r="J171" s="1" t="s">
        <v>16</v>
      </c>
      <c r="K171" s="1">
        <v>22</v>
      </c>
      <c r="L171" s="1">
        <v>21.86</v>
      </c>
      <c r="M171" s="1">
        <f t="shared" si="18"/>
        <v>21.86</v>
      </c>
      <c r="N171" s="7">
        <f t="shared" si="16"/>
        <v>42464</v>
      </c>
      <c r="O171" s="1">
        <v>1067000</v>
      </c>
      <c r="P171" s="26">
        <f t="shared" si="19"/>
        <v>1060210</v>
      </c>
      <c r="Q171" s="173">
        <v>42486</v>
      </c>
      <c r="R171" s="40">
        <v>42487</v>
      </c>
      <c r="S171" s="187">
        <f t="shared" si="17"/>
        <v>23</v>
      </c>
    </row>
    <row r="172" spans="1:20" s="3" customFormat="1" hidden="1" x14ac:dyDescent="0.25">
      <c r="A172" s="84">
        <f>+closed!A269+1</f>
        <v>179</v>
      </c>
      <c r="B172" s="24">
        <v>42457</v>
      </c>
      <c r="C172" s="1">
        <v>114</v>
      </c>
      <c r="D172" s="1">
        <v>3000029196</v>
      </c>
      <c r="E172" s="1" t="s">
        <v>30</v>
      </c>
      <c r="F172" s="1">
        <v>813</v>
      </c>
      <c r="G172" s="25">
        <v>42449</v>
      </c>
      <c r="H172" s="25"/>
      <c r="I172" s="25">
        <v>42451</v>
      </c>
      <c r="J172" s="1" t="s">
        <v>31</v>
      </c>
      <c r="K172" s="1">
        <v>29.92</v>
      </c>
      <c r="L172" s="1">
        <v>29.82</v>
      </c>
      <c r="M172" s="1">
        <f t="shared" si="18"/>
        <v>29.82</v>
      </c>
      <c r="N172" s="7">
        <f t="shared" si="16"/>
        <v>42465</v>
      </c>
      <c r="O172" s="1">
        <v>1394273</v>
      </c>
      <c r="P172" s="26">
        <f t="shared" si="19"/>
        <v>1389612.9966577541</v>
      </c>
      <c r="Q172" s="173">
        <v>42486</v>
      </c>
      <c r="R172" s="40">
        <v>42487</v>
      </c>
      <c r="S172" s="185">
        <f t="shared" si="17"/>
        <v>22</v>
      </c>
    </row>
    <row r="173" spans="1:20" s="3" customFormat="1" hidden="1" x14ac:dyDescent="0.25">
      <c r="A173" s="84">
        <f>+closed!A172+1</f>
        <v>180</v>
      </c>
      <c r="B173" s="24">
        <v>42457</v>
      </c>
      <c r="C173" s="1">
        <v>114</v>
      </c>
      <c r="D173" s="1">
        <v>3000029196</v>
      </c>
      <c r="E173" s="1" t="s">
        <v>30</v>
      </c>
      <c r="F173" s="1">
        <v>814</v>
      </c>
      <c r="G173" s="25">
        <v>42449</v>
      </c>
      <c r="H173" s="25"/>
      <c r="I173" s="25">
        <v>42452</v>
      </c>
      <c r="J173" s="1" t="s">
        <v>31</v>
      </c>
      <c r="K173" s="1">
        <v>28.62</v>
      </c>
      <c r="L173" s="1">
        <v>28.53</v>
      </c>
      <c r="M173" s="1">
        <f t="shared" si="18"/>
        <v>28.53</v>
      </c>
      <c r="N173" s="7">
        <f t="shared" si="16"/>
        <v>42466</v>
      </c>
      <c r="O173" s="1">
        <v>1333696</v>
      </c>
      <c r="P173" s="26">
        <f t="shared" si="19"/>
        <v>1329501.9874213836</v>
      </c>
      <c r="Q173" s="173">
        <v>42486</v>
      </c>
      <c r="R173" s="40">
        <v>42487</v>
      </c>
      <c r="S173" s="185">
        <f t="shared" si="17"/>
        <v>21</v>
      </c>
    </row>
    <row r="174" spans="1:20" s="3" customFormat="1" hidden="1" x14ac:dyDescent="0.25">
      <c r="A174" s="84">
        <f>+closed!A298+1</f>
        <v>193</v>
      </c>
      <c r="B174" s="24">
        <v>42459</v>
      </c>
      <c r="C174" s="1">
        <v>114</v>
      </c>
      <c r="D174" s="1">
        <v>3000029196</v>
      </c>
      <c r="E174" s="1" t="s">
        <v>30</v>
      </c>
      <c r="F174" s="1">
        <v>825</v>
      </c>
      <c r="G174" s="25">
        <v>42452</v>
      </c>
      <c r="H174" s="25"/>
      <c r="I174" s="25">
        <v>42456</v>
      </c>
      <c r="J174" s="1" t="s">
        <v>31</v>
      </c>
      <c r="K174" s="1">
        <v>28.64</v>
      </c>
      <c r="L174" s="1">
        <v>28.53</v>
      </c>
      <c r="M174" s="1">
        <f t="shared" si="18"/>
        <v>28.53</v>
      </c>
      <c r="N174" s="7">
        <f t="shared" si="16"/>
        <v>42470</v>
      </c>
      <c r="O174" s="1">
        <v>1334625</v>
      </c>
      <c r="P174" s="26">
        <f t="shared" si="19"/>
        <v>1329498.996159218</v>
      </c>
      <c r="Q174" s="173">
        <v>42486</v>
      </c>
      <c r="R174" s="40">
        <v>42487</v>
      </c>
      <c r="S174" s="185">
        <f t="shared" si="17"/>
        <v>17</v>
      </c>
    </row>
    <row r="175" spans="1:20" s="3" customFormat="1" hidden="1" x14ac:dyDescent="0.25">
      <c r="A175" s="84">
        <f>+closed!A202+1</f>
        <v>171</v>
      </c>
      <c r="B175" s="24">
        <v>42457</v>
      </c>
      <c r="C175" s="1">
        <v>114</v>
      </c>
      <c r="D175" s="1">
        <v>3000027390</v>
      </c>
      <c r="E175" s="1" t="s">
        <v>18</v>
      </c>
      <c r="F175" s="16">
        <v>237</v>
      </c>
      <c r="G175" s="25">
        <v>42443</v>
      </c>
      <c r="H175" s="25"/>
      <c r="I175" s="25">
        <v>42452</v>
      </c>
      <c r="J175" s="1" t="s">
        <v>16</v>
      </c>
      <c r="K175" s="1">
        <v>35.704999999999998</v>
      </c>
      <c r="L175" s="1">
        <v>35.704999999999998</v>
      </c>
      <c r="M175" s="1">
        <f t="shared" si="18"/>
        <v>35.704999999999998</v>
      </c>
      <c r="N175" s="7">
        <f t="shared" si="16"/>
        <v>42466</v>
      </c>
      <c r="O175" s="1">
        <v>1403207</v>
      </c>
      <c r="P175" s="26">
        <f t="shared" si="19"/>
        <v>1403207</v>
      </c>
      <c r="Q175" s="173">
        <v>42486</v>
      </c>
      <c r="R175" s="40">
        <v>42487</v>
      </c>
      <c r="S175" s="187">
        <f t="shared" si="17"/>
        <v>21</v>
      </c>
    </row>
    <row r="176" spans="1:20" s="3" customFormat="1" hidden="1" x14ac:dyDescent="0.25">
      <c r="A176" s="84">
        <f>+A175+1</f>
        <v>172</v>
      </c>
      <c r="B176" s="24">
        <v>42457</v>
      </c>
      <c r="C176" s="1">
        <v>114</v>
      </c>
      <c r="D176" s="1">
        <v>3000029060</v>
      </c>
      <c r="E176" s="1" t="s">
        <v>18</v>
      </c>
      <c r="F176" s="16">
        <v>237</v>
      </c>
      <c r="G176" s="25">
        <v>42443</v>
      </c>
      <c r="H176" s="25"/>
      <c r="I176" s="25">
        <v>42452</v>
      </c>
      <c r="J176" s="1" t="s">
        <v>16</v>
      </c>
      <c r="K176" s="1">
        <v>1</v>
      </c>
      <c r="L176" s="1">
        <v>0.94499999999999995</v>
      </c>
      <c r="M176" s="1">
        <f t="shared" si="18"/>
        <v>0.94499999999999995</v>
      </c>
      <c r="N176" s="7">
        <f t="shared" si="16"/>
        <v>42466</v>
      </c>
      <c r="O176" s="1">
        <v>48000</v>
      </c>
      <c r="P176" s="26">
        <f t="shared" si="19"/>
        <v>45360</v>
      </c>
      <c r="Q176" s="173">
        <v>42486</v>
      </c>
      <c r="R176" s="40">
        <v>42487</v>
      </c>
      <c r="S176" s="187">
        <f t="shared" si="17"/>
        <v>21</v>
      </c>
    </row>
    <row r="177" spans="1:19" s="3" customFormat="1" hidden="1" x14ac:dyDescent="0.25">
      <c r="A177" s="84">
        <f>+closed!A173+1</f>
        <v>181</v>
      </c>
      <c r="B177" s="24">
        <v>42457</v>
      </c>
      <c r="C177" s="1">
        <v>114</v>
      </c>
      <c r="D177" s="1">
        <v>3000028082</v>
      </c>
      <c r="E177" s="1" t="s">
        <v>17</v>
      </c>
      <c r="F177" s="1">
        <v>142</v>
      </c>
      <c r="G177" s="25">
        <v>42450</v>
      </c>
      <c r="H177" s="25"/>
      <c r="I177" s="25">
        <v>42452</v>
      </c>
      <c r="J177" s="1" t="s">
        <v>8</v>
      </c>
      <c r="K177" s="1">
        <v>4.1950000000000003</v>
      </c>
      <c r="L177" s="1">
        <v>4.1950000000000003</v>
      </c>
      <c r="M177" s="1">
        <f t="shared" si="18"/>
        <v>4.1950000000000003</v>
      </c>
      <c r="N177" s="7">
        <f t="shared" si="16"/>
        <v>42466</v>
      </c>
      <c r="O177" s="1">
        <v>180385</v>
      </c>
      <c r="P177" s="26">
        <f t="shared" si="19"/>
        <v>180385</v>
      </c>
      <c r="Q177" s="173">
        <v>42486</v>
      </c>
      <c r="R177" s="40">
        <v>42487</v>
      </c>
      <c r="S177" s="187">
        <f t="shared" si="17"/>
        <v>21</v>
      </c>
    </row>
    <row r="178" spans="1:19" s="3" customFormat="1" hidden="1" x14ac:dyDescent="0.25">
      <c r="A178" s="84">
        <f>+A177+1</f>
        <v>182</v>
      </c>
      <c r="B178" s="24">
        <v>42457</v>
      </c>
      <c r="C178" s="1">
        <v>114</v>
      </c>
      <c r="D178" s="1">
        <v>3000028081</v>
      </c>
      <c r="E178" s="1" t="s">
        <v>17</v>
      </c>
      <c r="F178" s="1">
        <v>143</v>
      </c>
      <c r="G178" s="25">
        <v>42450</v>
      </c>
      <c r="H178" s="25"/>
      <c r="I178" s="25">
        <v>42452</v>
      </c>
      <c r="J178" s="1" t="s">
        <v>8</v>
      </c>
      <c r="K178" s="1">
        <v>24</v>
      </c>
      <c r="L178" s="1">
        <v>23.934999999999999</v>
      </c>
      <c r="M178" s="1">
        <f t="shared" si="18"/>
        <v>23.934999999999999</v>
      </c>
      <c r="N178" s="7">
        <f t="shared" si="16"/>
        <v>42466</v>
      </c>
      <c r="O178" s="1">
        <v>1032000</v>
      </c>
      <c r="P178" s="26">
        <f t="shared" si="19"/>
        <v>1029205</v>
      </c>
      <c r="Q178" s="173">
        <v>42486</v>
      </c>
      <c r="R178" s="40">
        <v>42487</v>
      </c>
      <c r="S178" s="187">
        <f t="shared" si="17"/>
        <v>21</v>
      </c>
    </row>
    <row r="179" spans="1:19" s="3" customFormat="1" hidden="1" x14ac:dyDescent="0.25">
      <c r="A179" s="84">
        <f>+closed!A178+1</f>
        <v>183</v>
      </c>
      <c r="B179" s="24">
        <v>42457</v>
      </c>
      <c r="C179" s="1">
        <v>114</v>
      </c>
      <c r="D179" s="1">
        <v>3000028337</v>
      </c>
      <c r="E179" s="1" t="s">
        <v>24</v>
      </c>
      <c r="F179" s="1">
        <v>248</v>
      </c>
      <c r="G179" s="25">
        <v>42447</v>
      </c>
      <c r="H179" s="25"/>
      <c r="I179" s="25">
        <v>42453</v>
      </c>
      <c r="J179" s="1" t="s">
        <v>16</v>
      </c>
      <c r="K179" s="1">
        <v>11.02</v>
      </c>
      <c r="L179" s="1">
        <v>10.94</v>
      </c>
      <c r="M179" s="1">
        <f t="shared" si="18"/>
        <v>10.94</v>
      </c>
      <c r="N179" s="7">
        <f t="shared" si="16"/>
        <v>42467</v>
      </c>
      <c r="O179" s="1">
        <v>534470</v>
      </c>
      <c r="P179" s="26">
        <f t="shared" si="19"/>
        <v>530590</v>
      </c>
      <c r="Q179" s="173">
        <v>42486</v>
      </c>
      <c r="R179" s="40">
        <v>42487</v>
      </c>
      <c r="S179" s="187">
        <f t="shared" si="17"/>
        <v>20</v>
      </c>
    </row>
    <row r="180" spans="1:19" s="3" customFormat="1" hidden="1" x14ac:dyDescent="0.25">
      <c r="A180" s="84">
        <f>+closed!A110+1</f>
        <v>189</v>
      </c>
      <c r="B180" s="24">
        <v>42459</v>
      </c>
      <c r="C180" s="1">
        <v>114</v>
      </c>
      <c r="D180" s="1">
        <v>3000028249</v>
      </c>
      <c r="E180" s="39" t="s">
        <v>49</v>
      </c>
      <c r="F180" s="1">
        <v>11</v>
      </c>
      <c r="G180" s="25">
        <v>42453</v>
      </c>
      <c r="H180" s="25"/>
      <c r="I180" s="25">
        <v>42457</v>
      </c>
      <c r="J180" s="1" t="s">
        <v>8</v>
      </c>
      <c r="K180" s="1">
        <v>30.15</v>
      </c>
      <c r="L180" s="1">
        <v>30.08</v>
      </c>
      <c r="M180" s="1">
        <f t="shared" si="18"/>
        <v>30.08</v>
      </c>
      <c r="N180" s="7">
        <f t="shared" si="16"/>
        <v>42471</v>
      </c>
      <c r="O180" s="1">
        <v>1353735</v>
      </c>
      <c r="P180" s="26">
        <f t="shared" si="19"/>
        <v>1350592</v>
      </c>
      <c r="Q180" s="173">
        <v>42486</v>
      </c>
      <c r="R180" s="40">
        <v>42487</v>
      </c>
      <c r="S180" s="185">
        <f t="shared" si="17"/>
        <v>16</v>
      </c>
    </row>
    <row r="181" spans="1:19" s="3" customFormat="1" hidden="1" x14ac:dyDescent="0.25">
      <c r="A181" s="84">
        <f>+closed!A224+1</f>
        <v>232</v>
      </c>
      <c r="B181" s="24">
        <v>42466</v>
      </c>
      <c r="C181" s="1">
        <v>114</v>
      </c>
      <c r="D181" s="1">
        <v>3000028337</v>
      </c>
      <c r="E181" s="1" t="s">
        <v>24</v>
      </c>
      <c r="F181" s="1">
        <v>1</v>
      </c>
      <c r="G181" s="25">
        <v>42461</v>
      </c>
      <c r="H181" s="25"/>
      <c r="I181" s="25">
        <v>42463</v>
      </c>
      <c r="J181" s="1" t="s">
        <v>16</v>
      </c>
      <c r="K181" s="1">
        <v>27.024999999999999</v>
      </c>
      <c r="L181" s="1">
        <v>26.84</v>
      </c>
      <c r="M181" s="1">
        <f t="shared" si="18"/>
        <v>26.84</v>
      </c>
      <c r="N181" s="7">
        <f t="shared" si="16"/>
        <v>42477</v>
      </c>
      <c r="O181" s="1">
        <v>1310713</v>
      </c>
      <c r="P181" s="26">
        <f t="shared" si="19"/>
        <v>1301740.4965772433</v>
      </c>
      <c r="Q181" s="173">
        <v>42486</v>
      </c>
      <c r="R181" s="40">
        <v>42487</v>
      </c>
      <c r="S181" s="185">
        <f t="shared" si="17"/>
        <v>10</v>
      </c>
    </row>
    <row r="182" spans="1:19" s="3" customFormat="1" hidden="1" x14ac:dyDescent="0.25">
      <c r="A182" s="95">
        <f>+closed!A114+1</f>
        <v>130</v>
      </c>
      <c r="B182" s="42">
        <v>42444</v>
      </c>
      <c r="C182" s="39">
        <v>114</v>
      </c>
      <c r="D182" s="39">
        <v>3000028097</v>
      </c>
      <c r="E182" s="39" t="s">
        <v>15</v>
      </c>
      <c r="F182" s="39">
        <v>2883</v>
      </c>
      <c r="G182" s="43">
        <v>42434</v>
      </c>
      <c r="H182" s="43"/>
      <c r="I182" s="43">
        <v>42441</v>
      </c>
      <c r="J182" s="39" t="s">
        <v>8</v>
      </c>
      <c r="K182" s="39">
        <v>19.39</v>
      </c>
      <c r="L182" s="39">
        <v>19.27</v>
      </c>
      <c r="M182" s="39">
        <f t="shared" si="18"/>
        <v>19.27</v>
      </c>
      <c r="N182" s="40">
        <f t="shared" si="16"/>
        <v>42455</v>
      </c>
      <c r="O182" s="39">
        <v>833770</v>
      </c>
      <c r="P182" s="29">
        <f t="shared" si="19"/>
        <v>828610</v>
      </c>
      <c r="Q182" s="173">
        <v>42487</v>
      </c>
      <c r="R182" s="40">
        <v>42487</v>
      </c>
      <c r="S182" s="185">
        <f t="shared" si="17"/>
        <v>32</v>
      </c>
    </row>
    <row r="183" spans="1:19" s="3" customFormat="1" hidden="1" x14ac:dyDescent="0.25">
      <c r="A183" s="95">
        <f>+closed!A162+1</f>
        <v>132</v>
      </c>
      <c r="B183" s="42">
        <v>42444</v>
      </c>
      <c r="C183" s="39">
        <v>114</v>
      </c>
      <c r="D183" s="39">
        <v>3000028097</v>
      </c>
      <c r="E183" s="39" t="s">
        <v>15</v>
      </c>
      <c r="F183" s="39">
        <v>2889</v>
      </c>
      <c r="G183" s="43">
        <v>42437</v>
      </c>
      <c r="H183" s="43"/>
      <c r="I183" s="43">
        <v>42440</v>
      </c>
      <c r="J183" s="39" t="s">
        <v>8</v>
      </c>
      <c r="K183" s="39">
        <v>14.8</v>
      </c>
      <c r="L183" s="39">
        <v>14.8</v>
      </c>
      <c r="M183" s="39">
        <f t="shared" si="18"/>
        <v>14.8</v>
      </c>
      <c r="N183" s="40">
        <f t="shared" si="16"/>
        <v>42454</v>
      </c>
      <c r="O183" s="39">
        <v>636400</v>
      </c>
      <c r="P183" s="29">
        <f t="shared" si="19"/>
        <v>636400</v>
      </c>
      <c r="Q183" s="173">
        <v>42487</v>
      </c>
      <c r="R183" s="40">
        <v>42487</v>
      </c>
      <c r="S183" s="185">
        <f t="shared" si="17"/>
        <v>33</v>
      </c>
    </row>
    <row r="184" spans="1:19" s="3" customFormat="1" hidden="1" x14ac:dyDescent="0.25">
      <c r="A184" s="95">
        <f>+closed!A183+1</f>
        <v>133</v>
      </c>
      <c r="B184" s="42">
        <v>42444</v>
      </c>
      <c r="C184" s="39">
        <v>114</v>
      </c>
      <c r="D184" s="39">
        <v>3000028259</v>
      </c>
      <c r="E184" s="39" t="s">
        <v>15</v>
      </c>
      <c r="F184" s="39">
        <v>2889</v>
      </c>
      <c r="G184" s="43">
        <v>42437</v>
      </c>
      <c r="H184" s="43"/>
      <c r="I184" s="43">
        <v>42440</v>
      </c>
      <c r="J184" s="39" t="s">
        <v>8</v>
      </c>
      <c r="K184" s="39">
        <v>13</v>
      </c>
      <c r="L184" s="39">
        <v>12.86</v>
      </c>
      <c r="M184" s="39">
        <f t="shared" si="18"/>
        <v>12.86</v>
      </c>
      <c r="N184" s="40">
        <f t="shared" si="16"/>
        <v>42454</v>
      </c>
      <c r="O184" s="39">
        <v>583700</v>
      </c>
      <c r="P184" s="29">
        <f t="shared" si="19"/>
        <v>577414</v>
      </c>
      <c r="Q184" s="173">
        <v>42487</v>
      </c>
      <c r="R184" s="40">
        <v>42487</v>
      </c>
      <c r="S184" s="185">
        <f t="shared" si="17"/>
        <v>33</v>
      </c>
    </row>
    <row r="185" spans="1:19" s="3" customFormat="1" hidden="1" x14ac:dyDescent="0.25">
      <c r="A185" s="84">
        <f>+closed!A163+1</f>
        <v>150</v>
      </c>
      <c r="B185" s="24">
        <v>42450</v>
      </c>
      <c r="C185" s="1">
        <v>114</v>
      </c>
      <c r="D185" s="1">
        <v>3000027513</v>
      </c>
      <c r="E185" s="1" t="s">
        <v>15</v>
      </c>
      <c r="F185" s="1">
        <v>2879</v>
      </c>
      <c r="G185" s="25">
        <v>42429</v>
      </c>
      <c r="H185" s="25"/>
      <c r="I185" s="25">
        <v>42443</v>
      </c>
      <c r="J185" s="1" t="s">
        <v>16</v>
      </c>
      <c r="K185" s="1">
        <v>8</v>
      </c>
      <c r="L185" s="1">
        <v>8</v>
      </c>
      <c r="M185" s="1">
        <f t="shared" si="18"/>
        <v>8</v>
      </c>
      <c r="N185" s="7">
        <f t="shared" si="16"/>
        <v>42457</v>
      </c>
      <c r="O185" s="1">
        <v>323200</v>
      </c>
      <c r="P185" s="26">
        <f t="shared" si="19"/>
        <v>323200</v>
      </c>
      <c r="Q185" s="173">
        <v>42487</v>
      </c>
      <c r="R185" s="40">
        <v>42487</v>
      </c>
      <c r="S185" s="185">
        <f t="shared" si="17"/>
        <v>30</v>
      </c>
    </row>
    <row r="186" spans="1:19" s="3" customFormat="1" hidden="1" x14ac:dyDescent="0.25">
      <c r="A186" s="84">
        <f>+A185+1</f>
        <v>151</v>
      </c>
      <c r="B186" s="24">
        <v>42450</v>
      </c>
      <c r="C186" s="1">
        <v>114</v>
      </c>
      <c r="D186" s="1">
        <v>3000028104</v>
      </c>
      <c r="E186" s="1" t="s">
        <v>15</v>
      </c>
      <c r="F186" s="1">
        <v>2879</v>
      </c>
      <c r="G186" s="25">
        <v>42429</v>
      </c>
      <c r="H186" s="25"/>
      <c r="I186" s="25">
        <v>42443</v>
      </c>
      <c r="J186" s="1" t="s">
        <v>16</v>
      </c>
      <c r="K186" s="1">
        <v>11.55</v>
      </c>
      <c r="L186" s="1">
        <v>11.47</v>
      </c>
      <c r="M186" s="1">
        <f t="shared" si="18"/>
        <v>11.47</v>
      </c>
      <c r="N186" s="7">
        <f t="shared" si="16"/>
        <v>42457</v>
      </c>
      <c r="O186" s="1">
        <v>516285</v>
      </c>
      <c r="P186" s="26">
        <f t="shared" si="19"/>
        <v>512709</v>
      </c>
      <c r="Q186" s="173">
        <v>42487</v>
      </c>
      <c r="R186" s="40">
        <v>42487</v>
      </c>
      <c r="S186" s="185">
        <f t="shared" si="17"/>
        <v>30</v>
      </c>
    </row>
    <row r="187" spans="1:19" s="3" customFormat="1" hidden="1" x14ac:dyDescent="0.25">
      <c r="A187" s="84">
        <f>+closed!A189+1</f>
        <v>298</v>
      </c>
      <c r="B187" s="24">
        <v>42474</v>
      </c>
      <c r="C187" s="1">
        <v>114</v>
      </c>
      <c r="D187" s="1"/>
      <c r="E187" s="1" t="s">
        <v>64</v>
      </c>
      <c r="F187" s="1" t="s">
        <v>93</v>
      </c>
      <c r="G187" s="25">
        <v>42440</v>
      </c>
      <c r="H187" s="25"/>
      <c r="I187" s="25">
        <v>42440</v>
      </c>
      <c r="J187" s="1"/>
      <c r="K187" s="1"/>
      <c r="L187" s="1"/>
      <c r="M187" s="1"/>
      <c r="N187" s="7">
        <f t="shared" si="16"/>
        <v>42454</v>
      </c>
      <c r="O187" s="1">
        <v>5389</v>
      </c>
      <c r="P187" s="6">
        <f>(O187- (O187*10%))</f>
        <v>4850.1000000000004</v>
      </c>
      <c r="Q187" s="173">
        <v>42487</v>
      </c>
      <c r="R187" s="40">
        <v>42487</v>
      </c>
      <c r="S187" s="185">
        <f t="shared" si="17"/>
        <v>33</v>
      </c>
    </row>
    <row r="188" spans="1:19" s="3" customFormat="1" hidden="1" x14ac:dyDescent="0.25">
      <c r="A188" s="84">
        <f>+closed!A279+1</f>
        <v>296</v>
      </c>
      <c r="B188" s="24">
        <v>42474</v>
      </c>
      <c r="C188" s="1">
        <v>114</v>
      </c>
      <c r="D188" s="1"/>
      <c r="E188" s="1" t="s">
        <v>64</v>
      </c>
      <c r="F188" s="1" t="s">
        <v>91</v>
      </c>
      <c r="G188" s="25">
        <v>42441</v>
      </c>
      <c r="H188" s="25"/>
      <c r="I188" s="25">
        <v>42441</v>
      </c>
      <c r="J188" s="1"/>
      <c r="K188" s="1"/>
      <c r="L188" s="1"/>
      <c r="M188" s="1"/>
      <c r="N188" s="7">
        <f t="shared" ref="N188:N219" si="20">+I188+15-1</f>
        <v>42455</v>
      </c>
      <c r="O188" s="1">
        <v>8905</v>
      </c>
      <c r="P188" s="6">
        <f>(O188- (O188*10%))</f>
        <v>8014.5</v>
      </c>
      <c r="Q188" s="173">
        <v>42487</v>
      </c>
      <c r="R188" s="40">
        <v>42487</v>
      </c>
      <c r="S188" s="185">
        <f t="shared" ref="S188:S219" si="21">R188-N188</f>
        <v>32</v>
      </c>
    </row>
    <row r="189" spans="1:19" s="3" customFormat="1" hidden="1" x14ac:dyDescent="0.25">
      <c r="A189" s="84">
        <f>+closed!A188+1</f>
        <v>297</v>
      </c>
      <c r="B189" s="24">
        <v>42474</v>
      </c>
      <c r="C189" s="1">
        <v>114</v>
      </c>
      <c r="D189" s="1"/>
      <c r="E189" s="1" t="s">
        <v>64</v>
      </c>
      <c r="F189" s="1" t="s">
        <v>92</v>
      </c>
      <c r="G189" s="25">
        <v>42444</v>
      </c>
      <c r="H189" s="25"/>
      <c r="I189" s="25">
        <v>42444</v>
      </c>
      <c r="J189" s="1"/>
      <c r="K189" s="1"/>
      <c r="L189" s="1"/>
      <c r="M189" s="1"/>
      <c r="N189" s="7">
        <f t="shared" si="20"/>
        <v>42458</v>
      </c>
      <c r="O189" s="1">
        <v>5769</v>
      </c>
      <c r="P189" s="6">
        <f>(O189- (O189*10%))</f>
        <v>5192.1000000000004</v>
      </c>
      <c r="Q189" s="173">
        <v>42487</v>
      </c>
      <c r="R189" s="40">
        <v>42487</v>
      </c>
      <c r="S189" s="185">
        <f t="shared" si="21"/>
        <v>29</v>
      </c>
    </row>
    <row r="190" spans="1:19" s="3" customFormat="1" hidden="1" x14ac:dyDescent="0.25">
      <c r="A190" s="84">
        <f>+closed!A117+1</f>
        <v>156</v>
      </c>
      <c r="B190" s="24">
        <v>42451</v>
      </c>
      <c r="C190" s="1">
        <v>114</v>
      </c>
      <c r="D190" s="1">
        <v>3000028669</v>
      </c>
      <c r="E190" s="1" t="s">
        <v>37</v>
      </c>
      <c r="F190" s="1">
        <v>293</v>
      </c>
      <c r="G190" s="25">
        <v>42441</v>
      </c>
      <c r="H190" s="25"/>
      <c r="I190" s="25">
        <v>42447</v>
      </c>
      <c r="J190" s="1" t="s">
        <v>8</v>
      </c>
      <c r="K190" s="1">
        <v>27.36</v>
      </c>
      <c r="L190" s="1">
        <v>27.23</v>
      </c>
      <c r="M190" s="1">
        <f>IF(L190&gt;K190,K190,L190)</f>
        <v>27.23</v>
      </c>
      <c r="N190" s="7">
        <f t="shared" si="20"/>
        <v>42461</v>
      </c>
      <c r="O190" s="1">
        <v>1264032</v>
      </c>
      <c r="P190" s="26">
        <f>(+O190/K190*M190)</f>
        <v>1258026</v>
      </c>
      <c r="Q190" s="173">
        <v>42487</v>
      </c>
      <c r="R190" s="40">
        <v>42487</v>
      </c>
      <c r="S190" s="185">
        <f t="shared" si="21"/>
        <v>26</v>
      </c>
    </row>
    <row r="191" spans="1:19" s="3" customFormat="1" hidden="1" x14ac:dyDescent="0.25">
      <c r="A191" s="84">
        <f>+closed!A171+1</f>
        <v>175</v>
      </c>
      <c r="B191" s="24">
        <v>42457</v>
      </c>
      <c r="C191" s="1">
        <v>114</v>
      </c>
      <c r="D191" s="1">
        <v>3000028030</v>
      </c>
      <c r="E191" s="1" t="s">
        <v>37</v>
      </c>
      <c r="F191" s="16">
        <v>294</v>
      </c>
      <c r="G191" s="25">
        <v>42443</v>
      </c>
      <c r="H191" s="25"/>
      <c r="I191" s="25">
        <v>42449</v>
      </c>
      <c r="J191" s="1" t="s">
        <v>16</v>
      </c>
      <c r="K191" s="1">
        <v>15</v>
      </c>
      <c r="L191" s="1">
        <v>15</v>
      </c>
      <c r="M191" s="1">
        <f>IF(L191&gt;K191,K191,L191)</f>
        <v>15</v>
      </c>
      <c r="N191" s="7">
        <f t="shared" si="20"/>
        <v>42463</v>
      </c>
      <c r="O191" s="1">
        <v>606000</v>
      </c>
      <c r="P191" s="26">
        <f>(+O191/K191*M191)</f>
        <v>606000</v>
      </c>
      <c r="Q191" s="173">
        <v>42487</v>
      </c>
      <c r="R191" s="40">
        <v>42487</v>
      </c>
      <c r="S191" s="185">
        <f t="shared" si="21"/>
        <v>24</v>
      </c>
    </row>
    <row r="192" spans="1:19" s="3" customFormat="1" hidden="1" x14ac:dyDescent="0.25">
      <c r="A192" s="84">
        <f>+A191+1</f>
        <v>176</v>
      </c>
      <c r="B192" s="24">
        <v>42457</v>
      </c>
      <c r="C192" s="1">
        <v>114</v>
      </c>
      <c r="D192" s="1">
        <v>3000028631</v>
      </c>
      <c r="E192" s="1" t="s">
        <v>37</v>
      </c>
      <c r="F192" s="16">
        <v>294</v>
      </c>
      <c r="G192" s="25">
        <v>42443</v>
      </c>
      <c r="H192" s="25"/>
      <c r="I192" s="25">
        <v>42449</v>
      </c>
      <c r="J192" s="1" t="s">
        <v>16</v>
      </c>
      <c r="K192" s="1">
        <v>14.21</v>
      </c>
      <c r="L192" s="1">
        <v>14.02</v>
      </c>
      <c r="M192" s="1">
        <f>IF(L192&gt;K192,K192,L192)</f>
        <v>14.02</v>
      </c>
      <c r="N192" s="7">
        <f t="shared" si="20"/>
        <v>42463</v>
      </c>
      <c r="O192" s="1">
        <v>682079</v>
      </c>
      <c r="P192" s="26">
        <f>(+O192/K192*M192)</f>
        <v>672959.01337086561</v>
      </c>
      <c r="Q192" s="173">
        <v>42487</v>
      </c>
      <c r="R192" s="40">
        <v>42487</v>
      </c>
      <c r="S192" s="185">
        <f t="shared" si="21"/>
        <v>24</v>
      </c>
    </row>
    <row r="193" spans="1:19" s="3" customFormat="1" hidden="1" x14ac:dyDescent="0.25">
      <c r="A193" s="84">
        <f>+closed!A186+1</f>
        <v>152</v>
      </c>
      <c r="B193" s="24">
        <v>42451</v>
      </c>
      <c r="C193" s="1">
        <v>114</v>
      </c>
      <c r="D193" s="1">
        <v>3000028881</v>
      </c>
      <c r="E193" s="1" t="s">
        <v>27</v>
      </c>
      <c r="F193" s="17">
        <v>789</v>
      </c>
      <c r="G193" s="25">
        <v>42434</v>
      </c>
      <c r="H193" s="25"/>
      <c r="I193" s="25">
        <v>42444</v>
      </c>
      <c r="J193" s="1" t="s">
        <v>8</v>
      </c>
      <c r="K193" s="1">
        <v>23</v>
      </c>
      <c r="L193" s="1">
        <v>23</v>
      </c>
      <c r="M193" s="1">
        <f>IF(L193&gt;K193,K193,L193)</f>
        <v>23</v>
      </c>
      <c r="N193" s="7">
        <f t="shared" si="20"/>
        <v>42458</v>
      </c>
      <c r="O193" s="1">
        <v>1032000</v>
      </c>
      <c r="P193" s="26">
        <f>(+O193/K193*M193)</f>
        <v>1032000</v>
      </c>
      <c r="Q193" s="173">
        <v>42487</v>
      </c>
      <c r="R193" s="40">
        <v>42487</v>
      </c>
      <c r="S193" s="185">
        <f t="shared" si="21"/>
        <v>29</v>
      </c>
    </row>
    <row r="194" spans="1:19" s="3" customFormat="1" hidden="1" x14ac:dyDescent="0.25">
      <c r="A194" s="84">
        <f>+A193+1</f>
        <v>153</v>
      </c>
      <c r="B194" s="24">
        <v>42451</v>
      </c>
      <c r="C194" s="1">
        <v>114</v>
      </c>
      <c r="D194" s="1">
        <v>3000028665</v>
      </c>
      <c r="E194" s="1" t="s">
        <v>27</v>
      </c>
      <c r="F194" s="17">
        <v>789</v>
      </c>
      <c r="G194" s="25">
        <v>42434</v>
      </c>
      <c r="H194" s="25"/>
      <c r="I194" s="25">
        <v>42444</v>
      </c>
      <c r="J194" s="1" t="s">
        <v>8</v>
      </c>
      <c r="K194" s="1">
        <v>6.52</v>
      </c>
      <c r="L194" s="1">
        <v>6.38</v>
      </c>
      <c r="M194" s="1">
        <f>IF(L194&gt;K194,K194,L194)</f>
        <v>6.38</v>
      </c>
      <c r="N194" s="7">
        <f t="shared" si="20"/>
        <v>42458</v>
      </c>
      <c r="O194" s="1">
        <v>301224</v>
      </c>
      <c r="P194" s="26">
        <f>(+O194/K194*M194)</f>
        <v>294756</v>
      </c>
      <c r="Q194" s="173">
        <v>42487</v>
      </c>
      <c r="R194" s="40">
        <v>42487</v>
      </c>
      <c r="S194" s="185">
        <f t="shared" si="21"/>
        <v>29</v>
      </c>
    </row>
    <row r="195" spans="1:19" s="3" customFormat="1" hidden="1" x14ac:dyDescent="0.25">
      <c r="A195" s="84">
        <f>+closed!A267+1</f>
        <v>220</v>
      </c>
      <c r="B195" s="24">
        <v>42465</v>
      </c>
      <c r="C195" s="1">
        <v>114</v>
      </c>
      <c r="D195" s="1">
        <v>3000027934</v>
      </c>
      <c r="E195" s="1" t="s">
        <v>29</v>
      </c>
      <c r="F195" s="20" t="s">
        <v>75</v>
      </c>
      <c r="G195" s="25">
        <v>42465</v>
      </c>
      <c r="H195" s="25"/>
      <c r="I195" s="25">
        <v>42445</v>
      </c>
      <c r="J195" s="1" t="s">
        <v>8</v>
      </c>
      <c r="K195" s="1"/>
      <c r="L195" s="1"/>
      <c r="M195" s="1"/>
      <c r="N195" s="7">
        <f t="shared" si="20"/>
        <v>42459</v>
      </c>
      <c r="O195" s="1">
        <v>10610</v>
      </c>
      <c r="P195" s="26"/>
      <c r="Q195" s="173">
        <v>42487</v>
      </c>
      <c r="R195" s="40">
        <v>42487</v>
      </c>
      <c r="S195" s="185">
        <f t="shared" si="21"/>
        <v>28</v>
      </c>
    </row>
    <row r="196" spans="1:19" s="3" customFormat="1" hidden="1" x14ac:dyDescent="0.25">
      <c r="A196" s="84">
        <f>+A195+1</f>
        <v>221</v>
      </c>
      <c r="B196" s="24">
        <v>42465</v>
      </c>
      <c r="C196" s="1">
        <v>114</v>
      </c>
      <c r="D196" s="1">
        <v>3000027934</v>
      </c>
      <c r="E196" s="1" t="s">
        <v>29</v>
      </c>
      <c r="F196" s="1">
        <v>391</v>
      </c>
      <c r="G196" s="25">
        <v>42429</v>
      </c>
      <c r="H196" s="25"/>
      <c r="I196" s="25">
        <v>42445</v>
      </c>
      <c r="J196" s="1" t="s">
        <v>8</v>
      </c>
      <c r="K196" s="1">
        <v>29.065000000000001</v>
      </c>
      <c r="L196" s="1">
        <v>28.99</v>
      </c>
      <c r="M196" s="1">
        <f t="shared" ref="M196:M229" si="22">IF(L196&gt;K196,K196,L196)</f>
        <v>28.99</v>
      </c>
      <c r="N196" s="7">
        <f t="shared" si="20"/>
        <v>42459</v>
      </c>
      <c r="O196" s="1">
        <v>1177133</v>
      </c>
      <c r="P196" s="26">
        <f>(+O196/K196*M196)-10610</f>
        <v>1163485.4987097883</v>
      </c>
      <c r="Q196" s="173">
        <v>42487</v>
      </c>
      <c r="R196" s="40">
        <v>42487</v>
      </c>
      <c r="S196" s="185">
        <f t="shared" si="21"/>
        <v>28</v>
      </c>
    </row>
    <row r="197" spans="1:19" s="3" customFormat="1" hidden="1" x14ac:dyDescent="0.25">
      <c r="A197" s="84">
        <f>+closed!A297+1</f>
        <v>160</v>
      </c>
      <c r="B197" s="24">
        <v>42451</v>
      </c>
      <c r="C197" s="1">
        <v>114</v>
      </c>
      <c r="D197" s="1">
        <v>3000028036</v>
      </c>
      <c r="E197" s="1" t="s">
        <v>29</v>
      </c>
      <c r="F197" s="16">
        <v>401</v>
      </c>
      <c r="G197" s="25">
        <v>42436</v>
      </c>
      <c r="H197" s="25"/>
      <c r="I197" s="25">
        <v>42446</v>
      </c>
      <c r="J197" s="1" t="s">
        <v>8</v>
      </c>
      <c r="K197" s="1">
        <v>11.54</v>
      </c>
      <c r="L197" s="1">
        <v>11.54</v>
      </c>
      <c r="M197" s="1">
        <f t="shared" si="22"/>
        <v>11.54</v>
      </c>
      <c r="N197" s="7">
        <f t="shared" si="20"/>
        <v>42460</v>
      </c>
      <c r="O197" s="1">
        <v>473140</v>
      </c>
      <c r="P197" s="26">
        <f t="shared" ref="P197:P229" si="23">(+O197/K197*M197)</f>
        <v>473139.99999999994</v>
      </c>
      <c r="Q197" s="173">
        <v>42487</v>
      </c>
      <c r="R197" s="40">
        <v>42487</v>
      </c>
      <c r="S197" s="185">
        <f t="shared" si="21"/>
        <v>27</v>
      </c>
    </row>
    <row r="198" spans="1:19" s="3" customFormat="1" hidden="1" x14ac:dyDescent="0.25">
      <c r="A198" s="84">
        <f>+A197+1</f>
        <v>161</v>
      </c>
      <c r="B198" s="24">
        <v>42451</v>
      </c>
      <c r="C198" s="1">
        <v>114</v>
      </c>
      <c r="D198" s="1">
        <v>3000028095</v>
      </c>
      <c r="E198" s="1" t="s">
        <v>29</v>
      </c>
      <c r="F198" s="16">
        <v>402</v>
      </c>
      <c r="G198" s="25">
        <v>42436</v>
      </c>
      <c r="H198" s="25"/>
      <c r="I198" s="25">
        <v>42446</v>
      </c>
      <c r="J198" s="1" t="s">
        <v>8</v>
      </c>
      <c r="K198" s="1">
        <v>18.47</v>
      </c>
      <c r="L198" s="1">
        <v>18.420000000000002</v>
      </c>
      <c r="M198" s="1">
        <f t="shared" si="22"/>
        <v>18.420000000000002</v>
      </c>
      <c r="N198" s="7">
        <f t="shared" si="20"/>
        <v>42460</v>
      </c>
      <c r="O198" s="1">
        <v>794210</v>
      </c>
      <c r="P198" s="26">
        <f t="shared" si="23"/>
        <v>792060.00000000012</v>
      </c>
      <c r="Q198" s="173">
        <v>42487</v>
      </c>
      <c r="R198" s="40">
        <v>42487</v>
      </c>
      <c r="S198" s="185">
        <f t="shared" si="21"/>
        <v>27</v>
      </c>
    </row>
    <row r="199" spans="1:19" s="3" customFormat="1" hidden="1" x14ac:dyDescent="0.25">
      <c r="A199" s="84">
        <f>+closed!A161+1</f>
        <v>163</v>
      </c>
      <c r="B199" s="24">
        <v>42451</v>
      </c>
      <c r="C199" s="1">
        <v>114</v>
      </c>
      <c r="D199" s="1">
        <v>3000028095</v>
      </c>
      <c r="E199" s="1" t="s">
        <v>29</v>
      </c>
      <c r="F199" s="1">
        <v>404</v>
      </c>
      <c r="G199" s="25">
        <v>42436</v>
      </c>
      <c r="H199" s="25"/>
      <c r="I199" s="25">
        <v>42446</v>
      </c>
      <c r="J199" s="1" t="s">
        <v>8</v>
      </c>
      <c r="K199" s="1">
        <v>17.59</v>
      </c>
      <c r="L199" s="1">
        <v>17.59</v>
      </c>
      <c r="M199" s="1">
        <f t="shared" si="22"/>
        <v>17.59</v>
      </c>
      <c r="N199" s="7">
        <f t="shared" si="20"/>
        <v>42460</v>
      </c>
      <c r="O199" s="1">
        <v>756370</v>
      </c>
      <c r="P199" s="26">
        <f t="shared" si="23"/>
        <v>756370</v>
      </c>
      <c r="Q199" s="173">
        <v>42487</v>
      </c>
      <c r="R199" s="40">
        <v>42487</v>
      </c>
      <c r="S199" s="185">
        <f t="shared" si="21"/>
        <v>27</v>
      </c>
    </row>
    <row r="200" spans="1:19" s="3" customFormat="1" hidden="1" x14ac:dyDescent="0.25">
      <c r="A200" s="84">
        <f>+A199+1</f>
        <v>164</v>
      </c>
      <c r="B200" s="24">
        <v>42451</v>
      </c>
      <c r="C200" s="1">
        <v>114</v>
      </c>
      <c r="D200" s="1">
        <v>3000028255</v>
      </c>
      <c r="E200" s="1" t="s">
        <v>29</v>
      </c>
      <c r="F200" s="1">
        <v>405</v>
      </c>
      <c r="G200" s="25">
        <v>42436</v>
      </c>
      <c r="H200" s="25"/>
      <c r="I200" s="25">
        <v>42446</v>
      </c>
      <c r="J200" s="1" t="s">
        <v>8</v>
      </c>
      <c r="K200" s="1">
        <v>13.14</v>
      </c>
      <c r="L200" s="1">
        <v>13.07</v>
      </c>
      <c r="M200" s="1">
        <f t="shared" si="22"/>
        <v>13.07</v>
      </c>
      <c r="N200" s="7">
        <f t="shared" si="20"/>
        <v>42460</v>
      </c>
      <c r="O200" s="1">
        <v>589986</v>
      </c>
      <c r="P200" s="26">
        <f t="shared" si="23"/>
        <v>586843</v>
      </c>
      <c r="Q200" s="173">
        <v>42487</v>
      </c>
      <c r="R200" s="40">
        <v>42487</v>
      </c>
      <c r="S200" s="185">
        <f t="shared" si="21"/>
        <v>27</v>
      </c>
    </row>
    <row r="201" spans="1:19" s="3" customFormat="1" hidden="1" x14ac:dyDescent="0.25">
      <c r="A201" s="84">
        <f>+closed!A190+1</f>
        <v>157</v>
      </c>
      <c r="B201" s="24">
        <v>42451</v>
      </c>
      <c r="C201" s="1">
        <v>114</v>
      </c>
      <c r="D201" s="1">
        <v>3000028614</v>
      </c>
      <c r="E201" s="1" t="s">
        <v>28</v>
      </c>
      <c r="F201" s="1">
        <v>544</v>
      </c>
      <c r="G201" s="25">
        <v>42435</v>
      </c>
      <c r="H201" s="25"/>
      <c r="I201" s="25">
        <v>42446</v>
      </c>
      <c r="J201" s="1" t="s">
        <v>16</v>
      </c>
      <c r="K201" s="1">
        <v>27.803000000000001</v>
      </c>
      <c r="L201" s="1">
        <v>27.9</v>
      </c>
      <c r="M201" s="1">
        <f t="shared" si="22"/>
        <v>27.803000000000001</v>
      </c>
      <c r="N201" s="7">
        <f t="shared" si="20"/>
        <v>42460</v>
      </c>
      <c r="O201" s="1">
        <v>1348446</v>
      </c>
      <c r="P201" s="26">
        <f t="shared" si="23"/>
        <v>1348446</v>
      </c>
      <c r="Q201" s="173">
        <v>42487</v>
      </c>
      <c r="R201" s="40">
        <v>42487</v>
      </c>
      <c r="S201" s="185">
        <f t="shared" si="21"/>
        <v>27</v>
      </c>
    </row>
    <row r="202" spans="1:19" s="3" customFormat="1" hidden="1" x14ac:dyDescent="0.25">
      <c r="A202" s="84">
        <f>+closed!A168+1</f>
        <v>170</v>
      </c>
      <c r="B202" s="24">
        <v>42451</v>
      </c>
      <c r="C202" s="1">
        <v>114</v>
      </c>
      <c r="D202" s="1">
        <v>3000028733</v>
      </c>
      <c r="E202" s="1" t="s">
        <v>55</v>
      </c>
      <c r="F202" s="1">
        <v>8</v>
      </c>
      <c r="G202" s="25">
        <v>42440</v>
      </c>
      <c r="H202" s="25"/>
      <c r="I202" s="25">
        <v>42448</v>
      </c>
      <c r="J202" s="1" t="s">
        <v>16</v>
      </c>
      <c r="K202" s="1">
        <v>30.94</v>
      </c>
      <c r="L202" s="1">
        <v>30.76</v>
      </c>
      <c r="M202" s="1">
        <f t="shared" si="22"/>
        <v>30.76</v>
      </c>
      <c r="N202" s="7">
        <f t="shared" si="20"/>
        <v>42462</v>
      </c>
      <c r="O202" s="1">
        <v>1454180</v>
      </c>
      <c r="P202" s="26">
        <f t="shared" si="23"/>
        <v>1445720</v>
      </c>
      <c r="Q202" s="173">
        <v>42487</v>
      </c>
      <c r="R202" s="40">
        <v>42487</v>
      </c>
      <c r="S202" s="185">
        <f t="shared" si="21"/>
        <v>25</v>
      </c>
    </row>
    <row r="203" spans="1:19" s="3" customFormat="1" hidden="1" x14ac:dyDescent="0.25">
      <c r="A203" s="84">
        <f>+closed!A20+1</f>
        <v>196</v>
      </c>
      <c r="B203" s="24">
        <v>42461</v>
      </c>
      <c r="C203" s="1">
        <v>114</v>
      </c>
      <c r="D203" s="1">
        <v>3000028080</v>
      </c>
      <c r="E203" s="1" t="s">
        <v>49</v>
      </c>
      <c r="F203" s="1">
        <v>10</v>
      </c>
      <c r="G203" s="25">
        <v>42451</v>
      </c>
      <c r="H203" s="25"/>
      <c r="I203" s="25">
        <v>42458</v>
      </c>
      <c r="J203" s="1" t="s">
        <v>16</v>
      </c>
      <c r="K203" s="1">
        <v>29.175000000000001</v>
      </c>
      <c r="L203" s="1">
        <v>28.97</v>
      </c>
      <c r="M203" s="1">
        <f t="shared" si="22"/>
        <v>28.97</v>
      </c>
      <c r="N203" s="7">
        <f t="shared" si="20"/>
        <v>42472</v>
      </c>
      <c r="O203" s="1">
        <v>1298288</v>
      </c>
      <c r="P203" s="26">
        <f t="shared" si="23"/>
        <v>1289165.4964867181</v>
      </c>
      <c r="Q203" s="173">
        <v>42487</v>
      </c>
      <c r="R203" s="40">
        <v>42487</v>
      </c>
      <c r="S203" s="185">
        <f t="shared" si="21"/>
        <v>15</v>
      </c>
    </row>
    <row r="204" spans="1:19" s="3" customFormat="1" hidden="1" x14ac:dyDescent="0.25">
      <c r="A204" s="84">
        <f>+closed!A307+1</f>
        <v>227</v>
      </c>
      <c r="B204" s="24">
        <v>42466</v>
      </c>
      <c r="C204" s="1">
        <v>114</v>
      </c>
      <c r="D204" s="1">
        <v>3000029196</v>
      </c>
      <c r="E204" s="1" t="s">
        <v>30</v>
      </c>
      <c r="F204" s="1">
        <v>831</v>
      </c>
      <c r="G204" s="25">
        <v>42457</v>
      </c>
      <c r="H204" s="25"/>
      <c r="I204" s="25">
        <v>42461</v>
      </c>
      <c r="J204" s="1" t="s">
        <v>31</v>
      </c>
      <c r="K204" s="1">
        <v>28.69</v>
      </c>
      <c r="L204" s="1">
        <v>28.6</v>
      </c>
      <c r="M204" s="1">
        <f t="shared" si="22"/>
        <v>28.6</v>
      </c>
      <c r="N204" s="7">
        <f t="shared" si="20"/>
        <v>42475</v>
      </c>
      <c r="O204" s="1">
        <v>1336955</v>
      </c>
      <c r="P204" s="26">
        <f t="shared" si="23"/>
        <v>1332760.9968630185</v>
      </c>
      <c r="Q204" s="173">
        <v>42487</v>
      </c>
      <c r="R204" s="40">
        <v>42487</v>
      </c>
      <c r="S204" s="185">
        <f t="shared" si="21"/>
        <v>12</v>
      </c>
    </row>
    <row r="205" spans="1:19" s="3" customFormat="1" hidden="1" x14ac:dyDescent="0.25">
      <c r="A205" s="84">
        <f>+A204+1</f>
        <v>228</v>
      </c>
      <c r="B205" s="24">
        <v>42466</v>
      </c>
      <c r="C205" s="1">
        <v>114</v>
      </c>
      <c r="D205" s="1">
        <v>3000029196</v>
      </c>
      <c r="E205" s="1" t="s">
        <v>30</v>
      </c>
      <c r="F205" s="1">
        <v>834</v>
      </c>
      <c r="G205" s="25">
        <v>42458</v>
      </c>
      <c r="H205" s="25"/>
      <c r="I205" s="25">
        <v>42462</v>
      </c>
      <c r="J205" s="1" t="s">
        <v>31</v>
      </c>
      <c r="K205" s="1">
        <v>28.57</v>
      </c>
      <c r="L205" s="1">
        <v>28.83</v>
      </c>
      <c r="M205" s="1">
        <f t="shared" si="22"/>
        <v>28.57</v>
      </c>
      <c r="N205" s="7">
        <f t="shared" si="20"/>
        <v>42476</v>
      </c>
      <c r="O205" s="1">
        <v>1331363</v>
      </c>
      <c r="P205" s="26">
        <f t="shared" si="23"/>
        <v>1331363</v>
      </c>
      <c r="Q205" s="173">
        <v>42487</v>
      </c>
      <c r="R205" s="40">
        <v>42487</v>
      </c>
      <c r="S205" s="185">
        <f t="shared" si="21"/>
        <v>11</v>
      </c>
    </row>
    <row r="206" spans="1:19" s="3" customFormat="1" hidden="1" x14ac:dyDescent="0.25">
      <c r="A206" s="84">
        <f>+A205+1</f>
        <v>229</v>
      </c>
      <c r="B206" s="24">
        <v>42466</v>
      </c>
      <c r="C206" s="1">
        <v>114</v>
      </c>
      <c r="D206" s="1">
        <v>3000029196</v>
      </c>
      <c r="E206" s="1" t="s">
        <v>30</v>
      </c>
      <c r="F206" s="1">
        <v>1</v>
      </c>
      <c r="G206" s="25">
        <v>42461</v>
      </c>
      <c r="H206" s="25"/>
      <c r="I206" s="25">
        <v>42463</v>
      </c>
      <c r="J206" s="1" t="s">
        <v>31</v>
      </c>
      <c r="K206" s="1">
        <v>28.66</v>
      </c>
      <c r="L206" s="1">
        <v>28.57</v>
      </c>
      <c r="M206" s="1">
        <f t="shared" si="22"/>
        <v>28.57</v>
      </c>
      <c r="N206" s="7">
        <f t="shared" si="20"/>
        <v>42477</v>
      </c>
      <c r="O206" s="1">
        <v>1335557</v>
      </c>
      <c r="P206" s="26">
        <f t="shared" si="23"/>
        <v>1331362.9968597349</v>
      </c>
      <c r="Q206" s="173">
        <v>42487</v>
      </c>
      <c r="R206" s="40">
        <v>42487</v>
      </c>
      <c r="S206" s="185">
        <f t="shared" si="21"/>
        <v>10</v>
      </c>
    </row>
    <row r="207" spans="1:19" s="3" customFormat="1" hidden="1" x14ac:dyDescent="0.25">
      <c r="A207" s="84">
        <f>+closed!A102+1</f>
        <v>223</v>
      </c>
      <c r="B207" s="24">
        <v>42466</v>
      </c>
      <c r="C207" s="1">
        <v>14</v>
      </c>
      <c r="D207" s="1">
        <v>3000028249</v>
      </c>
      <c r="E207" s="39" t="s">
        <v>49</v>
      </c>
      <c r="F207" s="1">
        <v>1</v>
      </c>
      <c r="G207" s="25">
        <v>42461</v>
      </c>
      <c r="H207" s="25"/>
      <c r="I207" s="25">
        <v>42462</v>
      </c>
      <c r="J207" s="1" t="s">
        <v>8</v>
      </c>
      <c r="K207" s="1">
        <v>26.16</v>
      </c>
      <c r="L207" s="1">
        <v>26.16</v>
      </c>
      <c r="M207" s="1">
        <f t="shared" si="22"/>
        <v>26.16</v>
      </c>
      <c r="N207" s="7">
        <f t="shared" si="20"/>
        <v>42476</v>
      </c>
      <c r="O207" s="1">
        <v>1174584</v>
      </c>
      <c r="P207" s="26">
        <f t="shared" si="23"/>
        <v>1174584</v>
      </c>
      <c r="Q207" s="173">
        <v>42487</v>
      </c>
      <c r="R207" s="40">
        <v>42487</v>
      </c>
      <c r="S207" s="185">
        <f t="shared" si="21"/>
        <v>11</v>
      </c>
    </row>
    <row r="208" spans="1:19" s="3" customFormat="1" hidden="1" x14ac:dyDescent="0.25">
      <c r="A208" s="84">
        <f>+closed!A56+1</f>
        <v>243</v>
      </c>
      <c r="B208" s="24">
        <v>42471</v>
      </c>
      <c r="C208" s="1">
        <v>114</v>
      </c>
      <c r="D208" s="1">
        <v>3000028665</v>
      </c>
      <c r="E208" s="1" t="s">
        <v>27</v>
      </c>
      <c r="F208" s="1">
        <v>801</v>
      </c>
      <c r="G208" s="25">
        <v>42462</v>
      </c>
      <c r="H208" s="25"/>
      <c r="I208" s="25">
        <v>42465</v>
      </c>
      <c r="J208" s="1" t="s">
        <v>8</v>
      </c>
      <c r="K208" s="1">
        <v>27.52</v>
      </c>
      <c r="L208" s="1">
        <v>27.43</v>
      </c>
      <c r="M208" s="1">
        <f t="shared" si="22"/>
        <v>27.43</v>
      </c>
      <c r="N208" s="7">
        <f t="shared" si="20"/>
        <v>42479</v>
      </c>
      <c r="O208" s="1">
        <v>1271424</v>
      </c>
      <c r="P208" s="26">
        <f t="shared" si="23"/>
        <v>1267266</v>
      </c>
      <c r="Q208" s="173">
        <v>42487</v>
      </c>
      <c r="R208" s="40">
        <v>42487</v>
      </c>
      <c r="S208" s="185">
        <f t="shared" si="21"/>
        <v>8</v>
      </c>
    </row>
    <row r="209" spans="1:19" s="3" customFormat="1" hidden="1" x14ac:dyDescent="0.25">
      <c r="A209" s="84">
        <f>+closed!A208+1</f>
        <v>244</v>
      </c>
      <c r="B209" s="24">
        <v>42471</v>
      </c>
      <c r="C209" s="1">
        <v>114</v>
      </c>
      <c r="D209" s="1">
        <v>3000028081</v>
      </c>
      <c r="E209" s="1" t="s">
        <v>17</v>
      </c>
      <c r="F209" s="1">
        <v>1</v>
      </c>
      <c r="G209" s="25">
        <v>42461</v>
      </c>
      <c r="H209" s="25"/>
      <c r="I209" s="25">
        <v>42465</v>
      </c>
      <c r="J209" s="1" t="s">
        <v>8</v>
      </c>
      <c r="K209" s="1">
        <v>30.855</v>
      </c>
      <c r="L209" s="1">
        <v>30.78</v>
      </c>
      <c r="M209" s="1">
        <f t="shared" si="22"/>
        <v>30.78</v>
      </c>
      <c r="N209" s="7">
        <f t="shared" si="20"/>
        <v>42479</v>
      </c>
      <c r="O209" s="1">
        <v>1326765</v>
      </c>
      <c r="P209" s="26">
        <f t="shared" si="23"/>
        <v>1323540</v>
      </c>
      <c r="Q209" s="173">
        <v>42487</v>
      </c>
      <c r="R209" s="40">
        <v>42487</v>
      </c>
      <c r="S209" s="185">
        <f t="shared" si="21"/>
        <v>8</v>
      </c>
    </row>
    <row r="210" spans="1:19" s="3" customFormat="1" hidden="1" x14ac:dyDescent="0.25">
      <c r="A210" s="84">
        <f>+A209+1</f>
        <v>245</v>
      </c>
      <c r="B210" s="24">
        <v>42471</v>
      </c>
      <c r="C210" s="1">
        <v>114</v>
      </c>
      <c r="D210" s="1">
        <v>3000028081</v>
      </c>
      <c r="E210" s="1" t="s">
        <v>17</v>
      </c>
      <c r="F210" s="1">
        <v>2</v>
      </c>
      <c r="G210" s="25">
        <v>42461</v>
      </c>
      <c r="H210" s="25"/>
      <c r="I210" s="25">
        <v>42465</v>
      </c>
      <c r="J210" s="1" t="s">
        <v>8</v>
      </c>
      <c r="K210" s="1">
        <v>11.35</v>
      </c>
      <c r="L210" s="1">
        <v>11.35</v>
      </c>
      <c r="M210" s="1">
        <f t="shared" si="22"/>
        <v>11.35</v>
      </c>
      <c r="N210" s="7">
        <f t="shared" si="20"/>
        <v>42479</v>
      </c>
      <c r="O210" s="1">
        <v>488050</v>
      </c>
      <c r="P210" s="26">
        <f t="shared" si="23"/>
        <v>488050</v>
      </c>
      <c r="Q210" s="173">
        <v>42487</v>
      </c>
      <c r="R210" s="40">
        <v>42487</v>
      </c>
      <c r="S210" s="185">
        <f t="shared" si="21"/>
        <v>8</v>
      </c>
    </row>
    <row r="211" spans="1:19" s="3" customFormat="1" hidden="1" x14ac:dyDescent="0.25">
      <c r="A211" s="84">
        <f>+closed!A93+1</f>
        <v>259</v>
      </c>
      <c r="B211" s="24">
        <v>42471</v>
      </c>
      <c r="C211" s="1">
        <v>114</v>
      </c>
      <c r="D211" s="1" t="s">
        <v>79</v>
      </c>
      <c r="E211" s="1" t="s">
        <v>60</v>
      </c>
      <c r="F211" s="1">
        <v>315</v>
      </c>
      <c r="G211" s="25">
        <v>42453</v>
      </c>
      <c r="H211" s="25"/>
      <c r="I211" s="25">
        <v>42465</v>
      </c>
      <c r="J211" s="1" t="s">
        <v>61</v>
      </c>
      <c r="K211" s="1">
        <v>23.99</v>
      </c>
      <c r="L211" s="1">
        <v>24.03</v>
      </c>
      <c r="M211" s="1">
        <f t="shared" si="22"/>
        <v>23.99</v>
      </c>
      <c r="N211" s="7">
        <f t="shared" si="20"/>
        <v>42479</v>
      </c>
      <c r="O211" s="1">
        <v>1943355</v>
      </c>
      <c r="P211" s="26">
        <f t="shared" si="23"/>
        <v>1943355</v>
      </c>
      <c r="Q211" s="173">
        <v>42487</v>
      </c>
      <c r="R211" s="40">
        <v>42487</v>
      </c>
      <c r="S211" s="185">
        <f t="shared" si="21"/>
        <v>8</v>
      </c>
    </row>
    <row r="212" spans="1:19" s="3" customFormat="1" hidden="1" x14ac:dyDescent="0.25">
      <c r="A212" s="84">
        <f>+closed!A310+1</f>
        <v>248</v>
      </c>
      <c r="B212" s="24">
        <v>42471</v>
      </c>
      <c r="C212" s="1">
        <v>114</v>
      </c>
      <c r="D212" s="1">
        <v>3000028337</v>
      </c>
      <c r="E212" s="1" t="s">
        <v>24</v>
      </c>
      <c r="F212" s="1">
        <v>2</v>
      </c>
      <c r="G212" s="25">
        <v>42461</v>
      </c>
      <c r="H212" s="25"/>
      <c r="I212" s="25">
        <v>42466</v>
      </c>
      <c r="J212" s="1" t="s">
        <v>16</v>
      </c>
      <c r="K212" s="1">
        <v>9.91</v>
      </c>
      <c r="L212" s="1">
        <v>9.7899999999999991</v>
      </c>
      <c r="M212" s="1">
        <f t="shared" si="22"/>
        <v>9.7899999999999991</v>
      </c>
      <c r="N212" s="7">
        <f t="shared" si="20"/>
        <v>42480</v>
      </c>
      <c r="O212" s="1">
        <v>480635</v>
      </c>
      <c r="P212" s="26">
        <f t="shared" si="23"/>
        <v>474814.99999999994</v>
      </c>
      <c r="Q212" s="173">
        <v>42487</v>
      </c>
      <c r="R212" s="40">
        <v>42487</v>
      </c>
      <c r="S212" s="185">
        <f t="shared" si="21"/>
        <v>7</v>
      </c>
    </row>
    <row r="213" spans="1:19" s="3" customFormat="1" hidden="1" x14ac:dyDescent="0.25">
      <c r="A213" s="84">
        <f>+closed!A287+1</f>
        <v>310</v>
      </c>
      <c r="B213" s="24">
        <v>42482</v>
      </c>
      <c r="C213" s="1">
        <v>103</v>
      </c>
      <c r="D213" s="1">
        <v>3000028655</v>
      </c>
      <c r="E213" s="1" t="s">
        <v>104</v>
      </c>
      <c r="F213" s="1">
        <v>776</v>
      </c>
      <c r="G213" s="25">
        <v>42443</v>
      </c>
      <c r="H213" s="25"/>
      <c r="I213" s="25">
        <v>42447</v>
      </c>
      <c r="J213" s="1" t="s">
        <v>105</v>
      </c>
      <c r="K213" s="1">
        <v>12.1</v>
      </c>
      <c r="L213" s="1">
        <v>12.03</v>
      </c>
      <c r="M213" s="1">
        <f t="shared" si="22"/>
        <v>12.03</v>
      </c>
      <c r="N213" s="7">
        <f t="shared" si="20"/>
        <v>42461</v>
      </c>
      <c r="O213" s="1">
        <v>943804</v>
      </c>
      <c r="P213" s="26">
        <f t="shared" si="23"/>
        <v>938343.97685950412</v>
      </c>
      <c r="Q213" s="173">
        <v>42487</v>
      </c>
      <c r="R213" s="40">
        <v>42487</v>
      </c>
      <c r="S213" s="185">
        <f t="shared" si="21"/>
        <v>26</v>
      </c>
    </row>
    <row r="214" spans="1:19" s="3" customFormat="1" hidden="1" x14ac:dyDescent="0.25">
      <c r="A214" s="84">
        <f>+closed!A181+1</f>
        <v>233</v>
      </c>
      <c r="B214" s="24">
        <v>42466</v>
      </c>
      <c r="C214" s="1">
        <v>103</v>
      </c>
      <c r="D214" s="1">
        <v>3000027412</v>
      </c>
      <c r="E214" s="39" t="s">
        <v>50</v>
      </c>
      <c r="F214" s="1">
        <v>71</v>
      </c>
      <c r="G214" s="25">
        <v>42457</v>
      </c>
      <c r="H214" s="25"/>
      <c r="I214" s="25">
        <v>42457</v>
      </c>
      <c r="J214" s="1" t="s">
        <v>43</v>
      </c>
      <c r="K214" s="1">
        <v>26.32</v>
      </c>
      <c r="L214" s="1">
        <v>26.32</v>
      </c>
      <c r="M214" s="1">
        <f t="shared" si="22"/>
        <v>26.32</v>
      </c>
      <c r="N214" s="7">
        <f t="shared" si="20"/>
        <v>42471</v>
      </c>
      <c r="O214" s="1">
        <v>1238290</v>
      </c>
      <c r="P214" s="26">
        <f t="shared" si="23"/>
        <v>1238290</v>
      </c>
      <c r="Q214" s="173">
        <v>42487</v>
      </c>
      <c r="R214" s="40">
        <v>42487</v>
      </c>
      <c r="S214" s="185">
        <f t="shared" si="21"/>
        <v>16</v>
      </c>
    </row>
    <row r="215" spans="1:19" s="3" customFormat="1" hidden="1" x14ac:dyDescent="0.25">
      <c r="A215" s="84">
        <f>+closed!A211+1</f>
        <v>260</v>
      </c>
      <c r="B215" s="24">
        <v>42472</v>
      </c>
      <c r="C215" s="1">
        <v>103</v>
      </c>
      <c r="D215" s="1">
        <v>3000029570</v>
      </c>
      <c r="E215" s="1" t="s">
        <v>60</v>
      </c>
      <c r="F215" s="1">
        <v>7</v>
      </c>
      <c r="G215" s="25">
        <v>42464</v>
      </c>
      <c r="H215" s="25"/>
      <c r="I215" s="25">
        <v>42464</v>
      </c>
      <c r="J215" s="1" t="s">
        <v>61</v>
      </c>
      <c r="K215" s="1">
        <v>24.68</v>
      </c>
      <c r="L215" s="1">
        <v>24.64</v>
      </c>
      <c r="M215" s="1">
        <f t="shared" si="22"/>
        <v>24.64</v>
      </c>
      <c r="N215" s="7">
        <f t="shared" si="20"/>
        <v>42478</v>
      </c>
      <c r="O215" s="1">
        <v>1937281</v>
      </c>
      <c r="P215" s="26">
        <f t="shared" si="23"/>
        <v>1934141.160453809</v>
      </c>
      <c r="Q215" s="173">
        <v>42487</v>
      </c>
      <c r="R215" s="40">
        <v>42487</v>
      </c>
      <c r="S215" s="185">
        <f t="shared" si="21"/>
        <v>9</v>
      </c>
    </row>
    <row r="216" spans="1:19" s="3" customFormat="1" hidden="1" x14ac:dyDescent="0.25">
      <c r="A216" s="84">
        <f>+closed!A215+1</f>
        <v>261</v>
      </c>
      <c r="B216" s="24">
        <v>42472</v>
      </c>
      <c r="C216" s="1">
        <v>103</v>
      </c>
      <c r="D216" s="1">
        <v>3000029570</v>
      </c>
      <c r="E216" s="1" t="s">
        <v>60</v>
      </c>
      <c r="F216" s="1">
        <v>8</v>
      </c>
      <c r="G216" s="25">
        <v>42464</v>
      </c>
      <c r="H216" s="25"/>
      <c r="I216" s="25">
        <v>42464</v>
      </c>
      <c r="J216" s="1" t="s">
        <v>61</v>
      </c>
      <c r="K216" s="1">
        <v>19.89</v>
      </c>
      <c r="L216" s="1">
        <v>19.88</v>
      </c>
      <c r="M216" s="1">
        <f t="shared" si="22"/>
        <v>19.88</v>
      </c>
      <c r="N216" s="7">
        <f t="shared" si="20"/>
        <v>42478</v>
      </c>
      <c r="O216" s="1">
        <v>1561286</v>
      </c>
      <c r="P216" s="26">
        <f t="shared" si="23"/>
        <v>1560501.0397184512</v>
      </c>
      <c r="Q216" s="173">
        <v>42487</v>
      </c>
      <c r="R216" s="40">
        <v>42487</v>
      </c>
      <c r="S216" s="185">
        <f t="shared" si="21"/>
        <v>9</v>
      </c>
    </row>
    <row r="217" spans="1:19" s="3" customFormat="1" hidden="1" x14ac:dyDescent="0.25">
      <c r="A217" s="84">
        <f>+closed!A166+1</f>
        <v>290</v>
      </c>
      <c r="B217" s="24">
        <v>42474</v>
      </c>
      <c r="C217" s="1">
        <v>103</v>
      </c>
      <c r="D217" s="1">
        <v>3000028972</v>
      </c>
      <c r="E217" s="1" t="s">
        <v>25</v>
      </c>
      <c r="F217" s="1" t="s">
        <v>85</v>
      </c>
      <c r="G217" s="25">
        <v>42465</v>
      </c>
      <c r="H217" s="25"/>
      <c r="I217" s="25">
        <v>42469</v>
      </c>
      <c r="J217" s="1" t="s">
        <v>16</v>
      </c>
      <c r="K217" s="1">
        <v>26.09</v>
      </c>
      <c r="L217" s="1">
        <v>26.09</v>
      </c>
      <c r="M217" s="18">
        <f t="shared" si="22"/>
        <v>26.09</v>
      </c>
      <c r="N217" s="7">
        <f t="shared" si="20"/>
        <v>42483</v>
      </c>
      <c r="O217" s="1">
        <v>1155617</v>
      </c>
      <c r="P217" s="26">
        <f t="shared" si="23"/>
        <v>1155617</v>
      </c>
      <c r="Q217" s="173">
        <v>42487</v>
      </c>
      <c r="R217" s="40">
        <v>42487</v>
      </c>
      <c r="S217" s="185">
        <f t="shared" si="21"/>
        <v>4</v>
      </c>
    </row>
    <row r="218" spans="1:19" s="3" customFormat="1" hidden="1" x14ac:dyDescent="0.25">
      <c r="A218" s="84">
        <f>+A217+1</f>
        <v>291</v>
      </c>
      <c r="B218" s="24">
        <v>42474</v>
      </c>
      <c r="C218" s="1">
        <v>103</v>
      </c>
      <c r="D218" s="1">
        <v>3000028972</v>
      </c>
      <c r="E218" s="1" t="s">
        <v>25</v>
      </c>
      <c r="F218" s="1" t="s">
        <v>86</v>
      </c>
      <c r="G218" s="25">
        <v>42465</v>
      </c>
      <c r="H218" s="25"/>
      <c r="I218" s="25">
        <v>42469</v>
      </c>
      <c r="J218" s="1" t="s">
        <v>16</v>
      </c>
      <c r="K218" s="1">
        <v>25.98</v>
      </c>
      <c r="L218" s="1">
        <v>25.98</v>
      </c>
      <c r="M218" s="18">
        <f t="shared" si="22"/>
        <v>25.98</v>
      </c>
      <c r="N218" s="7">
        <f t="shared" si="20"/>
        <v>42483</v>
      </c>
      <c r="O218" s="1">
        <v>1150746</v>
      </c>
      <c r="P218" s="26">
        <f t="shared" si="23"/>
        <v>1150746</v>
      </c>
      <c r="Q218" s="173">
        <v>42487</v>
      </c>
      <c r="R218" s="40">
        <v>42487</v>
      </c>
      <c r="S218" s="185">
        <f t="shared" si="21"/>
        <v>4</v>
      </c>
    </row>
    <row r="219" spans="1:19" s="3" customFormat="1" hidden="1" x14ac:dyDescent="0.25">
      <c r="A219" s="84">
        <f>+closed!A221+1</f>
        <v>279</v>
      </c>
      <c r="B219" s="24">
        <v>42473</v>
      </c>
      <c r="C219" s="1">
        <v>103</v>
      </c>
      <c r="D219" s="1">
        <v>3000029484</v>
      </c>
      <c r="E219" s="1" t="s">
        <v>78</v>
      </c>
      <c r="F219" s="1">
        <v>189</v>
      </c>
      <c r="G219" s="25">
        <v>42467</v>
      </c>
      <c r="H219" s="25"/>
      <c r="I219" s="25">
        <v>42471</v>
      </c>
      <c r="J219" s="1" t="s">
        <v>61</v>
      </c>
      <c r="K219" s="1">
        <v>5.2</v>
      </c>
      <c r="L219" s="1">
        <v>5.1550000000000002</v>
      </c>
      <c r="M219" s="1">
        <f t="shared" si="22"/>
        <v>5.1550000000000002</v>
      </c>
      <c r="N219" s="7">
        <f t="shared" si="20"/>
        <v>42485</v>
      </c>
      <c r="O219" s="1">
        <v>416000</v>
      </c>
      <c r="P219" s="26">
        <f t="shared" si="23"/>
        <v>412400</v>
      </c>
      <c r="Q219" s="173">
        <v>42487</v>
      </c>
      <c r="R219" s="40">
        <v>42487</v>
      </c>
      <c r="S219" s="185">
        <f t="shared" si="21"/>
        <v>2</v>
      </c>
    </row>
    <row r="220" spans="1:19" s="3" customFormat="1" hidden="1" x14ac:dyDescent="0.25">
      <c r="A220" s="84">
        <f>+A219+1</f>
        <v>280</v>
      </c>
      <c r="B220" s="24">
        <v>42473</v>
      </c>
      <c r="C220" s="1">
        <v>103</v>
      </c>
      <c r="D220" s="1">
        <v>3000029482</v>
      </c>
      <c r="E220" s="1" t="s">
        <v>78</v>
      </c>
      <c r="F220" s="1">
        <v>188</v>
      </c>
      <c r="G220" s="25">
        <v>42467</v>
      </c>
      <c r="H220" s="25"/>
      <c r="I220" s="25">
        <v>42471</v>
      </c>
      <c r="J220" s="1" t="s">
        <v>61</v>
      </c>
      <c r="K220" s="1">
        <v>10.875</v>
      </c>
      <c r="L220" s="1">
        <v>10.845000000000001</v>
      </c>
      <c r="M220" s="1">
        <f t="shared" si="22"/>
        <v>10.845000000000001</v>
      </c>
      <c r="N220" s="7">
        <f t="shared" ref="N220:N239" si="24">+I220+15-1</f>
        <v>42485</v>
      </c>
      <c r="O220" s="1">
        <v>864562</v>
      </c>
      <c r="P220" s="26">
        <f t="shared" si="23"/>
        <v>862177.00137931039</v>
      </c>
      <c r="Q220" s="173">
        <v>42487</v>
      </c>
      <c r="R220" s="40">
        <v>42487</v>
      </c>
      <c r="S220" s="185">
        <f t="shared" ref="S220:S239" si="25">R220-N220</f>
        <v>2</v>
      </c>
    </row>
    <row r="221" spans="1:19" s="3" customFormat="1" hidden="1" x14ac:dyDescent="0.25">
      <c r="A221" s="84">
        <f>+closed!A222+1</f>
        <v>278</v>
      </c>
      <c r="B221" s="24">
        <v>42473</v>
      </c>
      <c r="C221" s="1">
        <v>103</v>
      </c>
      <c r="D221" s="1">
        <v>3000029482</v>
      </c>
      <c r="E221" s="1" t="s">
        <v>78</v>
      </c>
      <c r="F221" s="1">
        <v>187</v>
      </c>
      <c r="G221" s="25">
        <v>42467</v>
      </c>
      <c r="H221" s="25"/>
      <c r="I221" s="25">
        <v>42471</v>
      </c>
      <c r="J221" s="1" t="s">
        <v>61</v>
      </c>
      <c r="K221" s="1">
        <v>16.52</v>
      </c>
      <c r="L221" s="1">
        <v>16.489999999999998</v>
      </c>
      <c r="M221" s="1">
        <f t="shared" si="22"/>
        <v>16.489999999999998</v>
      </c>
      <c r="N221" s="7">
        <f t="shared" si="24"/>
        <v>42485</v>
      </c>
      <c r="O221" s="1">
        <v>1313340</v>
      </c>
      <c r="P221" s="26">
        <f t="shared" si="23"/>
        <v>1310954.9999999998</v>
      </c>
      <c r="Q221" s="173">
        <v>42487</v>
      </c>
      <c r="R221" s="40">
        <v>42487</v>
      </c>
      <c r="S221" s="185">
        <f t="shared" si="25"/>
        <v>2</v>
      </c>
    </row>
    <row r="222" spans="1:19" s="3" customFormat="1" hidden="1" x14ac:dyDescent="0.25">
      <c r="A222" s="84">
        <f>+closed!A237+1</f>
        <v>277</v>
      </c>
      <c r="B222" s="24">
        <v>42473</v>
      </c>
      <c r="C222" s="1">
        <v>103</v>
      </c>
      <c r="D222" s="1">
        <v>3000029421</v>
      </c>
      <c r="E222" s="1" t="s">
        <v>77</v>
      </c>
      <c r="F222" s="1">
        <v>3</v>
      </c>
      <c r="G222" s="25">
        <v>42467</v>
      </c>
      <c r="H222" s="25"/>
      <c r="I222" s="25">
        <v>42471</v>
      </c>
      <c r="J222" s="1" t="s">
        <v>61</v>
      </c>
      <c r="K222" s="1">
        <v>20.09</v>
      </c>
      <c r="L222" s="1">
        <v>20.059999999999999</v>
      </c>
      <c r="M222" s="1">
        <f t="shared" si="22"/>
        <v>20.059999999999999</v>
      </c>
      <c r="N222" s="7">
        <f t="shared" si="24"/>
        <v>42485</v>
      </c>
      <c r="O222" s="1">
        <v>1587110</v>
      </c>
      <c r="P222" s="26">
        <f t="shared" si="23"/>
        <v>1584740</v>
      </c>
      <c r="Q222" s="173">
        <v>42487</v>
      </c>
      <c r="R222" s="40">
        <v>42487</v>
      </c>
      <c r="S222" s="185">
        <f t="shared" si="25"/>
        <v>2</v>
      </c>
    </row>
    <row r="223" spans="1:19" s="3" customFormat="1" hidden="1" x14ac:dyDescent="0.25">
      <c r="A223" s="84">
        <f>+closed!A206+1</f>
        <v>230</v>
      </c>
      <c r="B223" s="24">
        <v>42466</v>
      </c>
      <c r="C223" s="1">
        <v>114</v>
      </c>
      <c r="D223" s="1">
        <v>3000029472</v>
      </c>
      <c r="E223" s="1" t="s">
        <v>30</v>
      </c>
      <c r="F223" s="1">
        <v>3</v>
      </c>
      <c r="G223" s="25">
        <v>42462</v>
      </c>
      <c r="H223" s="25"/>
      <c r="I223" s="25">
        <v>42464</v>
      </c>
      <c r="J223" s="1" t="s">
        <v>31</v>
      </c>
      <c r="K223" s="1">
        <v>28.58</v>
      </c>
      <c r="L223" s="1">
        <v>28.48</v>
      </c>
      <c r="M223" s="1">
        <f t="shared" si="22"/>
        <v>28.48</v>
      </c>
      <c r="N223" s="7">
        <f t="shared" si="24"/>
        <v>42478</v>
      </c>
      <c r="O223" s="1">
        <v>1440433</v>
      </c>
      <c r="P223" s="26">
        <f t="shared" si="23"/>
        <v>1435392.99650105</v>
      </c>
      <c r="Q223" s="173">
        <v>42492</v>
      </c>
      <c r="R223" s="40">
        <v>42493</v>
      </c>
      <c r="S223" s="185">
        <f t="shared" si="25"/>
        <v>15</v>
      </c>
    </row>
    <row r="224" spans="1:19" s="3" customFormat="1" hidden="1" x14ac:dyDescent="0.25">
      <c r="A224" s="84">
        <f>+A223+1</f>
        <v>231</v>
      </c>
      <c r="B224" s="24">
        <v>42466</v>
      </c>
      <c r="C224" s="1">
        <v>114</v>
      </c>
      <c r="D224" s="1">
        <v>3000029472</v>
      </c>
      <c r="E224" s="1" t="s">
        <v>30</v>
      </c>
      <c r="F224" s="1">
        <v>4</v>
      </c>
      <c r="G224" s="25">
        <v>42462</v>
      </c>
      <c r="H224" s="25"/>
      <c r="I224" s="25">
        <v>42464</v>
      </c>
      <c r="J224" s="1" t="s">
        <v>31</v>
      </c>
      <c r="K224" s="1">
        <v>28.52</v>
      </c>
      <c r="L224" s="1">
        <v>28.43</v>
      </c>
      <c r="M224" s="1">
        <f t="shared" si="22"/>
        <v>28.43</v>
      </c>
      <c r="N224" s="7">
        <f t="shared" si="24"/>
        <v>42478</v>
      </c>
      <c r="O224" s="1">
        <v>1437408</v>
      </c>
      <c r="P224" s="26">
        <f t="shared" si="23"/>
        <v>1432872</v>
      </c>
      <c r="Q224" s="173">
        <v>42492</v>
      </c>
      <c r="R224" s="40">
        <v>42493</v>
      </c>
      <c r="S224" s="185">
        <f t="shared" si="25"/>
        <v>15</v>
      </c>
    </row>
    <row r="225" spans="1:20" s="3" customFormat="1" hidden="1" x14ac:dyDescent="0.25">
      <c r="A225" s="84">
        <f>+closed!A230+1</f>
        <v>274</v>
      </c>
      <c r="B225" s="24">
        <v>42473</v>
      </c>
      <c r="C225" s="1">
        <v>114</v>
      </c>
      <c r="D225" s="1">
        <v>3000029407</v>
      </c>
      <c r="E225" s="1" t="s">
        <v>60</v>
      </c>
      <c r="F225" s="1">
        <v>327</v>
      </c>
      <c r="G225" s="25">
        <v>42456</v>
      </c>
      <c r="H225" s="25"/>
      <c r="I225" s="25">
        <v>42469</v>
      </c>
      <c r="J225" s="1" t="s">
        <v>61</v>
      </c>
      <c r="K225" s="1">
        <v>28.06</v>
      </c>
      <c r="L225" s="1">
        <v>27.93</v>
      </c>
      <c r="M225" s="1">
        <f t="shared" si="22"/>
        <v>27.93</v>
      </c>
      <c r="N225" s="7">
        <f t="shared" si="24"/>
        <v>42483</v>
      </c>
      <c r="O225" s="1">
        <v>2259001</v>
      </c>
      <c r="P225" s="26">
        <f t="shared" si="23"/>
        <v>2248535.2077690666</v>
      </c>
      <c r="Q225" s="173">
        <v>42492</v>
      </c>
      <c r="R225" s="40">
        <v>42493</v>
      </c>
      <c r="S225" s="185">
        <f t="shared" si="25"/>
        <v>10</v>
      </c>
    </row>
    <row r="226" spans="1:20" s="3" customFormat="1" hidden="1" x14ac:dyDescent="0.25">
      <c r="A226" s="84">
        <f>+A225+1</f>
        <v>275</v>
      </c>
      <c r="B226" s="24">
        <v>42473</v>
      </c>
      <c r="C226" s="1">
        <v>114</v>
      </c>
      <c r="D226" s="1">
        <v>3000029407</v>
      </c>
      <c r="E226" s="1" t="s">
        <v>60</v>
      </c>
      <c r="F226" s="1">
        <v>330</v>
      </c>
      <c r="G226" s="25">
        <v>42459</v>
      </c>
      <c r="H226" s="25"/>
      <c r="I226" s="25">
        <v>42469</v>
      </c>
      <c r="J226" s="1" t="s">
        <v>61</v>
      </c>
      <c r="K226" s="1">
        <v>23.77</v>
      </c>
      <c r="L226" s="1">
        <v>23.85</v>
      </c>
      <c r="M226" s="1">
        <f t="shared" si="22"/>
        <v>23.77</v>
      </c>
      <c r="N226" s="7">
        <f t="shared" si="24"/>
        <v>42483</v>
      </c>
      <c r="O226" s="1">
        <v>1913630</v>
      </c>
      <c r="P226" s="26">
        <f t="shared" si="23"/>
        <v>1913630</v>
      </c>
      <c r="Q226" s="173">
        <v>42492</v>
      </c>
      <c r="R226" s="40">
        <v>42493</v>
      </c>
      <c r="S226" s="185">
        <f t="shared" si="25"/>
        <v>10</v>
      </c>
    </row>
    <row r="227" spans="1:20" s="3" customFormat="1" hidden="1" x14ac:dyDescent="0.25">
      <c r="A227" s="84">
        <f>+closed!A220+1</f>
        <v>281</v>
      </c>
      <c r="B227" s="24">
        <v>42473</v>
      </c>
      <c r="C227" s="1">
        <v>103</v>
      </c>
      <c r="D227" s="1">
        <v>3000028484</v>
      </c>
      <c r="E227" s="1" t="s">
        <v>78</v>
      </c>
      <c r="F227" s="1">
        <v>190</v>
      </c>
      <c r="G227" s="25">
        <v>42467</v>
      </c>
      <c r="H227" s="25"/>
      <c r="I227" s="25">
        <v>42472</v>
      </c>
      <c r="J227" s="1" t="s">
        <v>61</v>
      </c>
      <c r="K227" s="1">
        <v>15.925000000000001</v>
      </c>
      <c r="L227" s="1">
        <v>15.87</v>
      </c>
      <c r="M227" s="1">
        <f t="shared" si="22"/>
        <v>15.87</v>
      </c>
      <c r="N227" s="7">
        <f t="shared" si="24"/>
        <v>42486</v>
      </c>
      <c r="O227" s="1">
        <v>1274000</v>
      </c>
      <c r="P227" s="26">
        <f t="shared" si="23"/>
        <v>1269600</v>
      </c>
      <c r="Q227" s="173">
        <v>42492</v>
      </c>
      <c r="R227" s="40">
        <v>42493</v>
      </c>
      <c r="S227" s="185">
        <f t="shared" si="25"/>
        <v>7</v>
      </c>
    </row>
    <row r="228" spans="1:20" s="3" customFormat="1" hidden="1" x14ac:dyDescent="0.25">
      <c r="A228" s="84">
        <f>+A227+1</f>
        <v>282</v>
      </c>
      <c r="B228" s="24">
        <v>42473</v>
      </c>
      <c r="C228" s="1">
        <v>103</v>
      </c>
      <c r="D228" s="1">
        <v>3000028484</v>
      </c>
      <c r="E228" s="1" t="s">
        <v>78</v>
      </c>
      <c r="F228" s="1">
        <v>235</v>
      </c>
      <c r="G228" s="25">
        <v>42468</v>
      </c>
      <c r="H228" s="25"/>
      <c r="I228" s="25">
        <v>42472</v>
      </c>
      <c r="J228" s="1" t="s">
        <v>61</v>
      </c>
      <c r="K228" s="1">
        <v>16.684999999999999</v>
      </c>
      <c r="L228" s="1">
        <v>16.66</v>
      </c>
      <c r="M228" s="1">
        <f t="shared" si="22"/>
        <v>16.66</v>
      </c>
      <c r="N228" s="7">
        <f t="shared" si="24"/>
        <v>42486</v>
      </c>
      <c r="O228" s="1">
        <v>1334800</v>
      </c>
      <c r="P228" s="26">
        <f t="shared" si="23"/>
        <v>1332800</v>
      </c>
      <c r="Q228" s="173">
        <v>42492</v>
      </c>
      <c r="R228" s="40">
        <v>42493</v>
      </c>
      <c r="S228" s="185">
        <f t="shared" si="25"/>
        <v>7</v>
      </c>
    </row>
    <row r="229" spans="1:20" s="3" customFormat="1" hidden="1" x14ac:dyDescent="0.25">
      <c r="A229" s="84">
        <f>+closed!A238+1</f>
        <v>303</v>
      </c>
      <c r="B229" s="24">
        <v>42480</v>
      </c>
      <c r="C229" s="1">
        <v>103</v>
      </c>
      <c r="D229" s="1">
        <v>3000029421</v>
      </c>
      <c r="E229" s="1" t="s">
        <v>77</v>
      </c>
      <c r="F229" s="1">
        <v>6</v>
      </c>
      <c r="G229" s="25">
        <v>42472</v>
      </c>
      <c r="H229" s="25"/>
      <c r="I229" s="25">
        <v>42475</v>
      </c>
      <c r="J229" s="1" t="s">
        <v>61</v>
      </c>
      <c r="K229" s="1">
        <v>20.11</v>
      </c>
      <c r="L229" s="1">
        <v>19.989999999999998</v>
      </c>
      <c r="M229" s="1">
        <f t="shared" si="22"/>
        <v>19.989999999999998</v>
      </c>
      <c r="N229" s="7">
        <f t="shared" si="24"/>
        <v>42489</v>
      </c>
      <c r="O229" s="1">
        <v>1588690</v>
      </c>
      <c r="P229" s="26">
        <f t="shared" si="23"/>
        <v>1579209.9999999998</v>
      </c>
      <c r="Q229" s="173">
        <v>42492</v>
      </c>
      <c r="R229" s="40">
        <v>42493</v>
      </c>
      <c r="S229" s="185">
        <f t="shared" si="25"/>
        <v>4</v>
      </c>
    </row>
    <row r="230" spans="1:20" s="3" customFormat="1" hidden="1" x14ac:dyDescent="0.25">
      <c r="A230" s="21">
        <f>+closed!A311+1</f>
        <v>273</v>
      </c>
      <c r="B230" s="51">
        <v>42472</v>
      </c>
      <c r="C230" s="21">
        <v>114</v>
      </c>
      <c r="D230" s="21"/>
      <c r="E230" s="21" t="s">
        <v>80</v>
      </c>
      <c r="F230" s="21" t="s">
        <v>82</v>
      </c>
      <c r="G230" s="52">
        <v>42465</v>
      </c>
      <c r="H230" s="52"/>
      <c r="I230" s="52">
        <v>42465</v>
      </c>
      <c r="J230" s="21" t="s">
        <v>81</v>
      </c>
      <c r="K230" s="21" t="s">
        <v>83</v>
      </c>
      <c r="L230" s="21" t="s">
        <v>83</v>
      </c>
      <c r="M230" s="21" t="s">
        <v>83</v>
      </c>
      <c r="N230" s="22">
        <f t="shared" si="24"/>
        <v>42479</v>
      </c>
      <c r="O230" s="21">
        <v>62424</v>
      </c>
      <c r="P230" s="36">
        <v>62424</v>
      </c>
      <c r="Q230" s="173">
        <v>42487</v>
      </c>
      <c r="R230" s="40">
        <v>42493</v>
      </c>
      <c r="S230" s="187">
        <f t="shared" si="25"/>
        <v>14</v>
      </c>
    </row>
    <row r="231" spans="1:20" s="3" customFormat="1" hidden="1" x14ac:dyDescent="0.25">
      <c r="A231" s="84">
        <f>+closed!A263+1</f>
        <v>323</v>
      </c>
      <c r="B231" s="24">
        <v>42482</v>
      </c>
      <c r="C231" s="1">
        <v>103</v>
      </c>
      <c r="D231" s="1">
        <v>3000029421</v>
      </c>
      <c r="E231" s="1" t="s">
        <v>77</v>
      </c>
      <c r="F231" s="1">
        <v>11</v>
      </c>
      <c r="G231" s="25">
        <v>42475</v>
      </c>
      <c r="H231" s="25"/>
      <c r="I231" s="25">
        <v>42479</v>
      </c>
      <c r="J231" s="1" t="s">
        <v>61</v>
      </c>
      <c r="K231" s="1">
        <v>19.52</v>
      </c>
      <c r="L231" s="1">
        <v>19.47</v>
      </c>
      <c r="M231" s="1">
        <f t="shared" ref="M231:M277" si="26">IF(L231&gt;K231,K231,L231)</f>
        <v>19.47</v>
      </c>
      <c r="N231" s="7">
        <f t="shared" si="24"/>
        <v>42493</v>
      </c>
      <c r="O231" s="1">
        <v>1542080</v>
      </c>
      <c r="P231" s="38">
        <f t="shared" ref="P231:P265" si="27">(+O231/K231*M231)</f>
        <v>1538130</v>
      </c>
      <c r="Q231" s="173">
        <v>42495</v>
      </c>
      <c r="R231" s="40">
        <v>42496</v>
      </c>
      <c r="S231" s="187">
        <f t="shared" si="25"/>
        <v>3</v>
      </c>
    </row>
    <row r="232" spans="1:20" s="3" customFormat="1" hidden="1" x14ac:dyDescent="0.25">
      <c r="A232" s="84">
        <f>+closed!A200+1</f>
        <v>165</v>
      </c>
      <c r="B232" s="24">
        <v>42451</v>
      </c>
      <c r="C232" s="1">
        <v>114</v>
      </c>
      <c r="D232" s="1">
        <v>3000028255</v>
      </c>
      <c r="E232" s="1" t="s">
        <v>29</v>
      </c>
      <c r="F232" s="1">
        <v>410</v>
      </c>
      <c r="G232" s="25">
        <v>42439</v>
      </c>
      <c r="H232" s="25"/>
      <c r="I232" s="25">
        <v>42446</v>
      </c>
      <c r="J232" s="1" t="s">
        <v>8</v>
      </c>
      <c r="K232" s="1">
        <v>29.73</v>
      </c>
      <c r="L232" s="1">
        <v>29.7</v>
      </c>
      <c r="M232" s="1">
        <f t="shared" si="26"/>
        <v>29.7</v>
      </c>
      <c r="N232" s="7">
        <f t="shared" si="24"/>
        <v>42460</v>
      </c>
      <c r="O232" s="1">
        <v>1334877</v>
      </c>
      <c r="P232" s="38">
        <f t="shared" si="27"/>
        <v>1333530</v>
      </c>
      <c r="Q232" s="173">
        <v>42495</v>
      </c>
      <c r="R232" s="40">
        <v>42496</v>
      </c>
      <c r="S232" s="187">
        <f t="shared" si="25"/>
        <v>36</v>
      </c>
    </row>
    <row r="233" spans="1:20" s="3" customFormat="1" hidden="1" x14ac:dyDescent="0.25">
      <c r="A233" s="84">
        <f>+closed!A330+1</f>
        <v>301</v>
      </c>
      <c r="B233" s="24">
        <v>42475</v>
      </c>
      <c r="C233" s="1">
        <v>103</v>
      </c>
      <c r="D233" s="1">
        <v>3000029484</v>
      </c>
      <c r="E233" s="1" t="s">
        <v>78</v>
      </c>
      <c r="F233" s="1">
        <v>252</v>
      </c>
      <c r="G233" s="25">
        <v>42469</v>
      </c>
      <c r="H233" s="25"/>
      <c r="I233" s="25">
        <v>42472</v>
      </c>
      <c r="J233" s="1" t="s">
        <v>61</v>
      </c>
      <c r="K233" s="1">
        <v>17.265000000000001</v>
      </c>
      <c r="L233" s="1">
        <v>17.21</v>
      </c>
      <c r="M233" s="1">
        <f t="shared" si="26"/>
        <v>17.21</v>
      </c>
      <c r="N233" s="7">
        <f t="shared" si="24"/>
        <v>42486</v>
      </c>
      <c r="O233" s="1">
        <v>1381200</v>
      </c>
      <c r="P233" s="38">
        <f t="shared" si="27"/>
        <v>1376800</v>
      </c>
      <c r="Q233" s="173">
        <v>42495</v>
      </c>
      <c r="R233" s="40">
        <v>42496</v>
      </c>
      <c r="S233" s="187">
        <f t="shared" si="25"/>
        <v>10</v>
      </c>
    </row>
    <row r="234" spans="1:20" s="3" customFormat="1" hidden="1" x14ac:dyDescent="0.25">
      <c r="A234" s="84">
        <f>+closed!A232+1</f>
        <v>166</v>
      </c>
      <c r="B234" s="24">
        <v>42451</v>
      </c>
      <c r="C234" s="1">
        <v>114</v>
      </c>
      <c r="D234" s="1">
        <v>3000028104</v>
      </c>
      <c r="E234" s="1" t="s">
        <v>15</v>
      </c>
      <c r="F234" s="16">
        <v>2888</v>
      </c>
      <c r="G234" s="25">
        <v>42437</v>
      </c>
      <c r="H234" s="25"/>
      <c r="I234" s="25">
        <v>42447</v>
      </c>
      <c r="J234" s="1" t="s">
        <v>16</v>
      </c>
      <c r="K234" s="1">
        <v>10.14</v>
      </c>
      <c r="L234" s="1">
        <v>10.14</v>
      </c>
      <c r="M234" s="1">
        <f t="shared" si="26"/>
        <v>10.14</v>
      </c>
      <c r="N234" s="7">
        <f t="shared" si="24"/>
        <v>42461</v>
      </c>
      <c r="O234" s="1">
        <v>453258</v>
      </c>
      <c r="P234" s="38">
        <f t="shared" si="27"/>
        <v>453258</v>
      </c>
      <c r="Q234" s="173">
        <v>42495</v>
      </c>
      <c r="R234" s="40">
        <v>42496</v>
      </c>
      <c r="S234" s="187">
        <f t="shared" si="25"/>
        <v>35</v>
      </c>
    </row>
    <row r="235" spans="1:20" s="3" customFormat="1" hidden="1" x14ac:dyDescent="0.25">
      <c r="A235" s="84">
        <f>+closed!A234+1</f>
        <v>167</v>
      </c>
      <c r="B235" s="24">
        <v>42451</v>
      </c>
      <c r="C235" s="1">
        <v>114</v>
      </c>
      <c r="D235" s="1">
        <v>3000028331</v>
      </c>
      <c r="E235" s="1" t="s">
        <v>15</v>
      </c>
      <c r="F235" s="16">
        <v>2888</v>
      </c>
      <c r="G235" s="25">
        <v>42437</v>
      </c>
      <c r="H235" s="25"/>
      <c r="I235" s="25">
        <v>42447</v>
      </c>
      <c r="J235" s="1" t="s">
        <v>16</v>
      </c>
      <c r="K235" s="1">
        <v>17</v>
      </c>
      <c r="L235" s="1">
        <v>16.940000000000001</v>
      </c>
      <c r="M235" s="1">
        <f t="shared" si="26"/>
        <v>16.940000000000001</v>
      </c>
      <c r="N235" s="7">
        <f t="shared" si="24"/>
        <v>42461</v>
      </c>
      <c r="O235" s="1">
        <v>824500</v>
      </c>
      <c r="P235" s="38">
        <f t="shared" si="27"/>
        <v>821590.00000000012</v>
      </c>
      <c r="Q235" s="173">
        <v>42495</v>
      </c>
      <c r="R235" s="40">
        <v>42496</v>
      </c>
      <c r="S235" s="187">
        <f t="shared" si="25"/>
        <v>35</v>
      </c>
    </row>
    <row r="236" spans="1:20" s="3" customFormat="1" hidden="1" x14ac:dyDescent="0.25">
      <c r="A236" s="84">
        <f>+closed!A326+1</f>
        <v>332</v>
      </c>
      <c r="B236" s="24">
        <v>42486</v>
      </c>
      <c r="C236" s="1">
        <v>103</v>
      </c>
      <c r="D236" s="1">
        <v>3000029940</v>
      </c>
      <c r="E236" s="1" t="s">
        <v>106</v>
      </c>
      <c r="F236" s="1">
        <v>1052</v>
      </c>
      <c r="G236" s="25">
        <v>42480</v>
      </c>
      <c r="H236" s="25"/>
      <c r="I236" s="25">
        <v>42484</v>
      </c>
      <c r="J236" s="1" t="s">
        <v>61</v>
      </c>
      <c r="K236" s="1">
        <v>19.73</v>
      </c>
      <c r="L236" s="1">
        <v>19.71</v>
      </c>
      <c r="M236" s="1">
        <f t="shared" si="26"/>
        <v>19.71</v>
      </c>
      <c r="N236" s="7">
        <f t="shared" si="24"/>
        <v>42498</v>
      </c>
      <c r="O236" s="1">
        <v>1711778</v>
      </c>
      <c r="P236" s="38">
        <f t="shared" si="27"/>
        <v>1710042.7967562089</v>
      </c>
      <c r="Q236" s="173">
        <v>42495</v>
      </c>
      <c r="R236" s="40">
        <v>42496</v>
      </c>
      <c r="S236" s="187">
        <f t="shared" si="25"/>
        <v>-2</v>
      </c>
    </row>
    <row r="237" spans="1:20" s="3" customFormat="1" hidden="1" x14ac:dyDescent="0.25">
      <c r="A237" s="84">
        <f>+closed!A226+1</f>
        <v>276</v>
      </c>
      <c r="B237" s="24">
        <v>42473</v>
      </c>
      <c r="C237" s="1">
        <v>114</v>
      </c>
      <c r="D237" s="1">
        <v>3000029407</v>
      </c>
      <c r="E237" s="1" t="s">
        <v>60</v>
      </c>
      <c r="F237" s="1">
        <v>331</v>
      </c>
      <c r="G237" s="25">
        <v>42460</v>
      </c>
      <c r="H237" s="25"/>
      <c r="I237" s="25">
        <v>42469</v>
      </c>
      <c r="J237" s="1" t="s">
        <v>61</v>
      </c>
      <c r="K237" s="1">
        <v>20.22</v>
      </c>
      <c r="L237" s="1">
        <v>20.21</v>
      </c>
      <c r="M237" s="1">
        <f t="shared" si="26"/>
        <v>20.21</v>
      </c>
      <c r="N237" s="7">
        <f t="shared" si="24"/>
        <v>42483</v>
      </c>
      <c r="O237" s="1">
        <v>1627833</v>
      </c>
      <c r="P237" s="38">
        <f t="shared" si="27"/>
        <v>1627027.9391691396</v>
      </c>
      <c r="Q237" s="173">
        <v>42495</v>
      </c>
      <c r="R237" s="40">
        <v>42496</v>
      </c>
      <c r="S237" s="187">
        <f t="shared" si="25"/>
        <v>13</v>
      </c>
    </row>
    <row r="238" spans="1:20" s="3" customFormat="1" hidden="1" x14ac:dyDescent="0.25">
      <c r="A238" s="84">
        <f>+closed!A233+1</f>
        <v>302</v>
      </c>
      <c r="B238" s="24">
        <v>42478</v>
      </c>
      <c r="C238" s="1">
        <v>103</v>
      </c>
      <c r="D238" s="1">
        <v>3000029586</v>
      </c>
      <c r="E238" s="1" t="s">
        <v>60</v>
      </c>
      <c r="F238" s="1">
        <v>25</v>
      </c>
      <c r="G238" s="25">
        <v>42467</v>
      </c>
      <c r="H238" s="25"/>
      <c r="I238" s="25">
        <v>42474</v>
      </c>
      <c r="J238" s="1" t="s">
        <v>61</v>
      </c>
      <c r="K238" s="1">
        <v>20.29</v>
      </c>
      <c r="L238" s="1">
        <v>20.23</v>
      </c>
      <c r="M238" s="1">
        <f t="shared" si="26"/>
        <v>20.23</v>
      </c>
      <c r="N238" s="7">
        <f t="shared" si="24"/>
        <v>42488</v>
      </c>
      <c r="O238" s="1">
        <v>1603042</v>
      </c>
      <c r="P238" s="38">
        <f t="shared" si="27"/>
        <v>1598301.6096599309</v>
      </c>
      <c r="Q238" s="173">
        <v>42495</v>
      </c>
      <c r="R238" s="40">
        <v>42496</v>
      </c>
      <c r="S238" s="187">
        <f t="shared" si="25"/>
        <v>8</v>
      </c>
    </row>
    <row r="239" spans="1:20" s="3" customFormat="1" hidden="1" x14ac:dyDescent="0.25">
      <c r="A239" s="84">
        <f>+closed!A261+1</f>
        <v>306</v>
      </c>
      <c r="B239" s="24">
        <v>42480</v>
      </c>
      <c r="C239" s="1">
        <v>103</v>
      </c>
      <c r="D239" s="1">
        <v>3000029586</v>
      </c>
      <c r="E239" s="1" t="s">
        <v>60</v>
      </c>
      <c r="F239" s="1">
        <v>42</v>
      </c>
      <c r="G239" s="25">
        <v>42472</v>
      </c>
      <c r="H239" s="25"/>
      <c r="I239" s="25">
        <v>42476</v>
      </c>
      <c r="J239" s="1" t="s">
        <v>61</v>
      </c>
      <c r="K239" s="1">
        <v>19.850000000000001</v>
      </c>
      <c r="L239" s="1">
        <v>19.809999999999999</v>
      </c>
      <c r="M239" s="1">
        <f t="shared" si="26"/>
        <v>19.809999999999999</v>
      </c>
      <c r="N239" s="7">
        <f t="shared" si="24"/>
        <v>42490</v>
      </c>
      <c r="O239" s="1">
        <v>1568280</v>
      </c>
      <c r="P239" s="38">
        <f t="shared" si="27"/>
        <v>1565119.7380352644</v>
      </c>
      <c r="Q239" s="173">
        <v>42495</v>
      </c>
      <c r="R239" s="40">
        <v>42496</v>
      </c>
      <c r="S239" s="187">
        <f t="shared" si="25"/>
        <v>6</v>
      </c>
      <c r="T239" s="15">
        <v>12023338</v>
      </c>
    </row>
    <row r="240" spans="1:20" s="3" customFormat="1" hidden="1" x14ac:dyDescent="0.25">
      <c r="A240" s="55">
        <f>+closed!A145+1</f>
        <v>36</v>
      </c>
      <c r="B240" s="54">
        <v>42397</v>
      </c>
      <c r="C240" s="55">
        <v>103</v>
      </c>
      <c r="D240" s="55">
        <v>3000026946</v>
      </c>
      <c r="E240" s="55" t="s">
        <v>23</v>
      </c>
      <c r="F240" s="55">
        <v>2605008124</v>
      </c>
      <c r="G240" s="56">
        <v>42369</v>
      </c>
      <c r="H240" s="56"/>
      <c r="I240" s="56">
        <v>42370</v>
      </c>
      <c r="J240" s="55" t="s">
        <v>43</v>
      </c>
      <c r="K240" s="55">
        <v>18.95</v>
      </c>
      <c r="L240" s="55">
        <v>18.920000000000002</v>
      </c>
      <c r="M240" s="55">
        <f t="shared" si="26"/>
        <v>18.920000000000002</v>
      </c>
      <c r="N240" s="23"/>
      <c r="O240" s="58">
        <v>955827</v>
      </c>
      <c r="P240" s="57">
        <f t="shared" si="27"/>
        <v>954313.81741424813</v>
      </c>
      <c r="Q240" s="175">
        <v>42517</v>
      </c>
      <c r="R240" s="47">
        <v>42493</v>
      </c>
      <c r="S240" s="188"/>
    </row>
    <row r="241" spans="1:19" s="3" customFormat="1" hidden="1" x14ac:dyDescent="0.25">
      <c r="A241" s="55">
        <f>+closed!A240+1</f>
        <v>37</v>
      </c>
      <c r="B241" s="54">
        <v>42397</v>
      </c>
      <c r="C241" s="55">
        <v>103</v>
      </c>
      <c r="D241" s="55">
        <v>3000026946</v>
      </c>
      <c r="E241" s="55" t="s">
        <v>23</v>
      </c>
      <c r="F241" s="55">
        <v>2605008156</v>
      </c>
      <c r="G241" s="56">
        <v>42370</v>
      </c>
      <c r="H241" s="56"/>
      <c r="I241" s="56">
        <v>42371</v>
      </c>
      <c r="J241" s="55" t="s">
        <v>43</v>
      </c>
      <c r="K241" s="55">
        <v>20</v>
      </c>
      <c r="L241" s="55">
        <v>19.98</v>
      </c>
      <c r="M241" s="55">
        <f t="shared" si="26"/>
        <v>19.98</v>
      </c>
      <c r="N241" s="23"/>
      <c r="O241" s="58">
        <v>1008788</v>
      </c>
      <c r="P241" s="57">
        <f t="shared" si="27"/>
        <v>1007779.2120000001</v>
      </c>
      <c r="Q241" s="175">
        <v>42517</v>
      </c>
      <c r="R241" s="47">
        <v>42493</v>
      </c>
      <c r="S241" s="188"/>
    </row>
    <row r="242" spans="1:19" s="3" customFormat="1" hidden="1" x14ac:dyDescent="0.25">
      <c r="A242" s="55">
        <f>+closed!A241+1</f>
        <v>38</v>
      </c>
      <c r="B242" s="54">
        <v>42397</v>
      </c>
      <c r="C242" s="55">
        <v>103</v>
      </c>
      <c r="D242" s="55">
        <v>3000026946</v>
      </c>
      <c r="E242" s="55" t="s">
        <v>23</v>
      </c>
      <c r="F242" s="55">
        <v>2605008175</v>
      </c>
      <c r="G242" s="56">
        <v>42371</v>
      </c>
      <c r="H242" s="56"/>
      <c r="I242" s="56">
        <v>42372</v>
      </c>
      <c r="J242" s="55" t="s">
        <v>43</v>
      </c>
      <c r="K242" s="55">
        <v>21.97</v>
      </c>
      <c r="L242" s="55">
        <v>21.94</v>
      </c>
      <c r="M242" s="55">
        <f t="shared" si="26"/>
        <v>21.94</v>
      </c>
      <c r="N242" s="23"/>
      <c r="O242" s="58">
        <v>1108153</v>
      </c>
      <c r="P242" s="57">
        <f t="shared" si="27"/>
        <v>1106639.8188438781</v>
      </c>
      <c r="Q242" s="175">
        <v>42517</v>
      </c>
      <c r="R242" s="47">
        <v>42493</v>
      </c>
      <c r="S242" s="188"/>
    </row>
    <row r="243" spans="1:19" s="3" customFormat="1" hidden="1" x14ac:dyDescent="0.25">
      <c r="A243" s="55">
        <f>+closed!A125+1</f>
        <v>8</v>
      </c>
      <c r="B243" s="54">
        <v>42381</v>
      </c>
      <c r="C243" s="55">
        <v>103</v>
      </c>
      <c r="D243" s="55">
        <v>3000026946</v>
      </c>
      <c r="E243" s="55" t="s">
        <v>23</v>
      </c>
      <c r="F243" s="55">
        <v>2605008178</v>
      </c>
      <c r="G243" s="56">
        <v>42373</v>
      </c>
      <c r="H243" s="56"/>
      <c r="I243" s="56">
        <v>42374</v>
      </c>
      <c r="J243" s="55" t="s">
        <v>43</v>
      </c>
      <c r="K243" s="55">
        <v>19.59</v>
      </c>
      <c r="L243" s="55">
        <v>19.55</v>
      </c>
      <c r="M243" s="55">
        <f t="shared" si="26"/>
        <v>19.55</v>
      </c>
      <c r="N243" s="23"/>
      <c r="O243" s="58">
        <v>988108</v>
      </c>
      <c r="P243" s="57">
        <f t="shared" si="27"/>
        <v>986090.42368555395</v>
      </c>
      <c r="Q243" s="175">
        <v>42517</v>
      </c>
      <c r="R243" s="47">
        <v>42493</v>
      </c>
      <c r="S243" s="188"/>
    </row>
    <row r="244" spans="1:19" s="3" customFormat="1" hidden="1" x14ac:dyDescent="0.25">
      <c r="A244" s="55">
        <f>+closed!A243+1</f>
        <v>9</v>
      </c>
      <c r="B244" s="54">
        <v>42381</v>
      </c>
      <c r="C244" s="55">
        <v>103</v>
      </c>
      <c r="D244" s="55">
        <v>3000026946</v>
      </c>
      <c r="E244" s="55" t="s">
        <v>23</v>
      </c>
      <c r="F244" s="55">
        <v>2605008184</v>
      </c>
      <c r="G244" s="56">
        <v>42373</v>
      </c>
      <c r="H244" s="56"/>
      <c r="I244" s="56">
        <v>42374</v>
      </c>
      <c r="J244" s="55" t="s">
        <v>43</v>
      </c>
      <c r="K244" s="55">
        <v>20.46</v>
      </c>
      <c r="L244" s="55">
        <v>20.41</v>
      </c>
      <c r="M244" s="55">
        <f t="shared" si="26"/>
        <v>20.41</v>
      </c>
      <c r="N244" s="23"/>
      <c r="O244" s="58">
        <v>1031989</v>
      </c>
      <c r="P244" s="57">
        <f t="shared" si="27"/>
        <v>1029467.032746823</v>
      </c>
      <c r="Q244" s="175">
        <v>42517</v>
      </c>
      <c r="R244" s="47">
        <v>42493</v>
      </c>
      <c r="S244" s="188"/>
    </row>
    <row r="245" spans="1:19" s="3" customFormat="1" hidden="1" x14ac:dyDescent="0.25">
      <c r="A245" s="55">
        <f>+closed!A244+1</f>
        <v>10</v>
      </c>
      <c r="B245" s="54">
        <v>42381</v>
      </c>
      <c r="C245" s="55">
        <v>103</v>
      </c>
      <c r="D245" s="55">
        <v>3000026946</v>
      </c>
      <c r="E245" s="55" t="s">
        <v>23</v>
      </c>
      <c r="F245" s="55">
        <v>2602008195</v>
      </c>
      <c r="G245" s="56">
        <v>42374</v>
      </c>
      <c r="H245" s="56"/>
      <c r="I245" s="56">
        <v>42375</v>
      </c>
      <c r="J245" s="55" t="s">
        <v>43</v>
      </c>
      <c r="K245" s="55">
        <v>19.77</v>
      </c>
      <c r="L245" s="55">
        <v>19.739999999999998</v>
      </c>
      <c r="M245" s="55">
        <f t="shared" si="26"/>
        <v>19.739999999999998</v>
      </c>
      <c r="N245" s="23"/>
      <c r="O245" s="58">
        <v>997186</v>
      </c>
      <c r="P245" s="57">
        <f t="shared" si="27"/>
        <v>995672.81942336878</v>
      </c>
      <c r="Q245" s="175">
        <v>42517</v>
      </c>
      <c r="R245" s="47">
        <v>42493</v>
      </c>
      <c r="S245" s="188"/>
    </row>
    <row r="246" spans="1:19" s="3" customFormat="1" hidden="1" x14ac:dyDescent="0.25">
      <c r="A246" s="55">
        <f>+closed!A245+1</f>
        <v>11</v>
      </c>
      <c r="B246" s="54">
        <v>42381</v>
      </c>
      <c r="C246" s="55">
        <v>103</v>
      </c>
      <c r="D246" s="55">
        <v>3000026946</v>
      </c>
      <c r="E246" s="55" t="s">
        <v>23</v>
      </c>
      <c r="F246" s="55">
        <v>2605008199</v>
      </c>
      <c r="G246" s="56">
        <v>42374</v>
      </c>
      <c r="H246" s="56"/>
      <c r="I246" s="56">
        <v>42375</v>
      </c>
      <c r="J246" s="55" t="s">
        <v>43</v>
      </c>
      <c r="K246" s="55">
        <v>19.84</v>
      </c>
      <c r="L246" s="55">
        <v>19.8</v>
      </c>
      <c r="M246" s="55">
        <f t="shared" si="26"/>
        <v>19.8</v>
      </c>
      <c r="N246" s="23"/>
      <c r="O246" s="58">
        <v>1000717</v>
      </c>
      <c r="P246" s="57">
        <f t="shared" si="27"/>
        <v>998699.42540322593</v>
      </c>
      <c r="Q246" s="175">
        <v>42517</v>
      </c>
      <c r="R246" s="47">
        <v>42493</v>
      </c>
      <c r="S246" s="188"/>
    </row>
    <row r="247" spans="1:19" s="3" customFormat="1" hidden="1" x14ac:dyDescent="0.25">
      <c r="A247" s="55">
        <f>+closed!A242+1</f>
        <v>39</v>
      </c>
      <c r="B247" s="54">
        <v>42397</v>
      </c>
      <c r="C247" s="55">
        <v>103</v>
      </c>
      <c r="D247" s="55">
        <v>3000026946</v>
      </c>
      <c r="E247" s="55" t="s">
        <v>23</v>
      </c>
      <c r="F247" s="55">
        <v>2605008207</v>
      </c>
      <c r="G247" s="56">
        <v>42375</v>
      </c>
      <c r="H247" s="56"/>
      <c r="I247" s="56">
        <v>42376</v>
      </c>
      <c r="J247" s="55" t="s">
        <v>43</v>
      </c>
      <c r="K247" s="55">
        <v>21.82</v>
      </c>
      <c r="L247" s="55">
        <v>21.82</v>
      </c>
      <c r="M247" s="55">
        <f t="shared" si="26"/>
        <v>21.82</v>
      </c>
      <c r="N247" s="23"/>
      <c r="O247" s="58">
        <v>1100587</v>
      </c>
      <c r="P247" s="57">
        <f t="shared" si="27"/>
        <v>1100587</v>
      </c>
      <c r="Q247" s="175">
        <v>42517</v>
      </c>
      <c r="R247" s="47">
        <v>42493</v>
      </c>
      <c r="S247" s="188"/>
    </row>
    <row r="248" spans="1:19" s="3" customFormat="1" hidden="1" x14ac:dyDescent="0.25">
      <c r="A248" s="55">
        <f>+closed!A247+1</f>
        <v>40</v>
      </c>
      <c r="B248" s="54">
        <v>42397</v>
      </c>
      <c r="C248" s="55">
        <v>103</v>
      </c>
      <c r="D248" s="55">
        <v>3000026946</v>
      </c>
      <c r="E248" s="55" t="s">
        <v>23</v>
      </c>
      <c r="F248" s="55">
        <v>2605008217</v>
      </c>
      <c r="G248" s="56">
        <v>42375</v>
      </c>
      <c r="H248" s="56"/>
      <c r="I248" s="56">
        <v>42376</v>
      </c>
      <c r="J248" s="55" t="s">
        <v>43</v>
      </c>
      <c r="K248" s="55">
        <v>19.350000000000001</v>
      </c>
      <c r="L248" s="55">
        <v>19.329999999999998</v>
      </c>
      <c r="M248" s="55">
        <f t="shared" si="26"/>
        <v>19.329999999999998</v>
      </c>
      <c r="N248" s="23"/>
      <c r="O248" s="58">
        <v>976002</v>
      </c>
      <c r="P248" s="57">
        <f t="shared" si="27"/>
        <v>974993.21240310057</v>
      </c>
      <c r="Q248" s="175">
        <v>42517</v>
      </c>
      <c r="R248" s="47">
        <v>42493</v>
      </c>
      <c r="S248" s="188"/>
    </row>
    <row r="249" spans="1:19" s="3" customFormat="1" hidden="1" x14ac:dyDescent="0.25">
      <c r="A249" s="55">
        <f>+closed!A248+1</f>
        <v>41</v>
      </c>
      <c r="B249" s="54">
        <v>42397</v>
      </c>
      <c r="C249" s="55">
        <v>103</v>
      </c>
      <c r="D249" s="55">
        <v>3000026946</v>
      </c>
      <c r="E249" s="55" t="s">
        <v>23</v>
      </c>
      <c r="F249" s="55">
        <v>2605008226</v>
      </c>
      <c r="G249" s="56">
        <v>42376</v>
      </c>
      <c r="H249" s="56"/>
      <c r="I249" s="56">
        <v>42377</v>
      </c>
      <c r="J249" s="55" t="s">
        <v>43</v>
      </c>
      <c r="K249" s="55">
        <v>19.940000000000001</v>
      </c>
      <c r="L249" s="55">
        <v>19.93</v>
      </c>
      <c r="M249" s="55">
        <f t="shared" si="26"/>
        <v>19.93</v>
      </c>
      <c r="N249" s="23"/>
      <c r="O249" s="58">
        <v>1005761</v>
      </c>
      <c r="P249" s="57">
        <f t="shared" si="27"/>
        <v>1005256.6063189567</v>
      </c>
      <c r="Q249" s="175">
        <v>42517</v>
      </c>
      <c r="R249" s="47">
        <v>42493</v>
      </c>
      <c r="S249" s="188"/>
    </row>
    <row r="250" spans="1:19" s="3" customFormat="1" hidden="1" x14ac:dyDescent="0.25">
      <c r="A250" s="55">
        <f>+closed!A249+1</f>
        <v>42</v>
      </c>
      <c r="B250" s="54">
        <v>42397</v>
      </c>
      <c r="C250" s="55">
        <v>103</v>
      </c>
      <c r="D250" s="55">
        <v>3000026946</v>
      </c>
      <c r="E250" s="55" t="s">
        <v>23</v>
      </c>
      <c r="F250" s="55">
        <v>2605008227</v>
      </c>
      <c r="G250" s="56">
        <v>42376</v>
      </c>
      <c r="H250" s="56"/>
      <c r="I250" s="56">
        <v>42377</v>
      </c>
      <c r="J250" s="55" t="s">
        <v>43</v>
      </c>
      <c r="K250" s="55">
        <v>19.739999999999998</v>
      </c>
      <c r="L250" s="55">
        <v>19.73</v>
      </c>
      <c r="M250" s="55">
        <f t="shared" si="26"/>
        <v>19.73</v>
      </c>
      <c r="N250" s="23"/>
      <c r="O250" s="58">
        <v>995673</v>
      </c>
      <c r="P250" s="57">
        <f t="shared" si="27"/>
        <v>995168.60638297885</v>
      </c>
      <c r="Q250" s="175">
        <v>42517</v>
      </c>
      <c r="R250" s="47">
        <v>42493</v>
      </c>
      <c r="S250" s="188"/>
    </row>
    <row r="251" spans="1:19" s="3" customFormat="1" hidden="1" x14ac:dyDescent="0.25">
      <c r="A251" s="55">
        <f>+closed!A250+1</f>
        <v>43</v>
      </c>
      <c r="B251" s="54">
        <v>42397</v>
      </c>
      <c r="C251" s="55">
        <v>103</v>
      </c>
      <c r="D251" s="55">
        <v>3000026946</v>
      </c>
      <c r="E251" s="55" t="s">
        <v>23</v>
      </c>
      <c r="F251" s="55">
        <v>2605008238</v>
      </c>
      <c r="G251" s="56">
        <v>42376</v>
      </c>
      <c r="H251" s="56"/>
      <c r="I251" s="56">
        <v>42377</v>
      </c>
      <c r="J251" s="55" t="s">
        <v>43</v>
      </c>
      <c r="K251" s="55">
        <v>20.12</v>
      </c>
      <c r="L251" s="55">
        <v>20.079999999999998</v>
      </c>
      <c r="M251" s="55">
        <f t="shared" si="26"/>
        <v>20.079999999999998</v>
      </c>
      <c r="N251" s="23"/>
      <c r="O251" s="58">
        <v>1014841</v>
      </c>
      <c r="P251" s="57">
        <f t="shared" si="27"/>
        <v>1012823.4234592444</v>
      </c>
      <c r="Q251" s="175">
        <v>42517</v>
      </c>
      <c r="R251" s="47">
        <v>42493</v>
      </c>
      <c r="S251" s="188"/>
    </row>
    <row r="252" spans="1:19" s="3" customFormat="1" hidden="1" x14ac:dyDescent="0.25">
      <c r="A252" s="55">
        <f>+closed!A251+1</f>
        <v>44</v>
      </c>
      <c r="B252" s="54">
        <v>42397</v>
      </c>
      <c r="C252" s="55">
        <v>103</v>
      </c>
      <c r="D252" s="55">
        <v>3000026946</v>
      </c>
      <c r="E252" s="55" t="s">
        <v>23</v>
      </c>
      <c r="F252" s="55">
        <v>2605008240</v>
      </c>
      <c r="G252" s="56">
        <v>42377</v>
      </c>
      <c r="H252" s="56"/>
      <c r="I252" s="56">
        <v>42378</v>
      </c>
      <c r="J252" s="55" t="s">
        <v>43</v>
      </c>
      <c r="K252" s="55">
        <v>19.68</v>
      </c>
      <c r="L252" s="55">
        <v>19.649999999999999</v>
      </c>
      <c r="M252" s="55">
        <f t="shared" si="26"/>
        <v>19.649999999999999</v>
      </c>
      <c r="N252" s="23"/>
      <c r="O252" s="58">
        <v>992647</v>
      </c>
      <c r="P252" s="57">
        <f t="shared" si="27"/>
        <v>991133.81859756086</v>
      </c>
      <c r="Q252" s="175">
        <v>42517</v>
      </c>
      <c r="R252" s="47">
        <v>42493</v>
      </c>
      <c r="S252" s="188"/>
    </row>
    <row r="253" spans="1:19" s="3" customFormat="1" hidden="1" x14ac:dyDescent="0.25">
      <c r="A253" s="55">
        <f>+closed!A254+1</f>
        <v>46</v>
      </c>
      <c r="B253" s="54">
        <v>42397</v>
      </c>
      <c r="C253" s="55">
        <v>113</v>
      </c>
      <c r="D253" s="55">
        <v>3000026946</v>
      </c>
      <c r="E253" s="55" t="s">
        <v>23</v>
      </c>
      <c r="F253" s="55">
        <v>2605008269</v>
      </c>
      <c r="G253" s="56">
        <v>42378</v>
      </c>
      <c r="H253" s="56"/>
      <c r="I253" s="56">
        <v>42379</v>
      </c>
      <c r="J253" s="55" t="s">
        <v>43</v>
      </c>
      <c r="K253" s="55">
        <v>21.59</v>
      </c>
      <c r="L253" s="55">
        <v>21.56</v>
      </c>
      <c r="M253" s="55">
        <f t="shared" si="26"/>
        <v>21.56</v>
      </c>
      <c r="N253" s="23"/>
      <c r="O253" s="58">
        <v>1088987</v>
      </c>
      <c r="P253" s="57">
        <f t="shared" si="27"/>
        <v>1087473.8175081054</v>
      </c>
      <c r="Q253" s="175">
        <v>42517</v>
      </c>
      <c r="R253" s="47">
        <v>42493</v>
      </c>
      <c r="S253" s="188"/>
    </row>
    <row r="254" spans="1:19" s="3" customFormat="1" hidden="1" x14ac:dyDescent="0.25">
      <c r="A254" s="55">
        <f>+closed!A252+1</f>
        <v>45</v>
      </c>
      <c r="B254" s="54">
        <v>42397</v>
      </c>
      <c r="C254" s="55">
        <v>113</v>
      </c>
      <c r="D254" s="55">
        <v>3000026946</v>
      </c>
      <c r="E254" s="55" t="s">
        <v>23</v>
      </c>
      <c r="F254" s="55">
        <v>2605008281</v>
      </c>
      <c r="G254" s="56">
        <v>42378</v>
      </c>
      <c r="H254" s="56"/>
      <c r="I254" s="56">
        <v>42379</v>
      </c>
      <c r="J254" s="55" t="s">
        <v>43</v>
      </c>
      <c r="K254" s="55">
        <v>19.84</v>
      </c>
      <c r="L254" s="55">
        <v>19.809999999999999</v>
      </c>
      <c r="M254" s="55">
        <f t="shared" si="26"/>
        <v>19.809999999999999</v>
      </c>
      <c r="N254" s="23"/>
      <c r="O254" s="58">
        <v>1000717</v>
      </c>
      <c r="P254" s="57">
        <f t="shared" si="27"/>
        <v>999203.81905241928</v>
      </c>
      <c r="Q254" s="175">
        <v>42517</v>
      </c>
      <c r="R254" s="47">
        <v>42493</v>
      </c>
      <c r="S254" s="188"/>
    </row>
    <row r="255" spans="1:19" s="3" customFormat="1" hidden="1" x14ac:dyDescent="0.25">
      <c r="A255" s="55">
        <f>+closed!A253+1</f>
        <v>47</v>
      </c>
      <c r="B255" s="54">
        <v>115445</v>
      </c>
      <c r="C255" s="55">
        <v>103</v>
      </c>
      <c r="D255" s="55">
        <v>3000026946</v>
      </c>
      <c r="E255" s="55" t="s">
        <v>23</v>
      </c>
      <c r="F255" s="55">
        <v>2605008290</v>
      </c>
      <c r="G255" s="56">
        <v>42380</v>
      </c>
      <c r="H255" s="56"/>
      <c r="I255" s="56">
        <v>42381</v>
      </c>
      <c r="J255" s="55" t="s">
        <v>43</v>
      </c>
      <c r="K255" s="55">
        <v>21.83</v>
      </c>
      <c r="L255" s="55">
        <v>21.82</v>
      </c>
      <c r="M255" s="55">
        <f t="shared" si="26"/>
        <v>21.82</v>
      </c>
      <c r="N255" s="23"/>
      <c r="O255" s="58">
        <v>1101092</v>
      </c>
      <c r="P255" s="57">
        <f t="shared" si="27"/>
        <v>1100587.6060467248</v>
      </c>
      <c r="Q255" s="175">
        <v>42517</v>
      </c>
      <c r="R255" s="47">
        <v>42493</v>
      </c>
      <c r="S255" s="188"/>
    </row>
    <row r="256" spans="1:19" s="3" customFormat="1" hidden="1" x14ac:dyDescent="0.25">
      <c r="A256" s="55">
        <f>+closed!A255+1</f>
        <v>48</v>
      </c>
      <c r="B256" s="54">
        <v>42397</v>
      </c>
      <c r="C256" s="55">
        <v>103</v>
      </c>
      <c r="D256" s="55">
        <v>3000026946</v>
      </c>
      <c r="E256" s="55" t="s">
        <v>23</v>
      </c>
      <c r="F256" s="55">
        <v>2605008302</v>
      </c>
      <c r="G256" s="56">
        <v>42380</v>
      </c>
      <c r="H256" s="56"/>
      <c r="I256" s="56">
        <v>42381</v>
      </c>
      <c r="J256" s="55" t="s">
        <v>43</v>
      </c>
      <c r="K256" s="55">
        <v>19.760000000000002</v>
      </c>
      <c r="L256" s="55">
        <v>19.73</v>
      </c>
      <c r="M256" s="55">
        <f t="shared" si="26"/>
        <v>19.73</v>
      </c>
      <c r="N256" s="23"/>
      <c r="O256" s="58">
        <v>996682</v>
      </c>
      <c r="P256" s="57">
        <f t="shared" si="27"/>
        <v>995168.8188259108</v>
      </c>
      <c r="Q256" s="175">
        <v>42517</v>
      </c>
      <c r="R256" s="47">
        <v>42493</v>
      </c>
      <c r="S256" s="188"/>
    </row>
    <row r="257" spans="1:20" s="3" customFormat="1" hidden="1" x14ac:dyDescent="0.25">
      <c r="A257" s="55">
        <f>+closed!A256+1</f>
        <v>49</v>
      </c>
      <c r="B257" s="54">
        <v>42397</v>
      </c>
      <c r="C257" s="55">
        <v>103</v>
      </c>
      <c r="D257" s="55">
        <v>3000026946</v>
      </c>
      <c r="E257" s="55" t="s">
        <v>23</v>
      </c>
      <c r="F257" s="55">
        <v>2605008313</v>
      </c>
      <c r="G257" s="56">
        <v>42380</v>
      </c>
      <c r="H257" s="56"/>
      <c r="I257" s="56">
        <v>42382</v>
      </c>
      <c r="J257" s="55" t="s">
        <v>43</v>
      </c>
      <c r="K257" s="55">
        <v>24.7</v>
      </c>
      <c r="L257" s="55">
        <v>24.66</v>
      </c>
      <c r="M257" s="55">
        <f t="shared" si="26"/>
        <v>24.66</v>
      </c>
      <c r="N257" s="23"/>
      <c r="O257" s="58">
        <v>1245852</v>
      </c>
      <c r="P257" s="57">
        <f t="shared" si="27"/>
        <v>1243834.4259109313</v>
      </c>
      <c r="Q257" s="175">
        <v>42517</v>
      </c>
      <c r="R257" s="47">
        <v>42493</v>
      </c>
      <c r="S257" s="188"/>
    </row>
    <row r="258" spans="1:20" s="3" customFormat="1" hidden="1" x14ac:dyDescent="0.25">
      <c r="A258" s="55">
        <f>+closed!A257+1</f>
        <v>50</v>
      </c>
      <c r="B258" s="54">
        <v>42397</v>
      </c>
      <c r="C258" s="55">
        <v>103</v>
      </c>
      <c r="D258" s="55">
        <v>3000026946</v>
      </c>
      <c r="E258" s="55" t="s">
        <v>23</v>
      </c>
      <c r="F258" s="55">
        <v>2605008325</v>
      </c>
      <c r="G258" s="56">
        <v>42381</v>
      </c>
      <c r="H258" s="56"/>
      <c r="I258" s="56">
        <v>42382</v>
      </c>
      <c r="J258" s="55" t="s">
        <v>43</v>
      </c>
      <c r="K258" s="55">
        <v>21.85</v>
      </c>
      <c r="L258" s="55">
        <v>21.8</v>
      </c>
      <c r="M258" s="55">
        <f t="shared" si="26"/>
        <v>21.8</v>
      </c>
      <c r="N258" s="23"/>
      <c r="O258" s="58">
        <v>1102100</v>
      </c>
      <c r="P258" s="57">
        <f t="shared" si="27"/>
        <v>1099578.0320366132</v>
      </c>
      <c r="Q258" s="175">
        <v>42517</v>
      </c>
      <c r="R258" s="47">
        <v>42493</v>
      </c>
      <c r="S258" s="188"/>
      <c r="T258" s="15">
        <v>19684472</v>
      </c>
    </row>
    <row r="259" spans="1:20" s="3" customFormat="1" hidden="1" x14ac:dyDescent="0.25">
      <c r="A259" s="84">
        <f>+closed!A356+1</f>
        <v>353</v>
      </c>
      <c r="B259" s="24">
        <v>42492</v>
      </c>
      <c r="C259" s="1">
        <v>114</v>
      </c>
      <c r="D259" s="1">
        <v>3000029795</v>
      </c>
      <c r="E259" s="1" t="s">
        <v>111</v>
      </c>
      <c r="F259" s="1">
        <v>1611800199</v>
      </c>
      <c r="G259" s="25">
        <v>42476</v>
      </c>
      <c r="H259" s="25"/>
      <c r="I259" s="25">
        <v>42476</v>
      </c>
      <c r="J259" s="1" t="s">
        <v>112</v>
      </c>
      <c r="K259" s="1">
        <v>16</v>
      </c>
      <c r="L259" s="1">
        <v>16</v>
      </c>
      <c r="M259" s="1">
        <f t="shared" si="26"/>
        <v>16</v>
      </c>
      <c r="N259" s="7">
        <f t="shared" ref="N259:N290" si="28">+I259+15-1</f>
        <v>42490</v>
      </c>
      <c r="O259" s="1">
        <v>1230120</v>
      </c>
      <c r="P259" s="18">
        <f t="shared" si="27"/>
        <v>1230120</v>
      </c>
      <c r="Q259" s="173">
        <v>42501</v>
      </c>
      <c r="R259" s="40">
        <v>42501</v>
      </c>
      <c r="S259" s="188">
        <f t="shared" ref="S259:S294" si="29">R259-N259</f>
        <v>11</v>
      </c>
    </row>
    <row r="260" spans="1:20" s="3" customFormat="1" hidden="1" x14ac:dyDescent="0.25">
      <c r="A260" s="84">
        <f>+closed!A229+1</f>
        <v>304</v>
      </c>
      <c r="B260" s="24">
        <v>42480</v>
      </c>
      <c r="C260" s="1">
        <v>103</v>
      </c>
      <c r="D260" s="1">
        <v>3000029570</v>
      </c>
      <c r="E260" s="1" t="s">
        <v>60</v>
      </c>
      <c r="F260" s="1">
        <v>22</v>
      </c>
      <c r="G260" s="25">
        <v>42467</v>
      </c>
      <c r="H260" s="25"/>
      <c r="I260" s="25">
        <v>42477</v>
      </c>
      <c r="J260" s="1" t="s">
        <v>61</v>
      </c>
      <c r="K260" s="1">
        <v>16</v>
      </c>
      <c r="L260" s="1">
        <v>15.96</v>
      </c>
      <c r="M260" s="1">
        <f t="shared" si="26"/>
        <v>15.96</v>
      </c>
      <c r="N260" s="7">
        <f t="shared" si="28"/>
        <v>42491</v>
      </c>
      <c r="O260" s="1">
        <v>1256597</v>
      </c>
      <c r="P260" s="38">
        <f t="shared" si="27"/>
        <v>1253455.5075000001</v>
      </c>
      <c r="Q260" s="173">
        <v>42501</v>
      </c>
      <c r="R260" s="40">
        <v>42501</v>
      </c>
      <c r="S260" s="188">
        <f t="shared" si="29"/>
        <v>10</v>
      </c>
    </row>
    <row r="261" spans="1:20" s="3" customFormat="1" hidden="1" x14ac:dyDescent="0.25">
      <c r="A261" s="84">
        <f>+closed!A260+1</f>
        <v>305</v>
      </c>
      <c r="B261" s="24">
        <v>42480</v>
      </c>
      <c r="C261" s="1">
        <v>103</v>
      </c>
      <c r="D261" s="1">
        <v>3000029586</v>
      </c>
      <c r="E261" s="1" t="s">
        <v>60</v>
      </c>
      <c r="F261" s="1">
        <v>24</v>
      </c>
      <c r="G261" s="25">
        <v>42467</v>
      </c>
      <c r="H261" s="25"/>
      <c r="I261" s="25">
        <v>42477</v>
      </c>
      <c r="J261" s="1" t="s">
        <v>61</v>
      </c>
      <c r="K261" s="1">
        <v>16.25</v>
      </c>
      <c r="L261" s="1">
        <v>16.23</v>
      </c>
      <c r="M261" s="1">
        <f t="shared" si="26"/>
        <v>16.23</v>
      </c>
      <c r="N261" s="7">
        <f t="shared" si="28"/>
        <v>42491</v>
      </c>
      <c r="O261" s="1">
        <v>1283857</v>
      </c>
      <c r="P261" s="38">
        <f t="shared" si="27"/>
        <v>1282276.8683076925</v>
      </c>
      <c r="Q261" s="173">
        <v>42501</v>
      </c>
      <c r="R261" s="40">
        <v>42501</v>
      </c>
      <c r="S261" s="188">
        <f t="shared" si="29"/>
        <v>10</v>
      </c>
    </row>
    <row r="262" spans="1:20" s="3" customFormat="1" hidden="1" x14ac:dyDescent="0.25">
      <c r="A262" s="84">
        <f>+closed!A322+1</f>
        <v>318</v>
      </c>
      <c r="B262" s="24">
        <v>42482</v>
      </c>
      <c r="C262" s="1">
        <v>114</v>
      </c>
      <c r="D262" s="1">
        <v>3000029429</v>
      </c>
      <c r="E262" s="1" t="s">
        <v>71</v>
      </c>
      <c r="F262" s="1">
        <v>81</v>
      </c>
      <c r="G262" s="25">
        <v>42467</v>
      </c>
      <c r="H262" s="25"/>
      <c r="I262" s="25">
        <v>42479</v>
      </c>
      <c r="J262" s="1" t="s">
        <v>61</v>
      </c>
      <c r="K262" s="1">
        <v>19.100000000000001</v>
      </c>
      <c r="L262" s="1">
        <v>18.850000000000001</v>
      </c>
      <c r="M262" s="1">
        <f t="shared" si="26"/>
        <v>18.850000000000001</v>
      </c>
      <c r="N262" s="7">
        <f t="shared" si="28"/>
        <v>42493</v>
      </c>
      <c r="O262" s="1">
        <v>1575750</v>
      </c>
      <c r="P262" s="36">
        <f t="shared" si="27"/>
        <v>1555125.0000000002</v>
      </c>
      <c r="Q262" s="173">
        <v>42501</v>
      </c>
      <c r="R262" s="40">
        <v>42501</v>
      </c>
      <c r="S262" s="188">
        <f t="shared" si="29"/>
        <v>8</v>
      </c>
    </row>
    <row r="263" spans="1:20" s="3" customFormat="1" hidden="1" x14ac:dyDescent="0.25">
      <c r="A263" s="84">
        <f>+closed!A410+1</f>
        <v>322</v>
      </c>
      <c r="B263" s="24">
        <v>42482</v>
      </c>
      <c r="C263" s="1">
        <v>103</v>
      </c>
      <c r="D263" s="1">
        <v>3000029421</v>
      </c>
      <c r="E263" s="1" t="s">
        <v>77</v>
      </c>
      <c r="F263" s="1">
        <v>10</v>
      </c>
      <c r="G263" s="25">
        <v>42475</v>
      </c>
      <c r="H263" s="25"/>
      <c r="I263" s="25">
        <v>42480</v>
      </c>
      <c r="J263" s="1" t="s">
        <v>61</v>
      </c>
      <c r="K263" s="1">
        <v>20.28</v>
      </c>
      <c r="L263" s="1">
        <v>20.23</v>
      </c>
      <c r="M263" s="1">
        <f t="shared" si="26"/>
        <v>20.23</v>
      </c>
      <c r="N263" s="7">
        <f t="shared" si="28"/>
        <v>42494</v>
      </c>
      <c r="O263" s="1">
        <v>1602120</v>
      </c>
      <c r="P263" s="38">
        <f t="shared" si="27"/>
        <v>1598170</v>
      </c>
      <c r="Q263" s="173">
        <v>42501</v>
      </c>
      <c r="R263" s="40">
        <v>42501</v>
      </c>
      <c r="S263" s="188">
        <f t="shared" si="29"/>
        <v>7</v>
      </c>
    </row>
    <row r="264" spans="1:20" s="3" customFormat="1" hidden="1" x14ac:dyDescent="0.25">
      <c r="A264" s="84">
        <f>+closed!A363+1</f>
        <v>371</v>
      </c>
      <c r="B264" s="24">
        <v>42496</v>
      </c>
      <c r="C264" s="1">
        <v>103</v>
      </c>
      <c r="D264" s="1">
        <v>3000029940</v>
      </c>
      <c r="E264" s="1" t="s">
        <v>106</v>
      </c>
      <c r="F264" s="1">
        <v>1053</v>
      </c>
      <c r="G264" s="25">
        <v>42480</v>
      </c>
      <c r="H264" s="25"/>
      <c r="I264" s="25">
        <v>42480</v>
      </c>
      <c r="J264" s="1" t="s">
        <v>61</v>
      </c>
      <c r="K264" s="1">
        <v>19.79</v>
      </c>
      <c r="L264" s="1">
        <v>19.73</v>
      </c>
      <c r="M264" s="1">
        <f t="shared" si="26"/>
        <v>19.73</v>
      </c>
      <c r="N264" s="7">
        <f t="shared" si="28"/>
        <v>42494</v>
      </c>
      <c r="O264" s="1">
        <v>1716782.5</v>
      </c>
      <c r="P264" s="18">
        <f t="shared" si="27"/>
        <v>1711577.5</v>
      </c>
      <c r="Q264" s="173">
        <v>42501</v>
      </c>
      <c r="R264" s="40">
        <v>42501</v>
      </c>
      <c r="S264" s="188">
        <f t="shared" si="29"/>
        <v>7</v>
      </c>
    </row>
    <row r="265" spans="1:20" s="3" customFormat="1" hidden="1" x14ac:dyDescent="0.25">
      <c r="A265" s="84">
        <f>+closed!A294+1</f>
        <v>335</v>
      </c>
      <c r="B265" s="24">
        <v>42489</v>
      </c>
      <c r="C265" s="1">
        <v>103</v>
      </c>
      <c r="D265" s="1">
        <v>3000029484</v>
      </c>
      <c r="E265" s="1" t="s">
        <v>78</v>
      </c>
      <c r="F265" s="1">
        <v>498</v>
      </c>
      <c r="G265" s="25">
        <v>42480</v>
      </c>
      <c r="H265" s="25"/>
      <c r="I265" s="25">
        <v>42485</v>
      </c>
      <c r="J265" s="1" t="s">
        <v>61</v>
      </c>
      <c r="K265" s="1">
        <v>19.73</v>
      </c>
      <c r="L265" s="1">
        <v>19.68</v>
      </c>
      <c r="M265" s="1">
        <f t="shared" si="26"/>
        <v>19.68</v>
      </c>
      <c r="N265" s="7">
        <f t="shared" si="28"/>
        <v>42499</v>
      </c>
      <c r="O265" s="1">
        <v>1578400</v>
      </c>
      <c r="P265" s="38">
        <f t="shared" si="27"/>
        <v>1574400</v>
      </c>
      <c r="Q265" s="173">
        <v>42501</v>
      </c>
      <c r="R265" s="40">
        <v>42501</v>
      </c>
      <c r="S265" s="188">
        <f t="shared" si="29"/>
        <v>2</v>
      </c>
    </row>
    <row r="266" spans="1:20" s="65" customFormat="1" hidden="1" x14ac:dyDescent="0.25">
      <c r="A266" s="18">
        <f>+closed!A169+1</f>
        <v>218</v>
      </c>
      <c r="B266" s="60">
        <v>42464</v>
      </c>
      <c r="C266" s="18">
        <v>117</v>
      </c>
      <c r="D266" s="18">
        <v>3000029123</v>
      </c>
      <c r="E266" s="18" t="s">
        <v>47</v>
      </c>
      <c r="F266" s="18">
        <v>236</v>
      </c>
      <c r="G266" s="61">
        <v>42446</v>
      </c>
      <c r="H266" s="61"/>
      <c r="I266" s="61">
        <v>42446</v>
      </c>
      <c r="J266" s="18" t="s">
        <v>73</v>
      </c>
      <c r="K266" s="18" t="s">
        <v>74</v>
      </c>
      <c r="L266" s="18" t="s">
        <v>74</v>
      </c>
      <c r="M266" s="18" t="str">
        <f t="shared" si="26"/>
        <v>50 KG</v>
      </c>
      <c r="N266" s="62">
        <f t="shared" si="28"/>
        <v>42460</v>
      </c>
      <c r="O266" s="18">
        <v>6761</v>
      </c>
      <c r="P266" s="38">
        <v>6761</v>
      </c>
      <c r="Q266" s="170">
        <v>42467</v>
      </c>
      <c r="R266" s="40">
        <v>42501</v>
      </c>
      <c r="S266" s="188">
        <f t="shared" si="29"/>
        <v>41</v>
      </c>
    </row>
    <row r="267" spans="1:20" s="65" customFormat="1" hidden="1" x14ac:dyDescent="0.25">
      <c r="A267" s="18">
        <f>+closed!A266+1</f>
        <v>219</v>
      </c>
      <c r="B267" s="60">
        <v>42464</v>
      </c>
      <c r="C267" s="18">
        <v>117</v>
      </c>
      <c r="D267" s="18">
        <v>3000029121</v>
      </c>
      <c r="E267" s="18" t="s">
        <v>47</v>
      </c>
      <c r="F267" s="18">
        <v>237</v>
      </c>
      <c r="G267" s="61">
        <v>42446</v>
      </c>
      <c r="H267" s="61"/>
      <c r="I267" s="61">
        <v>42446</v>
      </c>
      <c r="J267" s="18" t="s">
        <v>48</v>
      </c>
      <c r="K267" s="18" t="s">
        <v>74</v>
      </c>
      <c r="L267" s="18" t="s">
        <v>74</v>
      </c>
      <c r="M267" s="18" t="str">
        <f t="shared" si="26"/>
        <v>50 KG</v>
      </c>
      <c r="N267" s="62">
        <f t="shared" si="28"/>
        <v>42460</v>
      </c>
      <c r="O267" s="18">
        <v>6033</v>
      </c>
      <c r="P267" s="38">
        <v>6033</v>
      </c>
      <c r="Q267" s="170">
        <v>42467</v>
      </c>
      <c r="R267" s="40">
        <v>42501</v>
      </c>
      <c r="S267" s="188">
        <f t="shared" si="29"/>
        <v>41</v>
      </c>
    </row>
    <row r="268" spans="1:20" s="3" customFormat="1" hidden="1" x14ac:dyDescent="0.25">
      <c r="A268" s="84">
        <f>+closed!A192+1</f>
        <v>177</v>
      </c>
      <c r="B268" s="24">
        <v>42457</v>
      </c>
      <c r="C268" s="1">
        <v>114</v>
      </c>
      <c r="D268" s="1">
        <v>3000028668</v>
      </c>
      <c r="E268" s="1" t="s">
        <v>37</v>
      </c>
      <c r="F268" s="16">
        <v>304</v>
      </c>
      <c r="G268" s="25">
        <v>42447</v>
      </c>
      <c r="H268" s="25"/>
      <c r="I268" s="25">
        <v>42451</v>
      </c>
      <c r="J268" s="1" t="s">
        <v>8</v>
      </c>
      <c r="K268" s="1">
        <v>26.34</v>
      </c>
      <c r="L268" s="1">
        <v>26.28</v>
      </c>
      <c r="M268" s="1">
        <f t="shared" si="26"/>
        <v>26.28</v>
      </c>
      <c r="N268" s="7">
        <f t="shared" si="28"/>
        <v>42465</v>
      </c>
      <c r="O268" s="1">
        <v>1216908</v>
      </c>
      <c r="P268" s="38">
        <f>(+O268/K268*M268)</f>
        <v>1214136</v>
      </c>
      <c r="Q268" s="170">
        <v>42502</v>
      </c>
      <c r="R268" s="40">
        <v>42503</v>
      </c>
      <c r="S268" s="188">
        <f t="shared" si="29"/>
        <v>38</v>
      </c>
    </row>
    <row r="269" spans="1:20" s="3" customFormat="1" hidden="1" x14ac:dyDescent="0.25">
      <c r="A269" s="84">
        <f>+closed!A268+1</f>
        <v>178</v>
      </c>
      <c r="B269" s="24">
        <v>42457</v>
      </c>
      <c r="C269" s="1">
        <v>114</v>
      </c>
      <c r="D269" s="1">
        <v>3000028669</v>
      </c>
      <c r="E269" s="1" t="s">
        <v>37</v>
      </c>
      <c r="F269" s="16">
        <v>304</v>
      </c>
      <c r="G269" s="25">
        <v>42447</v>
      </c>
      <c r="H269" s="25"/>
      <c r="I269" s="25">
        <v>42451</v>
      </c>
      <c r="J269" s="1" t="s">
        <v>8</v>
      </c>
      <c r="K269" s="1">
        <v>2.58</v>
      </c>
      <c r="L269" s="1">
        <v>2.58</v>
      </c>
      <c r="M269" s="1">
        <f t="shared" si="26"/>
        <v>2.58</v>
      </c>
      <c r="N269" s="7">
        <f t="shared" si="28"/>
        <v>42465</v>
      </c>
      <c r="O269" s="1">
        <v>119196</v>
      </c>
      <c r="P269" s="38">
        <v>119196</v>
      </c>
      <c r="Q269" s="170">
        <v>42502</v>
      </c>
      <c r="R269" s="40">
        <v>42503</v>
      </c>
      <c r="S269" s="188">
        <f t="shared" si="29"/>
        <v>38</v>
      </c>
    </row>
    <row r="270" spans="1:20" s="3" customFormat="1" hidden="1" x14ac:dyDescent="0.25">
      <c r="A270" s="84">
        <f>+closed!A180+1</f>
        <v>190</v>
      </c>
      <c r="B270" s="24">
        <v>42459</v>
      </c>
      <c r="C270" s="1">
        <v>114</v>
      </c>
      <c r="D270" s="1">
        <v>3000028332</v>
      </c>
      <c r="E270" s="1" t="s">
        <v>44</v>
      </c>
      <c r="F270" s="1">
        <v>148</v>
      </c>
      <c r="G270" s="25">
        <v>42452</v>
      </c>
      <c r="H270" s="25"/>
      <c r="I270" s="25">
        <v>42456</v>
      </c>
      <c r="J270" s="1" t="s">
        <v>16</v>
      </c>
      <c r="K270" s="1">
        <v>30.54</v>
      </c>
      <c r="L270" s="1">
        <v>30.53</v>
      </c>
      <c r="M270" s="1">
        <f t="shared" si="26"/>
        <v>30.53</v>
      </c>
      <c r="N270" s="7">
        <f t="shared" si="28"/>
        <v>42470</v>
      </c>
      <c r="O270" s="1">
        <v>1481190</v>
      </c>
      <c r="P270" s="38">
        <f t="shared" ref="P270:P277" si="30">(+O270/K270*M270)</f>
        <v>1480705</v>
      </c>
      <c r="Q270" s="170">
        <v>42502</v>
      </c>
      <c r="R270" s="40">
        <v>42503</v>
      </c>
      <c r="S270" s="188">
        <f t="shared" si="29"/>
        <v>33</v>
      </c>
    </row>
    <row r="271" spans="1:20" s="3" customFormat="1" hidden="1" x14ac:dyDescent="0.25">
      <c r="A271" s="84">
        <f>+closed!A214+1</f>
        <v>234</v>
      </c>
      <c r="B271" s="24">
        <v>42466</v>
      </c>
      <c r="C271" s="1">
        <v>103</v>
      </c>
      <c r="D271" s="1">
        <v>3000027412</v>
      </c>
      <c r="E271" s="1" t="s">
        <v>50</v>
      </c>
      <c r="F271" s="1">
        <v>72</v>
      </c>
      <c r="G271" s="25">
        <v>42459</v>
      </c>
      <c r="H271" s="25"/>
      <c r="I271" s="25">
        <v>42459</v>
      </c>
      <c r="J271" s="1" t="s">
        <v>43</v>
      </c>
      <c r="K271" s="1">
        <v>26.7</v>
      </c>
      <c r="L271" s="1">
        <v>26.7</v>
      </c>
      <c r="M271" s="1">
        <f t="shared" si="26"/>
        <v>26.7</v>
      </c>
      <c r="N271" s="7">
        <f t="shared" si="28"/>
        <v>42473</v>
      </c>
      <c r="O271" s="1">
        <v>1256169</v>
      </c>
      <c r="P271" s="38">
        <f t="shared" si="30"/>
        <v>1256169</v>
      </c>
      <c r="Q271" s="170">
        <v>42502</v>
      </c>
      <c r="R271" s="40">
        <v>42503</v>
      </c>
      <c r="S271" s="188">
        <f t="shared" si="29"/>
        <v>30</v>
      </c>
    </row>
    <row r="272" spans="1:20" s="3" customFormat="1" hidden="1" x14ac:dyDescent="0.25">
      <c r="A272" s="84">
        <f>+closed!A207+1</f>
        <v>224</v>
      </c>
      <c r="B272" s="24">
        <v>42466</v>
      </c>
      <c r="C272" s="1">
        <v>114</v>
      </c>
      <c r="D272" s="1">
        <v>3000028620</v>
      </c>
      <c r="E272" s="1" t="s">
        <v>49</v>
      </c>
      <c r="F272" s="1">
        <v>2</v>
      </c>
      <c r="G272" s="25">
        <v>42461</v>
      </c>
      <c r="H272" s="25"/>
      <c r="I272" s="25">
        <v>42462</v>
      </c>
      <c r="J272" s="1" t="s">
        <v>8</v>
      </c>
      <c r="K272" s="1">
        <v>4</v>
      </c>
      <c r="L272" s="1">
        <v>3.92</v>
      </c>
      <c r="M272" s="1">
        <f t="shared" si="26"/>
        <v>3.92</v>
      </c>
      <c r="N272" s="7">
        <f t="shared" si="28"/>
        <v>42476</v>
      </c>
      <c r="O272" s="1">
        <v>184800</v>
      </c>
      <c r="P272" s="38">
        <f t="shared" si="30"/>
        <v>181104</v>
      </c>
      <c r="Q272" s="170">
        <v>42502</v>
      </c>
      <c r="R272" s="40">
        <v>42503</v>
      </c>
      <c r="S272" s="188">
        <f t="shared" si="29"/>
        <v>27</v>
      </c>
    </row>
    <row r="273" spans="1:19" s="3" customFormat="1" hidden="1" x14ac:dyDescent="0.25">
      <c r="A273" s="84">
        <f>+closed!A272+1</f>
        <v>225</v>
      </c>
      <c r="B273" s="24">
        <v>42466</v>
      </c>
      <c r="C273" s="1">
        <v>114</v>
      </c>
      <c r="D273" s="1">
        <v>3000028765</v>
      </c>
      <c r="E273" s="1" t="s">
        <v>55</v>
      </c>
      <c r="F273" s="1">
        <v>9</v>
      </c>
      <c r="G273" s="25">
        <v>42457</v>
      </c>
      <c r="H273" s="25"/>
      <c r="I273" s="25">
        <v>42462</v>
      </c>
      <c r="J273" s="1" t="s">
        <v>8</v>
      </c>
      <c r="K273" s="1">
        <v>27.09</v>
      </c>
      <c r="L273" s="1">
        <v>27.02</v>
      </c>
      <c r="M273" s="1">
        <f t="shared" si="26"/>
        <v>27.02</v>
      </c>
      <c r="N273" s="7">
        <f t="shared" si="28"/>
        <v>42476</v>
      </c>
      <c r="O273" s="1">
        <v>1238013</v>
      </c>
      <c r="P273" s="38">
        <f t="shared" si="30"/>
        <v>1234814</v>
      </c>
      <c r="Q273" s="170">
        <v>42502</v>
      </c>
      <c r="R273" s="40">
        <v>42503</v>
      </c>
      <c r="S273" s="188">
        <f t="shared" si="29"/>
        <v>27</v>
      </c>
    </row>
    <row r="274" spans="1:19" s="3" customFormat="1" hidden="1" x14ac:dyDescent="0.25">
      <c r="A274" s="84">
        <f>+closed!A210+1</f>
        <v>246</v>
      </c>
      <c r="B274" s="24">
        <v>42471</v>
      </c>
      <c r="C274" s="1">
        <v>114</v>
      </c>
      <c r="D274" s="1">
        <v>3000028250</v>
      </c>
      <c r="E274" s="1" t="s">
        <v>17</v>
      </c>
      <c r="F274" s="1">
        <v>3</v>
      </c>
      <c r="G274" s="25">
        <v>42461</v>
      </c>
      <c r="H274" s="25"/>
      <c r="I274" s="25">
        <v>42465</v>
      </c>
      <c r="J274" s="1" t="s">
        <v>8</v>
      </c>
      <c r="K274" s="1">
        <v>15.5</v>
      </c>
      <c r="L274" s="1">
        <v>15.35</v>
      </c>
      <c r="M274" s="1">
        <f t="shared" si="26"/>
        <v>15.35</v>
      </c>
      <c r="N274" s="7">
        <f t="shared" si="28"/>
        <v>42479</v>
      </c>
      <c r="O274" s="1">
        <v>695950</v>
      </c>
      <c r="P274" s="38">
        <f t="shared" si="30"/>
        <v>689215</v>
      </c>
      <c r="Q274" s="170">
        <v>42502</v>
      </c>
      <c r="R274" s="40">
        <v>42503</v>
      </c>
      <c r="S274" s="188">
        <f t="shared" si="29"/>
        <v>24</v>
      </c>
    </row>
    <row r="275" spans="1:19" s="3" customFormat="1" hidden="1" x14ac:dyDescent="0.25">
      <c r="A275" s="84">
        <f>+closed!A314+1</f>
        <v>250</v>
      </c>
      <c r="B275" s="24">
        <v>42471</v>
      </c>
      <c r="C275" s="1">
        <v>114</v>
      </c>
      <c r="D275" s="1">
        <v>3000029472</v>
      </c>
      <c r="E275" s="1" t="s">
        <v>30</v>
      </c>
      <c r="F275" s="1">
        <v>6</v>
      </c>
      <c r="G275" s="25">
        <v>42463</v>
      </c>
      <c r="H275" s="25"/>
      <c r="I275" s="25">
        <v>42466</v>
      </c>
      <c r="J275" s="1" t="s">
        <v>31</v>
      </c>
      <c r="K275" s="1">
        <v>28.03</v>
      </c>
      <c r="L275" s="1">
        <v>27.97</v>
      </c>
      <c r="M275" s="1">
        <f t="shared" si="26"/>
        <v>27.97</v>
      </c>
      <c r="N275" s="7">
        <f t="shared" si="28"/>
        <v>42480</v>
      </c>
      <c r="O275" s="1">
        <v>1412713</v>
      </c>
      <c r="P275" s="38">
        <f t="shared" si="30"/>
        <v>1409688.9978594361</v>
      </c>
      <c r="Q275" s="170">
        <v>42502</v>
      </c>
      <c r="R275" s="40">
        <v>42503</v>
      </c>
      <c r="S275" s="188">
        <f t="shared" si="29"/>
        <v>23</v>
      </c>
    </row>
    <row r="276" spans="1:19" s="3" customFormat="1" hidden="1" x14ac:dyDescent="0.25">
      <c r="A276" s="84">
        <f>+closed!A308+1</f>
        <v>270</v>
      </c>
      <c r="B276" s="24">
        <v>42472</v>
      </c>
      <c r="C276" s="1">
        <v>114</v>
      </c>
      <c r="D276" s="1">
        <v>3000029472</v>
      </c>
      <c r="E276" s="1" t="s">
        <v>30</v>
      </c>
      <c r="F276" s="1">
        <v>9</v>
      </c>
      <c r="G276" s="25">
        <v>42464</v>
      </c>
      <c r="H276" s="25"/>
      <c r="I276" s="25">
        <v>42467</v>
      </c>
      <c r="J276" s="1" t="s">
        <v>31</v>
      </c>
      <c r="K276" s="1">
        <v>28.64</v>
      </c>
      <c r="L276" s="1">
        <v>28.55</v>
      </c>
      <c r="M276" s="1">
        <f t="shared" si="26"/>
        <v>28.55</v>
      </c>
      <c r="N276" s="7">
        <f t="shared" si="28"/>
        <v>42481</v>
      </c>
      <c r="O276" s="1">
        <v>1443457</v>
      </c>
      <c r="P276" s="38">
        <f t="shared" si="30"/>
        <v>1438920.9968575421</v>
      </c>
      <c r="Q276" s="170">
        <v>42502</v>
      </c>
      <c r="R276" s="40">
        <v>42503</v>
      </c>
      <c r="S276" s="188">
        <f t="shared" si="29"/>
        <v>22</v>
      </c>
    </row>
    <row r="277" spans="1:19" s="3" customFormat="1" hidden="1" x14ac:dyDescent="0.25">
      <c r="A277" s="84">
        <f>+closed!A275+1</f>
        <v>251</v>
      </c>
      <c r="B277" s="24">
        <v>42471</v>
      </c>
      <c r="C277" s="1">
        <v>114</v>
      </c>
      <c r="D277" s="1">
        <v>3000029472</v>
      </c>
      <c r="E277" s="1" t="s">
        <v>30</v>
      </c>
      <c r="F277" s="1">
        <v>10</v>
      </c>
      <c r="G277" s="25">
        <v>42464</v>
      </c>
      <c r="H277" s="25"/>
      <c r="I277" s="25">
        <v>42466</v>
      </c>
      <c r="J277" s="1" t="s">
        <v>31</v>
      </c>
      <c r="K277" s="1">
        <v>27.58</v>
      </c>
      <c r="L277" s="1">
        <v>27.5</v>
      </c>
      <c r="M277" s="1">
        <f t="shared" si="26"/>
        <v>27.5</v>
      </c>
      <c r="N277" s="7">
        <f t="shared" si="28"/>
        <v>42480</v>
      </c>
      <c r="O277" s="1">
        <v>1390033</v>
      </c>
      <c r="P277" s="38">
        <f t="shared" si="30"/>
        <v>1386000.9970993476</v>
      </c>
      <c r="Q277" s="170">
        <v>42502</v>
      </c>
      <c r="R277" s="40">
        <v>42503</v>
      </c>
      <c r="S277" s="188">
        <f t="shared" si="29"/>
        <v>23</v>
      </c>
    </row>
    <row r="278" spans="1:19" s="3" customFormat="1" hidden="1" x14ac:dyDescent="0.25">
      <c r="A278" s="84">
        <f>+closed!A328+1</f>
        <v>294</v>
      </c>
      <c r="B278" s="24">
        <v>42474</v>
      </c>
      <c r="C278" s="1">
        <v>114</v>
      </c>
      <c r="D278" s="1"/>
      <c r="E278" s="1" t="s">
        <v>64</v>
      </c>
      <c r="F278" s="1" t="s">
        <v>89</v>
      </c>
      <c r="G278" s="25">
        <v>42466</v>
      </c>
      <c r="H278" s="25"/>
      <c r="I278" s="25">
        <v>42466</v>
      </c>
      <c r="J278" s="1"/>
      <c r="K278" s="1"/>
      <c r="L278" s="1"/>
      <c r="M278" s="1"/>
      <c r="N278" s="7">
        <f t="shared" si="28"/>
        <v>42480</v>
      </c>
      <c r="O278" s="1">
        <v>3723</v>
      </c>
      <c r="P278" s="71">
        <f>(O278- (O278*10%))</f>
        <v>3350.7</v>
      </c>
      <c r="Q278" s="170">
        <v>42502</v>
      </c>
      <c r="R278" s="40">
        <v>42507</v>
      </c>
      <c r="S278" s="188">
        <f t="shared" si="29"/>
        <v>27</v>
      </c>
    </row>
    <row r="279" spans="1:19" s="3" customFormat="1" hidden="1" x14ac:dyDescent="0.25">
      <c r="A279" s="84">
        <f>+closed!A278+1</f>
        <v>295</v>
      </c>
      <c r="B279" s="24">
        <v>42474</v>
      </c>
      <c r="C279" s="1">
        <v>114</v>
      </c>
      <c r="D279" s="1"/>
      <c r="E279" s="1" t="s">
        <v>64</v>
      </c>
      <c r="F279" s="1" t="s">
        <v>90</v>
      </c>
      <c r="G279" s="25">
        <v>42466</v>
      </c>
      <c r="H279" s="25"/>
      <c r="I279" s="25">
        <v>42466</v>
      </c>
      <c r="J279" s="1"/>
      <c r="K279" s="1"/>
      <c r="L279" s="1"/>
      <c r="M279" s="1"/>
      <c r="N279" s="7">
        <f t="shared" si="28"/>
        <v>42480</v>
      </c>
      <c r="O279" s="1">
        <v>49855</v>
      </c>
      <c r="P279" s="71">
        <f>(O279- (O279*10%))</f>
        <v>44869.5</v>
      </c>
      <c r="Q279" s="170">
        <v>42502</v>
      </c>
      <c r="R279" s="40">
        <v>42507</v>
      </c>
      <c r="S279" s="188">
        <f t="shared" si="29"/>
        <v>27</v>
      </c>
    </row>
    <row r="280" spans="1:19" s="3" customFormat="1" hidden="1" x14ac:dyDescent="0.25">
      <c r="A280" s="84">
        <f>+closed!A317+1</f>
        <v>264</v>
      </c>
      <c r="B280" s="24">
        <v>42472</v>
      </c>
      <c r="C280" s="1">
        <v>114</v>
      </c>
      <c r="D280" s="1">
        <v>3000028665</v>
      </c>
      <c r="E280" s="1" t="s">
        <v>27</v>
      </c>
      <c r="F280" s="1">
        <v>802</v>
      </c>
      <c r="G280" s="25">
        <v>42465</v>
      </c>
      <c r="H280" s="25"/>
      <c r="I280" s="25">
        <v>42468</v>
      </c>
      <c r="J280" s="1" t="s">
        <v>8</v>
      </c>
      <c r="K280" s="1">
        <v>21.2</v>
      </c>
      <c r="L280" s="1">
        <v>21.08</v>
      </c>
      <c r="M280" s="1">
        <f>IF(L280&gt;K280,K280,L280)</f>
        <v>21.08</v>
      </c>
      <c r="N280" s="7">
        <f t="shared" si="28"/>
        <v>42482</v>
      </c>
      <c r="O280" s="1">
        <v>979440</v>
      </c>
      <c r="P280" s="38">
        <f>(+O280/K280*M280)</f>
        <v>973895.99999999988</v>
      </c>
      <c r="Q280" s="170">
        <v>42502</v>
      </c>
      <c r="R280" s="40">
        <v>42503</v>
      </c>
      <c r="S280" s="188">
        <f t="shared" si="29"/>
        <v>21</v>
      </c>
    </row>
    <row r="281" spans="1:19" s="3" customFormat="1" hidden="1" x14ac:dyDescent="0.25">
      <c r="A281" s="84">
        <f>+closed!A280+1</f>
        <v>265</v>
      </c>
      <c r="B281" s="24">
        <v>42472</v>
      </c>
      <c r="C281" s="1">
        <v>114</v>
      </c>
      <c r="D281" s="1">
        <v>3000028870</v>
      </c>
      <c r="E281" s="1" t="s">
        <v>27</v>
      </c>
      <c r="F281" s="1">
        <v>803</v>
      </c>
      <c r="G281" s="25">
        <v>42465</v>
      </c>
      <c r="H281" s="25"/>
      <c r="I281" s="25">
        <v>42468</v>
      </c>
      <c r="J281" s="1" t="s">
        <v>8</v>
      </c>
      <c r="K281" s="1">
        <v>5.85</v>
      </c>
      <c r="L281" s="1">
        <v>5.85</v>
      </c>
      <c r="M281" s="1">
        <f>IF(L281&gt;K281,K281,L281)</f>
        <v>5.85</v>
      </c>
      <c r="N281" s="7">
        <f t="shared" si="28"/>
        <v>42482</v>
      </c>
      <c r="O281" s="1">
        <v>266175</v>
      </c>
      <c r="P281" s="38">
        <f>(+O281/K281*M281)</f>
        <v>266175</v>
      </c>
      <c r="Q281" s="170">
        <v>42502</v>
      </c>
      <c r="R281" s="40">
        <v>42503</v>
      </c>
      <c r="S281" s="188">
        <f t="shared" si="29"/>
        <v>21</v>
      </c>
    </row>
    <row r="282" spans="1:19" s="3" customFormat="1" hidden="1" x14ac:dyDescent="0.25">
      <c r="A282" s="84">
        <f>+closed!A68+1</f>
        <v>287</v>
      </c>
      <c r="B282" s="24">
        <v>42474</v>
      </c>
      <c r="C282" s="1">
        <v>114</v>
      </c>
      <c r="D282" s="1">
        <v>3000028870</v>
      </c>
      <c r="E282" s="1" t="s">
        <v>27</v>
      </c>
      <c r="F282" s="1">
        <v>805</v>
      </c>
      <c r="G282" s="25">
        <v>42468</v>
      </c>
      <c r="H282" s="25"/>
      <c r="I282" s="25">
        <v>42472</v>
      </c>
      <c r="J282" s="1" t="s">
        <v>8</v>
      </c>
      <c r="K282" s="1">
        <v>27.33</v>
      </c>
      <c r="L282" s="1">
        <v>27.2</v>
      </c>
      <c r="M282" s="1">
        <f>IF(L282&gt;K282,K282,L282)</f>
        <v>27.2</v>
      </c>
      <c r="N282" s="7">
        <f t="shared" si="28"/>
        <v>42486</v>
      </c>
      <c r="O282" s="1">
        <v>1243515</v>
      </c>
      <c r="P282" s="38">
        <f>(+O282/K282*M282)</f>
        <v>1237600</v>
      </c>
      <c r="Q282" s="170">
        <v>42502</v>
      </c>
      <c r="R282" s="40">
        <v>42503</v>
      </c>
      <c r="S282" s="188">
        <f t="shared" si="29"/>
        <v>17</v>
      </c>
    </row>
    <row r="283" spans="1:19" s="3" customFormat="1" hidden="1" x14ac:dyDescent="0.25">
      <c r="A283" s="84">
        <f>+closed!A281+1</f>
        <v>266</v>
      </c>
      <c r="B283" s="24">
        <v>42472</v>
      </c>
      <c r="C283" s="1">
        <v>114</v>
      </c>
      <c r="D283" s="1">
        <v>3000028872</v>
      </c>
      <c r="E283" s="1" t="s">
        <v>18</v>
      </c>
      <c r="F283" s="1">
        <v>247</v>
      </c>
      <c r="G283" s="25">
        <v>42460</v>
      </c>
      <c r="H283" s="25"/>
      <c r="I283" s="25">
        <v>42468</v>
      </c>
      <c r="J283" s="1" t="s">
        <v>8</v>
      </c>
      <c r="K283" s="1">
        <v>27.8</v>
      </c>
      <c r="L283" s="1">
        <v>27.64</v>
      </c>
      <c r="M283" s="1">
        <f>IF(L283&gt;K283,K283,L283)</f>
        <v>27.64</v>
      </c>
      <c r="N283" s="7">
        <f t="shared" si="28"/>
        <v>42482</v>
      </c>
      <c r="O283" s="1">
        <v>1264900</v>
      </c>
      <c r="P283" s="38">
        <f>(+O283/K283*M283)</f>
        <v>1257620</v>
      </c>
      <c r="Q283" s="170">
        <v>42502</v>
      </c>
      <c r="R283" s="40">
        <v>42503</v>
      </c>
      <c r="S283" s="188">
        <f t="shared" si="29"/>
        <v>21</v>
      </c>
    </row>
    <row r="284" spans="1:19" s="3" customFormat="1" hidden="1" x14ac:dyDescent="0.25">
      <c r="A284" s="84">
        <f>+closed!A218+1</f>
        <v>292</v>
      </c>
      <c r="B284" s="24">
        <v>42474</v>
      </c>
      <c r="C284" s="1">
        <v>103</v>
      </c>
      <c r="D284" s="1">
        <v>3000028972</v>
      </c>
      <c r="E284" s="1" t="s">
        <v>25</v>
      </c>
      <c r="F284" s="1" t="s">
        <v>87</v>
      </c>
      <c r="G284" s="25">
        <v>42465</v>
      </c>
      <c r="H284" s="25"/>
      <c r="I284" s="25">
        <v>42469</v>
      </c>
      <c r="J284" s="1" t="s">
        <v>16</v>
      </c>
      <c r="K284" s="1">
        <v>26.73</v>
      </c>
      <c r="L284" s="1">
        <v>26.73</v>
      </c>
      <c r="M284" s="18">
        <f>IF(L284&gt;K284,K284,L284)</f>
        <v>26.73</v>
      </c>
      <c r="N284" s="7">
        <f t="shared" si="28"/>
        <v>42483</v>
      </c>
      <c r="O284" s="1">
        <v>1183965</v>
      </c>
      <c r="P284" s="38">
        <f>(+O284/K284*M284)</f>
        <v>1183965</v>
      </c>
      <c r="Q284" s="170">
        <v>42502</v>
      </c>
      <c r="R284" s="40">
        <v>42503</v>
      </c>
      <c r="S284" s="188">
        <f t="shared" si="29"/>
        <v>20</v>
      </c>
    </row>
    <row r="285" spans="1:19" s="3" customFormat="1" hidden="1" x14ac:dyDescent="0.25">
      <c r="A285" s="84">
        <f>+closed!A239+1</f>
        <v>307</v>
      </c>
      <c r="B285" s="24">
        <v>42480</v>
      </c>
      <c r="C285" s="1">
        <v>101</v>
      </c>
      <c r="D285" s="1">
        <v>3000029342</v>
      </c>
      <c r="E285" s="18" t="s">
        <v>80</v>
      </c>
      <c r="F285" s="18" t="s">
        <v>98</v>
      </c>
      <c r="G285" s="25">
        <v>42472</v>
      </c>
      <c r="H285" s="25"/>
      <c r="I285" s="25">
        <v>42472</v>
      </c>
      <c r="J285" s="1" t="s">
        <v>99</v>
      </c>
      <c r="K285" s="1" t="s">
        <v>100</v>
      </c>
      <c r="L285" s="1" t="s">
        <v>100</v>
      </c>
      <c r="M285" s="1" t="s">
        <v>100</v>
      </c>
      <c r="N285" s="7">
        <f t="shared" si="28"/>
        <v>42486</v>
      </c>
      <c r="O285" s="1">
        <v>1852</v>
      </c>
      <c r="P285" s="38">
        <v>1852</v>
      </c>
      <c r="Q285" s="170">
        <v>42502</v>
      </c>
      <c r="R285" s="40">
        <v>42548</v>
      </c>
      <c r="S285" s="188">
        <f t="shared" si="29"/>
        <v>62</v>
      </c>
    </row>
    <row r="286" spans="1:19" s="3" customFormat="1" hidden="1" x14ac:dyDescent="0.25">
      <c r="A286" s="84">
        <f>+closed!A285+1</f>
        <v>308</v>
      </c>
      <c r="B286" s="24">
        <v>42480</v>
      </c>
      <c r="C286" s="1">
        <v>101</v>
      </c>
      <c r="D286" s="1">
        <v>3000029323</v>
      </c>
      <c r="E286" s="18" t="s">
        <v>80</v>
      </c>
      <c r="F286" s="18" t="s">
        <v>101</v>
      </c>
      <c r="G286" s="25">
        <v>42472</v>
      </c>
      <c r="H286" s="25"/>
      <c r="I286" s="25">
        <v>42472</v>
      </c>
      <c r="J286" s="1" t="s">
        <v>22</v>
      </c>
      <c r="K286" s="1" t="s">
        <v>100</v>
      </c>
      <c r="L286" s="1" t="s">
        <v>100</v>
      </c>
      <c r="M286" s="1" t="s">
        <v>100</v>
      </c>
      <c r="N286" s="7">
        <f t="shared" si="28"/>
        <v>42486</v>
      </c>
      <c r="O286" s="1">
        <v>1108</v>
      </c>
      <c r="P286" s="38">
        <v>1108</v>
      </c>
      <c r="Q286" s="170">
        <v>42502</v>
      </c>
      <c r="R286" s="40">
        <v>42548</v>
      </c>
      <c r="S286" s="188">
        <f t="shared" si="29"/>
        <v>62</v>
      </c>
    </row>
    <row r="287" spans="1:19" s="3" customFormat="1" hidden="1" x14ac:dyDescent="0.25">
      <c r="A287" s="84">
        <f>+closed!A286+1</f>
        <v>309</v>
      </c>
      <c r="B287" s="24">
        <v>42480</v>
      </c>
      <c r="C287" s="1">
        <v>101</v>
      </c>
      <c r="D287" s="1">
        <v>3000029341</v>
      </c>
      <c r="E287" s="18" t="s">
        <v>80</v>
      </c>
      <c r="F287" s="18" t="s">
        <v>102</v>
      </c>
      <c r="G287" s="25">
        <v>42472</v>
      </c>
      <c r="H287" s="25"/>
      <c r="I287" s="25">
        <v>42472</v>
      </c>
      <c r="J287" s="1" t="s">
        <v>40</v>
      </c>
      <c r="K287" s="1" t="s">
        <v>103</v>
      </c>
      <c r="L287" s="1" t="s">
        <v>100</v>
      </c>
      <c r="M287" s="1" t="s">
        <v>100</v>
      </c>
      <c r="N287" s="7">
        <f t="shared" si="28"/>
        <v>42486</v>
      </c>
      <c r="O287" s="1">
        <v>1677</v>
      </c>
      <c r="P287" s="38">
        <v>1677</v>
      </c>
      <c r="Q287" s="170">
        <v>42502</v>
      </c>
      <c r="R287" s="40">
        <v>42548</v>
      </c>
      <c r="S287" s="188">
        <f t="shared" si="29"/>
        <v>62</v>
      </c>
    </row>
    <row r="288" spans="1:19" s="3" customFormat="1" hidden="1" x14ac:dyDescent="0.25">
      <c r="A288" s="84">
        <f>+closed!A231+1</f>
        <v>324</v>
      </c>
      <c r="B288" s="24">
        <v>42482</v>
      </c>
      <c r="C288" s="1">
        <v>114</v>
      </c>
      <c r="D288" s="1">
        <v>3000028623</v>
      </c>
      <c r="E288" s="1" t="s">
        <v>24</v>
      </c>
      <c r="F288" s="16">
        <v>6</v>
      </c>
      <c r="G288" s="25">
        <v>42471</v>
      </c>
      <c r="H288" s="25"/>
      <c r="I288" s="25">
        <v>42474</v>
      </c>
      <c r="J288" s="1" t="s">
        <v>16</v>
      </c>
      <c r="K288" s="1">
        <v>7.165</v>
      </c>
      <c r="L288" s="1">
        <v>7.165</v>
      </c>
      <c r="M288" s="1">
        <f t="shared" ref="M288:M319" si="31">IF(L288&gt;K288,K288,L288)</f>
        <v>7.165</v>
      </c>
      <c r="N288" s="7">
        <f t="shared" si="28"/>
        <v>42488</v>
      </c>
      <c r="O288" s="1">
        <v>343920</v>
      </c>
      <c r="P288" s="38">
        <f t="shared" ref="P288:P294" si="32">(+O288/K288*M288)</f>
        <v>343920</v>
      </c>
      <c r="Q288" s="170">
        <v>42502</v>
      </c>
      <c r="R288" s="40">
        <v>42503</v>
      </c>
      <c r="S288" s="188">
        <f t="shared" si="29"/>
        <v>15</v>
      </c>
    </row>
    <row r="289" spans="1:39" s="3" customFormat="1" hidden="1" x14ac:dyDescent="0.25">
      <c r="A289" s="84">
        <f>+closed!A291+1</f>
        <v>341</v>
      </c>
      <c r="B289" s="24">
        <v>42489</v>
      </c>
      <c r="C289" s="1">
        <v>114</v>
      </c>
      <c r="D289" s="1" t="s">
        <v>107</v>
      </c>
      <c r="E289" s="1" t="s">
        <v>60</v>
      </c>
      <c r="F289" s="1">
        <v>1</v>
      </c>
      <c r="G289" s="25">
        <v>42461</v>
      </c>
      <c r="H289" s="25"/>
      <c r="I289" s="25">
        <v>42482</v>
      </c>
      <c r="J289" s="1" t="s">
        <v>61</v>
      </c>
      <c r="K289" s="1">
        <v>27.65</v>
      </c>
      <c r="L289" s="1">
        <v>27.64</v>
      </c>
      <c r="M289" s="1">
        <f t="shared" si="31"/>
        <v>27.64</v>
      </c>
      <c r="N289" s="7">
        <f t="shared" si="28"/>
        <v>42496</v>
      </c>
      <c r="O289" s="1">
        <v>2225994</v>
      </c>
      <c r="P289" s="18">
        <f t="shared" si="32"/>
        <v>2225188.9388788431</v>
      </c>
      <c r="Q289" s="170">
        <v>42502</v>
      </c>
      <c r="R289" s="40">
        <v>42503</v>
      </c>
      <c r="S289" s="188">
        <f t="shared" si="29"/>
        <v>7</v>
      </c>
    </row>
    <row r="290" spans="1:39" s="3" customFormat="1" hidden="1" x14ac:dyDescent="0.25">
      <c r="A290" s="84">
        <f>+closed!A292+1</f>
        <v>337</v>
      </c>
      <c r="B290" s="24">
        <v>42489</v>
      </c>
      <c r="C290" s="1">
        <v>114</v>
      </c>
      <c r="D290" s="1">
        <v>3000029407</v>
      </c>
      <c r="E290" s="1" t="s">
        <v>60</v>
      </c>
      <c r="F290" s="1">
        <v>4</v>
      </c>
      <c r="G290" s="25">
        <v>42463</v>
      </c>
      <c r="H290" s="25"/>
      <c r="I290" s="25">
        <v>42482</v>
      </c>
      <c r="J290" s="1" t="s">
        <v>61</v>
      </c>
      <c r="K290" s="1">
        <v>19.829999999999998</v>
      </c>
      <c r="L290" s="1">
        <v>19.87</v>
      </c>
      <c r="M290" s="1">
        <f t="shared" si="31"/>
        <v>19.829999999999998</v>
      </c>
      <c r="N290" s="7">
        <f t="shared" si="28"/>
        <v>42496</v>
      </c>
      <c r="O290" s="1">
        <v>1596435</v>
      </c>
      <c r="P290" s="18">
        <f t="shared" si="32"/>
        <v>1596435</v>
      </c>
      <c r="Q290" s="170">
        <v>42502</v>
      </c>
      <c r="R290" s="40">
        <v>42503</v>
      </c>
      <c r="S290" s="188">
        <f t="shared" si="29"/>
        <v>7</v>
      </c>
    </row>
    <row r="291" spans="1:39" s="3" customFormat="1" hidden="1" x14ac:dyDescent="0.25">
      <c r="A291" s="84">
        <f>+closed!A345+1</f>
        <v>340</v>
      </c>
      <c r="B291" s="24">
        <v>42489</v>
      </c>
      <c r="C291" s="1">
        <v>114</v>
      </c>
      <c r="D291" s="1">
        <v>3000029350</v>
      </c>
      <c r="E291" s="1" t="s">
        <v>60</v>
      </c>
      <c r="F291" s="1">
        <v>5</v>
      </c>
      <c r="G291" s="25">
        <v>42463</v>
      </c>
      <c r="H291" s="25"/>
      <c r="I291" s="25">
        <v>42482</v>
      </c>
      <c r="J291" s="1" t="s">
        <v>61</v>
      </c>
      <c r="K291" s="1">
        <v>19.670000000000002</v>
      </c>
      <c r="L291" s="1">
        <v>19.55</v>
      </c>
      <c r="M291" s="1">
        <f t="shared" si="31"/>
        <v>19.55</v>
      </c>
      <c r="N291" s="7">
        <f t="shared" ref="N291:N322" si="33">+I291+15-1</f>
        <v>42496</v>
      </c>
      <c r="O291" s="1">
        <v>1583555</v>
      </c>
      <c r="P291" s="18">
        <f t="shared" si="32"/>
        <v>1573894.2679206913</v>
      </c>
      <c r="Q291" s="170">
        <v>42502</v>
      </c>
      <c r="R291" s="40">
        <v>42503</v>
      </c>
      <c r="S291" s="188">
        <f t="shared" si="29"/>
        <v>7</v>
      </c>
    </row>
    <row r="292" spans="1:39" s="3" customFormat="1" hidden="1" x14ac:dyDescent="0.25">
      <c r="A292" s="84">
        <f>+closed!A265+1</f>
        <v>336</v>
      </c>
      <c r="B292" s="24">
        <v>42489</v>
      </c>
      <c r="C292" s="1">
        <v>103</v>
      </c>
      <c r="D292" s="1">
        <v>3000029484</v>
      </c>
      <c r="E292" s="1" t="s">
        <v>78</v>
      </c>
      <c r="F292" s="1">
        <v>521</v>
      </c>
      <c r="G292" s="25">
        <v>42480</v>
      </c>
      <c r="H292" s="25"/>
      <c r="I292" s="25">
        <v>42485</v>
      </c>
      <c r="J292" s="1" t="s">
        <v>61</v>
      </c>
      <c r="K292" s="1">
        <v>17.38</v>
      </c>
      <c r="L292" s="1">
        <v>17.32</v>
      </c>
      <c r="M292" s="1">
        <f t="shared" si="31"/>
        <v>17.32</v>
      </c>
      <c r="N292" s="7">
        <f t="shared" si="33"/>
        <v>42499</v>
      </c>
      <c r="O292" s="1">
        <v>1390400</v>
      </c>
      <c r="P292" s="38">
        <f t="shared" si="32"/>
        <v>1385600</v>
      </c>
      <c r="Q292" s="170">
        <v>42502</v>
      </c>
      <c r="R292" s="40">
        <v>42503</v>
      </c>
      <c r="S292" s="188">
        <f t="shared" si="29"/>
        <v>4</v>
      </c>
    </row>
    <row r="293" spans="1:39" s="3" customFormat="1" hidden="1" x14ac:dyDescent="0.25">
      <c r="A293" s="84">
        <f>+closed!A236+1</f>
        <v>333</v>
      </c>
      <c r="B293" s="24">
        <v>42489</v>
      </c>
      <c r="C293" s="1">
        <v>103</v>
      </c>
      <c r="D293" s="1">
        <v>3000029421</v>
      </c>
      <c r="E293" s="1" t="s">
        <v>77</v>
      </c>
      <c r="F293" s="1">
        <v>14</v>
      </c>
      <c r="G293" s="25">
        <v>42481</v>
      </c>
      <c r="H293" s="25"/>
      <c r="I293" s="25">
        <v>42486</v>
      </c>
      <c r="J293" s="1" t="s">
        <v>61</v>
      </c>
      <c r="K293" s="1">
        <v>20.010000000000002</v>
      </c>
      <c r="L293" s="1">
        <v>19.920000000000002</v>
      </c>
      <c r="M293" s="1">
        <f t="shared" si="31"/>
        <v>19.920000000000002</v>
      </c>
      <c r="N293" s="7">
        <f t="shared" si="33"/>
        <v>42500</v>
      </c>
      <c r="O293" s="1">
        <v>1580790</v>
      </c>
      <c r="P293" s="38">
        <f t="shared" si="32"/>
        <v>1573680.0000000002</v>
      </c>
      <c r="Q293" s="170">
        <v>42502</v>
      </c>
      <c r="R293" s="40">
        <v>42503</v>
      </c>
      <c r="S293" s="188">
        <f t="shared" si="29"/>
        <v>3</v>
      </c>
    </row>
    <row r="294" spans="1:39" s="3" customFormat="1" hidden="1" x14ac:dyDescent="0.25">
      <c r="A294" s="84">
        <f>+closed!A293+1</f>
        <v>334</v>
      </c>
      <c r="B294" s="24">
        <v>42489</v>
      </c>
      <c r="C294" s="1">
        <v>103</v>
      </c>
      <c r="D294" s="1">
        <v>3000029421</v>
      </c>
      <c r="E294" s="1" t="s">
        <v>77</v>
      </c>
      <c r="F294" s="1">
        <v>15</v>
      </c>
      <c r="G294" s="25">
        <v>42482</v>
      </c>
      <c r="H294" s="25"/>
      <c r="I294" s="25">
        <v>42486</v>
      </c>
      <c r="J294" s="1" t="s">
        <v>61</v>
      </c>
      <c r="K294" s="1">
        <v>20.16</v>
      </c>
      <c r="L294" s="1">
        <v>20.04</v>
      </c>
      <c r="M294" s="1">
        <f t="shared" si="31"/>
        <v>20.04</v>
      </c>
      <c r="N294" s="7">
        <f t="shared" si="33"/>
        <v>42500</v>
      </c>
      <c r="O294" s="1">
        <v>1592640</v>
      </c>
      <c r="P294" s="38">
        <f t="shared" si="32"/>
        <v>1583160</v>
      </c>
      <c r="Q294" s="170">
        <v>42502</v>
      </c>
      <c r="R294" s="40">
        <v>42503</v>
      </c>
      <c r="S294" s="187">
        <f t="shared" si="29"/>
        <v>3</v>
      </c>
      <c r="T294" s="8">
        <v>25660393</v>
      </c>
    </row>
    <row r="295" spans="1:39" s="70" customFormat="1" hidden="1" x14ac:dyDescent="0.25">
      <c r="A295" s="59">
        <f>+closed!A184+1</f>
        <v>134</v>
      </c>
      <c r="B295" s="67">
        <v>42444</v>
      </c>
      <c r="C295" s="59">
        <v>114</v>
      </c>
      <c r="D295" s="59">
        <v>3000028436</v>
      </c>
      <c r="E295" s="59" t="s">
        <v>58</v>
      </c>
      <c r="F295" s="59">
        <v>4449</v>
      </c>
      <c r="G295" s="68">
        <v>42426</v>
      </c>
      <c r="H295" s="68"/>
      <c r="I295" s="68">
        <v>42426</v>
      </c>
      <c r="J295" s="59" t="s">
        <v>46</v>
      </c>
      <c r="K295" s="59" t="s">
        <v>59</v>
      </c>
      <c r="L295" s="59" t="s">
        <v>59</v>
      </c>
      <c r="M295" s="59" t="str">
        <f t="shared" si="31"/>
        <v>400-KG</v>
      </c>
      <c r="N295" s="69">
        <f t="shared" si="33"/>
        <v>42440</v>
      </c>
      <c r="O295" s="59">
        <v>33048</v>
      </c>
      <c r="P295" s="50">
        <v>33048</v>
      </c>
      <c r="Q295" s="70" t="s">
        <v>127</v>
      </c>
      <c r="R295" s="59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s="3" customFormat="1" hidden="1" x14ac:dyDescent="0.25">
      <c r="A296" s="84">
        <f>+closed!A201+1</f>
        <v>158</v>
      </c>
      <c r="B296" s="24">
        <v>42451</v>
      </c>
      <c r="C296" s="1">
        <v>114</v>
      </c>
      <c r="D296" s="1">
        <v>3000028614</v>
      </c>
      <c r="E296" s="1" t="s">
        <v>28</v>
      </c>
      <c r="F296" s="17">
        <v>545</v>
      </c>
      <c r="G296" s="25">
        <v>42437</v>
      </c>
      <c r="H296" s="25"/>
      <c r="I296" s="25">
        <v>42448</v>
      </c>
      <c r="J296" s="1" t="s">
        <v>16</v>
      </c>
      <c r="K296" s="1">
        <v>1.9</v>
      </c>
      <c r="L296" s="1">
        <v>1.88</v>
      </c>
      <c r="M296" s="1">
        <f t="shared" si="31"/>
        <v>1.88</v>
      </c>
      <c r="N296" s="7">
        <f t="shared" si="33"/>
        <v>42462</v>
      </c>
      <c r="O296" s="1">
        <v>92150</v>
      </c>
      <c r="P296" s="38">
        <f t="shared" ref="P296:P327" si="34">(+O296/K296*M296)</f>
        <v>91180</v>
      </c>
      <c r="Q296" s="170">
        <v>42510</v>
      </c>
      <c r="R296" s="40">
        <v>42510</v>
      </c>
      <c r="S296" s="187">
        <f t="shared" ref="S296:S327" si="35">R296-N296</f>
        <v>48</v>
      </c>
    </row>
    <row r="297" spans="1:39" s="3" customFormat="1" hidden="1" x14ac:dyDescent="0.25">
      <c r="A297" s="84">
        <f>+closed!A296+1</f>
        <v>159</v>
      </c>
      <c r="B297" s="24">
        <v>42451</v>
      </c>
      <c r="C297" s="1">
        <v>114</v>
      </c>
      <c r="D297" s="1">
        <v>3000028628</v>
      </c>
      <c r="E297" s="1" t="s">
        <v>28</v>
      </c>
      <c r="F297" s="17">
        <v>546</v>
      </c>
      <c r="G297" s="25">
        <v>42437</v>
      </c>
      <c r="H297" s="25"/>
      <c r="I297" s="25">
        <v>42448</v>
      </c>
      <c r="J297" s="1" t="s">
        <v>16</v>
      </c>
      <c r="K297" s="1">
        <v>29.14</v>
      </c>
      <c r="L297" s="1">
        <v>29.14</v>
      </c>
      <c r="M297" s="1">
        <f t="shared" si="31"/>
        <v>29.14</v>
      </c>
      <c r="N297" s="7">
        <f t="shared" si="33"/>
        <v>42462</v>
      </c>
      <c r="O297" s="1">
        <v>1398720</v>
      </c>
      <c r="P297" s="38">
        <f t="shared" si="34"/>
        <v>1398720</v>
      </c>
      <c r="Q297" s="170">
        <v>42510</v>
      </c>
      <c r="R297" s="40">
        <v>42510</v>
      </c>
      <c r="S297" s="187">
        <f t="shared" si="35"/>
        <v>48</v>
      </c>
    </row>
    <row r="298" spans="1:39" s="3" customFormat="1" hidden="1" x14ac:dyDescent="0.25">
      <c r="A298" s="84">
        <f>+closed!A302+1</f>
        <v>192</v>
      </c>
      <c r="B298" s="24">
        <v>42459</v>
      </c>
      <c r="C298" s="1">
        <v>114</v>
      </c>
      <c r="D298" s="1">
        <v>3000028668</v>
      </c>
      <c r="E298" s="1" t="s">
        <v>37</v>
      </c>
      <c r="F298" s="1">
        <v>305</v>
      </c>
      <c r="G298" s="25">
        <v>42452</v>
      </c>
      <c r="H298" s="25"/>
      <c r="I298" s="25">
        <v>42455</v>
      </c>
      <c r="J298" s="1" t="s">
        <v>8</v>
      </c>
      <c r="K298" s="1">
        <v>29.774999999999999</v>
      </c>
      <c r="L298" s="1">
        <v>29.72</v>
      </c>
      <c r="M298" s="1">
        <f t="shared" si="31"/>
        <v>29.72</v>
      </c>
      <c r="N298" s="7">
        <f t="shared" si="33"/>
        <v>42469</v>
      </c>
      <c r="O298" s="1">
        <v>1375605</v>
      </c>
      <c r="P298" s="38">
        <f t="shared" si="34"/>
        <v>1373064</v>
      </c>
      <c r="Q298" s="170">
        <v>42510</v>
      </c>
      <c r="R298" s="40">
        <v>42510</v>
      </c>
      <c r="S298" s="187">
        <f t="shared" si="35"/>
        <v>41</v>
      </c>
    </row>
    <row r="299" spans="1:39" s="3" customFormat="1" hidden="1" x14ac:dyDescent="0.25">
      <c r="A299" s="84">
        <f>+closed!A101+1</f>
        <v>214</v>
      </c>
      <c r="B299" s="24">
        <v>42464</v>
      </c>
      <c r="C299" s="1">
        <v>114</v>
      </c>
      <c r="D299" s="1">
        <v>3000028668</v>
      </c>
      <c r="E299" s="1" t="s">
        <v>37</v>
      </c>
      <c r="F299" s="1">
        <v>306</v>
      </c>
      <c r="G299" s="25">
        <v>42455</v>
      </c>
      <c r="H299" s="25"/>
      <c r="I299" s="25">
        <v>42460</v>
      </c>
      <c r="J299" s="1" t="s">
        <v>8</v>
      </c>
      <c r="K299" s="1">
        <v>20.21</v>
      </c>
      <c r="L299" s="1">
        <v>20.2</v>
      </c>
      <c r="M299" s="1">
        <f t="shared" si="31"/>
        <v>20.2</v>
      </c>
      <c r="N299" s="7">
        <f t="shared" si="33"/>
        <v>42474</v>
      </c>
      <c r="O299" s="1">
        <v>933702</v>
      </c>
      <c r="P299" s="38">
        <f t="shared" si="34"/>
        <v>933240</v>
      </c>
      <c r="Q299" s="170">
        <v>42510</v>
      </c>
      <c r="R299" s="40">
        <v>42510</v>
      </c>
      <c r="S299" s="187">
        <f t="shared" si="35"/>
        <v>36</v>
      </c>
    </row>
    <row r="300" spans="1:39" s="3" customFormat="1" hidden="1" x14ac:dyDescent="0.25">
      <c r="A300" s="84">
        <f>+closed!A415+1</f>
        <v>360</v>
      </c>
      <c r="B300" s="24">
        <v>42492</v>
      </c>
      <c r="C300" s="1">
        <v>114</v>
      </c>
      <c r="D300" s="1">
        <v>3000028668</v>
      </c>
      <c r="E300" s="1" t="s">
        <v>37</v>
      </c>
      <c r="F300" s="1">
        <v>16</v>
      </c>
      <c r="G300" s="25">
        <v>42482</v>
      </c>
      <c r="H300" s="25"/>
      <c r="I300" s="25">
        <v>42489</v>
      </c>
      <c r="J300" s="1" t="s">
        <v>8</v>
      </c>
      <c r="K300" s="1">
        <v>6.23</v>
      </c>
      <c r="L300" s="1">
        <v>6.23</v>
      </c>
      <c r="M300" s="1">
        <f t="shared" si="31"/>
        <v>6.23</v>
      </c>
      <c r="N300" s="7">
        <f t="shared" si="33"/>
        <v>42503</v>
      </c>
      <c r="O300" s="1">
        <v>287826</v>
      </c>
      <c r="P300" s="18">
        <f t="shared" si="34"/>
        <v>287826</v>
      </c>
      <c r="Q300" s="170">
        <v>42510</v>
      </c>
      <c r="R300" s="40">
        <v>42510</v>
      </c>
      <c r="S300" s="187">
        <f t="shared" si="35"/>
        <v>7</v>
      </c>
    </row>
    <row r="301" spans="1:39" s="3" customFormat="1" hidden="1" x14ac:dyDescent="0.25">
      <c r="A301" s="84">
        <f>+closed!A300+1</f>
        <v>361</v>
      </c>
      <c r="B301" s="24">
        <v>42492</v>
      </c>
      <c r="C301" s="1">
        <v>114</v>
      </c>
      <c r="D301" s="1">
        <v>3000029689</v>
      </c>
      <c r="E301" s="1" t="s">
        <v>37</v>
      </c>
      <c r="F301" s="1">
        <v>16</v>
      </c>
      <c r="G301" s="25">
        <v>42482</v>
      </c>
      <c r="H301" s="25"/>
      <c r="I301" s="25">
        <v>42489</v>
      </c>
      <c r="J301" s="1" t="s">
        <v>8</v>
      </c>
      <c r="K301" s="1">
        <v>22</v>
      </c>
      <c r="L301" s="1">
        <v>22</v>
      </c>
      <c r="M301" s="1">
        <f t="shared" si="31"/>
        <v>22</v>
      </c>
      <c r="N301" s="7">
        <f t="shared" si="33"/>
        <v>42503</v>
      </c>
      <c r="O301" s="1">
        <v>1221000</v>
      </c>
      <c r="P301" s="18">
        <f t="shared" si="34"/>
        <v>1221000</v>
      </c>
      <c r="Q301" s="170">
        <v>42510</v>
      </c>
      <c r="R301" s="40">
        <v>42510</v>
      </c>
      <c r="S301" s="187">
        <f t="shared" si="35"/>
        <v>7</v>
      </c>
    </row>
    <row r="302" spans="1:39" s="3" customFormat="1" hidden="1" x14ac:dyDescent="0.25">
      <c r="A302" s="84">
        <f>+closed!A270+1</f>
        <v>191</v>
      </c>
      <c r="B302" s="24">
        <v>42459</v>
      </c>
      <c r="C302" s="1">
        <v>114</v>
      </c>
      <c r="D302" s="1">
        <v>3000028332</v>
      </c>
      <c r="E302" s="1" t="s">
        <v>44</v>
      </c>
      <c r="F302" s="1">
        <v>149</v>
      </c>
      <c r="G302" s="25">
        <v>42452</v>
      </c>
      <c r="H302" s="25"/>
      <c r="I302" s="25">
        <v>42456</v>
      </c>
      <c r="J302" s="1" t="s">
        <v>16</v>
      </c>
      <c r="K302" s="1">
        <v>28.995000000000001</v>
      </c>
      <c r="L302" s="1">
        <v>28.98</v>
      </c>
      <c r="M302" s="1">
        <f t="shared" si="31"/>
        <v>28.98</v>
      </c>
      <c r="N302" s="7">
        <f t="shared" si="33"/>
        <v>42470</v>
      </c>
      <c r="O302" s="1">
        <v>1406258</v>
      </c>
      <c r="P302" s="38">
        <f t="shared" si="34"/>
        <v>1405530.4997413347</v>
      </c>
      <c r="Q302" s="170">
        <v>42510</v>
      </c>
      <c r="R302" s="40">
        <v>42510</v>
      </c>
      <c r="S302" s="187">
        <f t="shared" si="35"/>
        <v>40</v>
      </c>
    </row>
    <row r="303" spans="1:39" s="3" customFormat="1" hidden="1" x14ac:dyDescent="0.25">
      <c r="A303" s="84">
        <f>+closed!A299+1</f>
        <v>215</v>
      </c>
      <c r="B303" s="24">
        <v>42464</v>
      </c>
      <c r="C303" s="1">
        <v>114</v>
      </c>
      <c r="D303" s="1">
        <v>3000028625</v>
      </c>
      <c r="E303" s="1" t="s">
        <v>29</v>
      </c>
      <c r="F303" s="1">
        <v>434</v>
      </c>
      <c r="G303" s="25">
        <v>42455</v>
      </c>
      <c r="H303" s="25"/>
      <c r="I303" s="25">
        <v>42460</v>
      </c>
      <c r="J303" s="1" t="s">
        <v>16</v>
      </c>
      <c r="K303" s="1">
        <v>22.47</v>
      </c>
      <c r="L303" s="1">
        <v>22.47</v>
      </c>
      <c r="M303" s="1">
        <f t="shared" si="31"/>
        <v>22.47</v>
      </c>
      <c r="N303" s="7">
        <f t="shared" si="33"/>
        <v>42474</v>
      </c>
      <c r="O303" s="1">
        <v>1078560</v>
      </c>
      <c r="P303" s="38">
        <f t="shared" si="34"/>
        <v>1078560</v>
      </c>
      <c r="Q303" s="170">
        <v>42510</v>
      </c>
      <c r="R303" s="40">
        <v>42510</v>
      </c>
      <c r="S303" s="187">
        <f t="shared" si="35"/>
        <v>36</v>
      </c>
    </row>
    <row r="304" spans="1:39" s="3" customFormat="1" hidden="1" x14ac:dyDescent="0.25">
      <c r="A304" s="84">
        <f>+closed!A303+1</f>
        <v>216</v>
      </c>
      <c r="B304" s="24">
        <v>42464</v>
      </c>
      <c r="C304" s="1">
        <v>114</v>
      </c>
      <c r="D304" s="1">
        <v>3000029353</v>
      </c>
      <c r="E304" s="1" t="s">
        <v>29</v>
      </c>
      <c r="F304" s="1">
        <v>435</v>
      </c>
      <c r="G304" s="25">
        <v>42455</v>
      </c>
      <c r="H304" s="25"/>
      <c r="I304" s="25">
        <v>42460</v>
      </c>
      <c r="J304" s="1" t="s">
        <v>16</v>
      </c>
      <c r="K304" s="1">
        <v>5.13</v>
      </c>
      <c r="L304" s="1">
        <v>5.21</v>
      </c>
      <c r="M304" s="1">
        <f t="shared" si="31"/>
        <v>5.13</v>
      </c>
      <c r="N304" s="7">
        <f t="shared" si="33"/>
        <v>42474</v>
      </c>
      <c r="O304" s="1">
        <v>261630</v>
      </c>
      <c r="P304" s="38">
        <f t="shared" si="34"/>
        <v>261630</v>
      </c>
      <c r="Q304" s="170">
        <v>42510</v>
      </c>
      <c r="R304" s="40">
        <v>42510</v>
      </c>
      <c r="S304" s="187">
        <f t="shared" si="35"/>
        <v>36</v>
      </c>
    </row>
    <row r="305" spans="1:19" s="3" customFormat="1" hidden="1" x14ac:dyDescent="0.25">
      <c r="A305" s="84">
        <f>+closed!A346+1</f>
        <v>345</v>
      </c>
      <c r="B305" s="24">
        <v>42489</v>
      </c>
      <c r="C305" s="1">
        <v>114</v>
      </c>
      <c r="D305" s="1">
        <v>3000028664</v>
      </c>
      <c r="E305" s="1" t="s">
        <v>29</v>
      </c>
      <c r="F305" s="1" t="s">
        <v>108</v>
      </c>
      <c r="G305" s="25">
        <v>42478</v>
      </c>
      <c r="H305" s="25"/>
      <c r="I305" s="25">
        <v>42482</v>
      </c>
      <c r="J305" s="1" t="s">
        <v>8</v>
      </c>
      <c r="K305" s="1">
        <v>20.25</v>
      </c>
      <c r="L305" s="1">
        <v>20.25</v>
      </c>
      <c r="M305" s="1">
        <f t="shared" si="31"/>
        <v>20.25</v>
      </c>
      <c r="N305" s="7">
        <f t="shared" si="33"/>
        <v>42496</v>
      </c>
      <c r="O305" s="1">
        <v>935550</v>
      </c>
      <c r="P305" s="18">
        <f t="shared" si="34"/>
        <v>935550</v>
      </c>
      <c r="Q305" s="170">
        <v>42510</v>
      </c>
      <c r="R305" s="40">
        <v>42510</v>
      </c>
      <c r="S305" s="187">
        <f t="shared" si="35"/>
        <v>14</v>
      </c>
    </row>
    <row r="306" spans="1:19" s="3" customFormat="1" hidden="1" x14ac:dyDescent="0.25">
      <c r="A306" s="84">
        <f>+closed!A305+1</f>
        <v>346</v>
      </c>
      <c r="B306" s="24">
        <v>42489</v>
      </c>
      <c r="C306" s="1">
        <v>114</v>
      </c>
      <c r="D306" s="1">
        <v>3000028869</v>
      </c>
      <c r="E306" s="1" t="s">
        <v>29</v>
      </c>
      <c r="F306" s="1" t="s">
        <v>109</v>
      </c>
      <c r="G306" s="25">
        <v>42478</v>
      </c>
      <c r="H306" s="25"/>
      <c r="I306" s="25">
        <v>42482</v>
      </c>
      <c r="J306" s="1" t="s">
        <v>8</v>
      </c>
      <c r="K306" s="1">
        <v>3.79</v>
      </c>
      <c r="L306" s="1">
        <v>3.79</v>
      </c>
      <c r="M306" s="1">
        <f t="shared" si="31"/>
        <v>3.79</v>
      </c>
      <c r="N306" s="7">
        <f t="shared" si="33"/>
        <v>42496</v>
      </c>
      <c r="O306" s="1">
        <v>172445</v>
      </c>
      <c r="P306" s="18">
        <f t="shared" si="34"/>
        <v>172445</v>
      </c>
      <c r="Q306" s="170">
        <v>42510</v>
      </c>
      <c r="R306" s="40">
        <v>42510</v>
      </c>
      <c r="S306" s="187">
        <f t="shared" si="35"/>
        <v>14</v>
      </c>
    </row>
    <row r="307" spans="1:19" s="3" customFormat="1" hidden="1" x14ac:dyDescent="0.25">
      <c r="A307" s="84">
        <f>+closed!A273+1</f>
        <v>226</v>
      </c>
      <c r="B307" s="24">
        <v>42466</v>
      </c>
      <c r="C307" s="1">
        <v>114</v>
      </c>
      <c r="D307" s="1">
        <v>3000028765</v>
      </c>
      <c r="E307" s="1" t="s">
        <v>55</v>
      </c>
      <c r="F307" s="1">
        <v>10</v>
      </c>
      <c r="G307" s="25">
        <v>42457</v>
      </c>
      <c r="H307" s="25"/>
      <c r="I307" s="25">
        <v>42462</v>
      </c>
      <c r="J307" s="1" t="s">
        <v>8</v>
      </c>
      <c r="K307" s="1">
        <v>26.78</v>
      </c>
      <c r="L307" s="1">
        <v>26.69</v>
      </c>
      <c r="M307" s="1">
        <f t="shared" si="31"/>
        <v>26.69</v>
      </c>
      <c r="N307" s="7">
        <f t="shared" si="33"/>
        <v>42476</v>
      </c>
      <c r="O307" s="1">
        <v>1223846</v>
      </c>
      <c r="P307" s="38">
        <f t="shared" si="34"/>
        <v>1219733</v>
      </c>
      <c r="Q307" s="170">
        <v>42510</v>
      </c>
      <c r="R307" s="40">
        <v>42510</v>
      </c>
      <c r="S307" s="187">
        <f t="shared" si="35"/>
        <v>34</v>
      </c>
    </row>
    <row r="308" spans="1:19" s="3" customFormat="1" hidden="1" x14ac:dyDescent="0.25">
      <c r="A308" s="84">
        <f>+closed!A319+1</f>
        <v>269</v>
      </c>
      <c r="B308" s="24">
        <v>42472</v>
      </c>
      <c r="C308" s="1">
        <v>114</v>
      </c>
      <c r="D308" s="1">
        <v>3000028765</v>
      </c>
      <c r="E308" s="1" t="s">
        <v>55</v>
      </c>
      <c r="F308" s="1">
        <v>1</v>
      </c>
      <c r="G308" s="25">
        <v>42465</v>
      </c>
      <c r="H308" s="25"/>
      <c r="I308" s="25">
        <v>42468</v>
      </c>
      <c r="J308" s="1" t="s">
        <v>8</v>
      </c>
      <c r="K308" s="1">
        <v>35.78</v>
      </c>
      <c r="L308" s="1">
        <v>35.65</v>
      </c>
      <c r="M308" s="1">
        <f t="shared" si="31"/>
        <v>35.65</v>
      </c>
      <c r="N308" s="7">
        <f t="shared" si="33"/>
        <v>42482</v>
      </c>
      <c r="O308" s="1">
        <v>1635146</v>
      </c>
      <c r="P308" s="38">
        <f t="shared" si="34"/>
        <v>1629205</v>
      </c>
      <c r="Q308" s="170">
        <v>42510</v>
      </c>
      <c r="R308" s="40">
        <v>42510</v>
      </c>
      <c r="S308" s="187">
        <f t="shared" si="35"/>
        <v>28</v>
      </c>
    </row>
    <row r="309" spans="1:19" s="3" customFormat="1" hidden="1" x14ac:dyDescent="0.25">
      <c r="A309" s="84">
        <f>+closed!A262+1</f>
        <v>319</v>
      </c>
      <c r="B309" s="24">
        <v>42482</v>
      </c>
      <c r="C309" s="1">
        <v>114</v>
      </c>
      <c r="D309" s="1">
        <v>3000029651</v>
      </c>
      <c r="E309" s="1" t="s">
        <v>55</v>
      </c>
      <c r="F309" s="1">
        <v>2</v>
      </c>
      <c r="G309" s="25">
        <v>42473</v>
      </c>
      <c r="H309" s="25"/>
      <c r="I309" s="25">
        <v>42476</v>
      </c>
      <c r="J309" s="1" t="s">
        <v>8</v>
      </c>
      <c r="K309" s="1">
        <v>26.84</v>
      </c>
      <c r="L309" s="1">
        <v>26.84</v>
      </c>
      <c r="M309" s="1">
        <f t="shared" si="31"/>
        <v>26.84</v>
      </c>
      <c r="N309" s="7">
        <f t="shared" si="33"/>
        <v>42490</v>
      </c>
      <c r="O309" s="1">
        <v>1476200</v>
      </c>
      <c r="P309" s="38">
        <f t="shared" si="34"/>
        <v>1476200</v>
      </c>
      <c r="Q309" s="170">
        <v>42510</v>
      </c>
      <c r="R309" s="40">
        <v>42510</v>
      </c>
      <c r="S309" s="187">
        <f t="shared" si="35"/>
        <v>20</v>
      </c>
    </row>
    <row r="310" spans="1:19" s="3" customFormat="1" hidden="1" x14ac:dyDescent="0.25">
      <c r="A310" s="84">
        <f>+closed!A274+1</f>
        <v>247</v>
      </c>
      <c r="B310" s="24">
        <v>42471</v>
      </c>
      <c r="C310" s="1">
        <v>114</v>
      </c>
      <c r="D310" s="1">
        <v>3000028250</v>
      </c>
      <c r="E310" s="1" t="s">
        <v>17</v>
      </c>
      <c r="F310" s="1">
        <v>4</v>
      </c>
      <c r="G310" s="25">
        <v>42462</v>
      </c>
      <c r="H310" s="25"/>
      <c r="I310" s="25">
        <v>42466</v>
      </c>
      <c r="J310" s="1" t="s">
        <v>8</v>
      </c>
      <c r="K310" s="1">
        <v>30.715</v>
      </c>
      <c r="L310" s="1">
        <v>30.6</v>
      </c>
      <c r="M310" s="1">
        <f t="shared" si="31"/>
        <v>30.6</v>
      </c>
      <c r="N310" s="7">
        <f t="shared" si="33"/>
        <v>42480</v>
      </c>
      <c r="O310" s="1">
        <v>1379104</v>
      </c>
      <c r="P310" s="38">
        <f t="shared" si="34"/>
        <v>1373940.4981279506</v>
      </c>
      <c r="Q310" s="170">
        <v>42510</v>
      </c>
      <c r="R310" s="40">
        <v>42510</v>
      </c>
      <c r="S310" s="187">
        <f t="shared" si="35"/>
        <v>30</v>
      </c>
    </row>
    <row r="311" spans="1:19" s="3" customFormat="1" hidden="1" x14ac:dyDescent="0.25">
      <c r="A311" s="84">
        <f>+closed!A323+1</f>
        <v>272</v>
      </c>
      <c r="B311" s="24">
        <v>42472</v>
      </c>
      <c r="C311" s="1">
        <v>114</v>
      </c>
      <c r="D311" s="1">
        <v>3000028250</v>
      </c>
      <c r="E311" s="1" t="s">
        <v>17</v>
      </c>
      <c r="F311" s="1">
        <v>5</v>
      </c>
      <c r="G311" s="25">
        <v>42465</v>
      </c>
      <c r="H311" s="25"/>
      <c r="I311" s="25">
        <v>42469</v>
      </c>
      <c r="J311" s="1" t="s">
        <v>8</v>
      </c>
      <c r="K311" s="1">
        <v>30.965</v>
      </c>
      <c r="L311" s="1">
        <v>30.93</v>
      </c>
      <c r="M311" s="1">
        <f t="shared" si="31"/>
        <v>30.93</v>
      </c>
      <c r="N311" s="7">
        <f t="shared" si="33"/>
        <v>42483</v>
      </c>
      <c r="O311" s="1">
        <v>1390329</v>
      </c>
      <c r="P311" s="38">
        <f t="shared" si="34"/>
        <v>1388757.499434846</v>
      </c>
      <c r="Q311" s="170">
        <v>42510</v>
      </c>
      <c r="R311" s="40">
        <v>42510</v>
      </c>
      <c r="S311" s="187">
        <f t="shared" si="35"/>
        <v>27</v>
      </c>
    </row>
    <row r="312" spans="1:19" s="3" customFormat="1" hidden="1" x14ac:dyDescent="0.25">
      <c r="A312" s="84">
        <f>+closed!A344+1</f>
        <v>327</v>
      </c>
      <c r="B312" s="24">
        <v>42482</v>
      </c>
      <c r="C312" s="1">
        <v>114</v>
      </c>
      <c r="D312" s="1">
        <v>3000028250</v>
      </c>
      <c r="E312" s="1" t="s">
        <v>17</v>
      </c>
      <c r="F312" s="16">
        <v>11</v>
      </c>
      <c r="G312" s="25">
        <v>42474</v>
      </c>
      <c r="H312" s="25"/>
      <c r="I312" s="25">
        <v>42477</v>
      </c>
      <c r="J312" s="1" t="s">
        <v>8</v>
      </c>
      <c r="K312" s="1">
        <v>18.094999999999999</v>
      </c>
      <c r="L312" s="1">
        <v>18.094999999999999</v>
      </c>
      <c r="M312" s="1">
        <f t="shared" si="31"/>
        <v>18.094999999999999</v>
      </c>
      <c r="N312" s="7">
        <f t="shared" si="33"/>
        <v>42491</v>
      </c>
      <c r="O312" s="1">
        <v>812466</v>
      </c>
      <c r="P312" s="38">
        <f t="shared" si="34"/>
        <v>812465.99999999988</v>
      </c>
      <c r="Q312" s="170">
        <v>42510</v>
      </c>
      <c r="R312" s="40">
        <v>42510</v>
      </c>
      <c r="S312" s="187">
        <f t="shared" si="35"/>
        <v>19</v>
      </c>
    </row>
    <row r="313" spans="1:19" s="3" customFormat="1" hidden="1" x14ac:dyDescent="0.25">
      <c r="A313" s="84">
        <f>+closed!A312+1</f>
        <v>328</v>
      </c>
      <c r="B313" s="24">
        <v>42482</v>
      </c>
      <c r="C313" s="1">
        <v>114</v>
      </c>
      <c r="D313" s="1">
        <v>3000028622</v>
      </c>
      <c r="E313" s="1" t="s">
        <v>17</v>
      </c>
      <c r="F313" s="16">
        <v>12</v>
      </c>
      <c r="G313" s="25">
        <v>42474</v>
      </c>
      <c r="H313" s="25"/>
      <c r="I313" s="25">
        <v>42477</v>
      </c>
      <c r="J313" s="1" t="s">
        <v>8</v>
      </c>
      <c r="K313" s="1">
        <v>12</v>
      </c>
      <c r="L313" s="1">
        <v>11.824999999999999</v>
      </c>
      <c r="M313" s="1">
        <f t="shared" si="31"/>
        <v>11.824999999999999</v>
      </c>
      <c r="N313" s="7">
        <f t="shared" si="33"/>
        <v>42491</v>
      </c>
      <c r="O313" s="1">
        <v>554400</v>
      </c>
      <c r="P313" s="38">
        <f t="shared" si="34"/>
        <v>546315</v>
      </c>
      <c r="Q313" s="170">
        <v>42510</v>
      </c>
      <c r="R313" s="40">
        <v>42510</v>
      </c>
      <c r="S313" s="187">
        <f t="shared" si="35"/>
        <v>19</v>
      </c>
    </row>
    <row r="314" spans="1:19" s="3" customFormat="1" hidden="1" x14ac:dyDescent="0.25">
      <c r="A314" s="84">
        <f>+closed!A212+1</f>
        <v>249</v>
      </c>
      <c r="B314" s="24">
        <v>42471</v>
      </c>
      <c r="C314" s="1">
        <v>114</v>
      </c>
      <c r="D314" s="1">
        <v>3000028623</v>
      </c>
      <c r="E314" s="1" t="s">
        <v>24</v>
      </c>
      <c r="F314" s="1">
        <v>3</v>
      </c>
      <c r="G314" s="25">
        <v>42461</v>
      </c>
      <c r="H314" s="25"/>
      <c r="I314" s="25">
        <v>42466</v>
      </c>
      <c r="J314" s="1" t="s">
        <v>16</v>
      </c>
      <c r="K314" s="1">
        <v>21</v>
      </c>
      <c r="L314" s="1">
        <v>21</v>
      </c>
      <c r="M314" s="1">
        <f t="shared" si="31"/>
        <v>21</v>
      </c>
      <c r="N314" s="7">
        <f t="shared" si="33"/>
        <v>42480</v>
      </c>
      <c r="O314" s="1">
        <v>1008000</v>
      </c>
      <c r="P314" s="38">
        <f t="shared" si="34"/>
        <v>1008000</v>
      </c>
      <c r="Q314" s="170">
        <v>42510</v>
      </c>
      <c r="R314" s="40">
        <v>42510</v>
      </c>
      <c r="S314" s="187">
        <f t="shared" si="35"/>
        <v>30</v>
      </c>
    </row>
    <row r="315" spans="1:19" s="3" customFormat="1" hidden="1" x14ac:dyDescent="0.25">
      <c r="A315" s="84">
        <f>+closed!A288+1</f>
        <v>325</v>
      </c>
      <c r="B315" s="24">
        <v>42482</v>
      </c>
      <c r="C315" s="1">
        <v>114</v>
      </c>
      <c r="D315" s="1">
        <v>3000029753</v>
      </c>
      <c r="E315" s="1" t="s">
        <v>24</v>
      </c>
      <c r="F315" s="16">
        <v>7</v>
      </c>
      <c r="G315" s="25">
        <v>42471</v>
      </c>
      <c r="H315" s="25"/>
      <c r="I315" s="25">
        <v>42474</v>
      </c>
      <c r="J315" s="1" t="s">
        <v>16</v>
      </c>
      <c r="K315" s="1">
        <v>22.5</v>
      </c>
      <c r="L315" s="1">
        <v>22.465</v>
      </c>
      <c r="M315" s="1">
        <f t="shared" si="31"/>
        <v>22.465</v>
      </c>
      <c r="N315" s="7">
        <f t="shared" si="33"/>
        <v>42488</v>
      </c>
      <c r="O315" s="1">
        <v>1237500</v>
      </c>
      <c r="P315" s="38">
        <f t="shared" si="34"/>
        <v>1235575</v>
      </c>
      <c r="Q315" s="170">
        <v>42510</v>
      </c>
      <c r="R315" s="40">
        <v>42510</v>
      </c>
      <c r="S315" s="187">
        <f t="shared" si="35"/>
        <v>22</v>
      </c>
    </row>
    <row r="316" spans="1:19" s="3" customFormat="1" hidden="1" x14ac:dyDescent="0.25">
      <c r="A316" s="84">
        <f>+closed!A216+1</f>
        <v>262</v>
      </c>
      <c r="B316" s="24">
        <v>42472</v>
      </c>
      <c r="C316" s="1">
        <v>114</v>
      </c>
      <c r="D316" s="1">
        <v>3000028080</v>
      </c>
      <c r="E316" s="1" t="s">
        <v>49</v>
      </c>
      <c r="F316" s="1">
        <v>3</v>
      </c>
      <c r="G316" s="25">
        <v>42464</v>
      </c>
      <c r="H316" s="25"/>
      <c r="I316" s="25">
        <v>42467</v>
      </c>
      <c r="J316" s="1" t="s">
        <v>16</v>
      </c>
      <c r="K316" s="1">
        <v>26.56</v>
      </c>
      <c r="L316" s="1">
        <v>26.56</v>
      </c>
      <c r="M316" s="1">
        <f t="shared" si="31"/>
        <v>26.56</v>
      </c>
      <c r="N316" s="7">
        <f t="shared" si="33"/>
        <v>42481</v>
      </c>
      <c r="O316" s="1">
        <v>1181920</v>
      </c>
      <c r="P316" s="38">
        <f t="shared" si="34"/>
        <v>1181920</v>
      </c>
      <c r="Q316" s="170">
        <v>42510</v>
      </c>
      <c r="R316" s="40">
        <v>42510</v>
      </c>
      <c r="S316" s="187">
        <f t="shared" si="35"/>
        <v>29</v>
      </c>
    </row>
    <row r="317" spans="1:19" s="3" customFormat="1" hidden="1" x14ac:dyDescent="0.25">
      <c r="A317" s="84">
        <f>+closed!A316+1</f>
        <v>263</v>
      </c>
      <c r="B317" s="24">
        <v>42472</v>
      </c>
      <c r="C317" s="1">
        <v>114</v>
      </c>
      <c r="D317" s="1">
        <v>3000028333</v>
      </c>
      <c r="E317" s="1" t="s">
        <v>49</v>
      </c>
      <c r="F317" s="1">
        <v>4</v>
      </c>
      <c r="G317" s="25">
        <v>42464</v>
      </c>
      <c r="H317" s="25"/>
      <c r="I317" s="25">
        <v>42467</v>
      </c>
      <c r="J317" s="1" t="s">
        <v>16</v>
      </c>
      <c r="K317" s="1">
        <v>3</v>
      </c>
      <c r="L317" s="1">
        <v>2.9</v>
      </c>
      <c r="M317" s="1">
        <f t="shared" si="31"/>
        <v>2.9</v>
      </c>
      <c r="N317" s="7">
        <f t="shared" si="33"/>
        <v>42481</v>
      </c>
      <c r="O317" s="1">
        <v>145500</v>
      </c>
      <c r="P317" s="38">
        <f t="shared" si="34"/>
        <v>140650</v>
      </c>
      <c r="Q317" s="170">
        <v>42510</v>
      </c>
      <c r="R317" s="40">
        <v>42510</v>
      </c>
      <c r="S317" s="187">
        <f t="shared" si="35"/>
        <v>29</v>
      </c>
    </row>
    <row r="318" spans="1:19" s="3" customFormat="1" hidden="1" x14ac:dyDescent="0.25">
      <c r="A318" s="84">
        <f>+closed!A283+1</f>
        <v>267</v>
      </c>
      <c r="B318" s="24">
        <v>42472</v>
      </c>
      <c r="C318" s="1">
        <v>114</v>
      </c>
      <c r="D318" s="1">
        <v>3000028872</v>
      </c>
      <c r="E318" s="1" t="s">
        <v>18</v>
      </c>
      <c r="F318" s="16">
        <v>248</v>
      </c>
      <c r="G318" s="25">
        <v>42460</v>
      </c>
      <c r="H318" s="25"/>
      <c r="I318" s="25">
        <v>42468</v>
      </c>
      <c r="J318" s="1" t="s">
        <v>8</v>
      </c>
      <c r="K318" s="1">
        <v>23</v>
      </c>
      <c r="L318" s="1">
        <v>22.88</v>
      </c>
      <c r="M318" s="1">
        <f t="shared" si="31"/>
        <v>22.88</v>
      </c>
      <c r="N318" s="7">
        <f t="shared" si="33"/>
        <v>42482</v>
      </c>
      <c r="O318" s="1">
        <v>1046500</v>
      </c>
      <c r="P318" s="38">
        <f t="shared" si="34"/>
        <v>1041040</v>
      </c>
      <c r="Q318" s="170">
        <v>42510</v>
      </c>
      <c r="R318" s="40">
        <v>42510</v>
      </c>
      <c r="S318" s="187">
        <f t="shared" si="35"/>
        <v>28</v>
      </c>
    </row>
    <row r="319" spans="1:19" s="3" customFormat="1" hidden="1" x14ac:dyDescent="0.25">
      <c r="A319" s="84">
        <f>+closed!A318+1</f>
        <v>268</v>
      </c>
      <c r="B319" s="24">
        <v>42472</v>
      </c>
      <c r="C319" s="1">
        <v>114</v>
      </c>
      <c r="D319" s="1">
        <v>3000028098</v>
      </c>
      <c r="E319" s="1" t="s">
        <v>18</v>
      </c>
      <c r="F319" s="16">
        <v>248</v>
      </c>
      <c r="G319" s="25">
        <v>42460</v>
      </c>
      <c r="H319" s="25"/>
      <c r="I319" s="25">
        <v>42468</v>
      </c>
      <c r="J319" s="1" t="s">
        <v>8</v>
      </c>
      <c r="K319" s="1">
        <v>3.62</v>
      </c>
      <c r="L319" s="1">
        <v>3.62</v>
      </c>
      <c r="M319" s="1">
        <f t="shared" si="31"/>
        <v>3.62</v>
      </c>
      <c r="N319" s="7">
        <f t="shared" si="33"/>
        <v>42482</v>
      </c>
      <c r="O319" s="1">
        <v>155660</v>
      </c>
      <c r="P319" s="38">
        <f t="shared" si="34"/>
        <v>155660</v>
      </c>
      <c r="Q319" s="170">
        <v>42510</v>
      </c>
      <c r="R319" s="40">
        <v>42510</v>
      </c>
      <c r="S319" s="187">
        <f t="shared" si="35"/>
        <v>28</v>
      </c>
    </row>
    <row r="320" spans="1:19" s="3" customFormat="1" hidden="1" x14ac:dyDescent="0.25">
      <c r="A320" s="84">
        <f>+closed!A336+1</f>
        <v>315</v>
      </c>
      <c r="B320" s="24">
        <v>42482</v>
      </c>
      <c r="C320" s="1">
        <v>14</v>
      </c>
      <c r="D320" s="1">
        <v>3000028872</v>
      </c>
      <c r="E320" s="1" t="s">
        <v>18</v>
      </c>
      <c r="F320" s="16">
        <v>4</v>
      </c>
      <c r="G320" s="25">
        <v>42474</v>
      </c>
      <c r="H320" s="25"/>
      <c r="I320" s="25">
        <v>42478</v>
      </c>
      <c r="J320" s="1" t="s">
        <v>8</v>
      </c>
      <c r="K320" s="1">
        <v>6.36</v>
      </c>
      <c r="L320" s="1">
        <v>6.36</v>
      </c>
      <c r="M320" s="1">
        <f t="shared" ref="M320:M346" si="36">IF(L320&gt;K320,K320,L320)</f>
        <v>6.36</v>
      </c>
      <c r="N320" s="7">
        <f t="shared" si="33"/>
        <v>42492</v>
      </c>
      <c r="O320" s="1">
        <v>289380</v>
      </c>
      <c r="P320" s="38">
        <f t="shared" si="34"/>
        <v>289380</v>
      </c>
      <c r="Q320" s="170">
        <v>42510</v>
      </c>
      <c r="R320" s="40">
        <v>42510</v>
      </c>
      <c r="S320" s="187">
        <f t="shared" si="35"/>
        <v>18</v>
      </c>
    </row>
    <row r="321" spans="1:19" s="3" customFormat="1" hidden="1" x14ac:dyDescent="0.25">
      <c r="A321" s="84">
        <f>+closed!A320+1</f>
        <v>316</v>
      </c>
      <c r="B321" s="24">
        <v>42482</v>
      </c>
      <c r="C321" s="1">
        <v>114</v>
      </c>
      <c r="D321" s="1">
        <v>3000029646</v>
      </c>
      <c r="E321" s="1" t="s">
        <v>18</v>
      </c>
      <c r="F321" s="16">
        <v>4</v>
      </c>
      <c r="G321" s="25">
        <v>42474</v>
      </c>
      <c r="H321" s="25"/>
      <c r="I321" s="25">
        <v>42478</v>
      </c>
      <c r="J321" s="1" t="s">
        <v>8</v>
      </c>
      <c r="K321" s="1">
        <v>20.7</v>
      </c>
      <c r="L321" s="1">
        <v>20.61</v>
      </c>
      <c r="M321" s="1">
        <f t="shared" si="36"/>
        <v>20.61</v>
      </c>
      <c r="N321" s="7">
        <f t="shared" si="33"/>
        <v>42492</v>
      </c>
      <c r="O321" s="1">
        <v>1155060</v>
      </c>
      <c r="P321" s="38">
        <f t="shared" si="34"/>
        <v>1150038</v>
      </c>
      <c r="Q321" s="170">
        <v>42510</v>
      </c>
      <c r="R321" s="40">
        <v>42510</v>
      </c>
      <c r="S321" s="187">
        <f t="shared" si="35"/>
        <v>18</v>
      </c>
    </row>
    <row r="322" spans="1:19" s="3" customFormat="1" hidden="1" x14ac:dyDescent="0.25">
      <c r="A322" s="84">
        <f>+closed!A321+1</f>
        <v>317</v>
      </c>
      <c r="B322" s="24">
        <v>42482</v>
      </c>
      <c r="C322" s="1">
        <v>114</v>
      </c>
      <c r="D322" s="1">
        <v>3000029646</v>
      </c>
      <c r="E322" s="1" t="s">
        <v>18</v>
      </c>
      <c r="F322" s="1">
        <v>5</v>
      </c>
      <c r="G322" s="25">
        <v>42476</v>
      </c>
      <c r="H322" s="25"/>
      <c r="I322" s="25">
        <v>42479</v>
      </c>
      <c r="J322" s="1" t="s">
        <v>8</v>
      </c>
      <c r="K322" s="1">
        <v>30.53</v>
      </c>
      <c r="L322" s="1">
        <v>30.26</v>
      </c>
      <c r="M322" s="1">
        <f t="shared" si="36"/>
        <v>30.26</v>
      </c>
      <c r="N322" s="7">
        <f t="shared" si="33"/>
        <v>42493</v>
      </c>
      <c r="O322" s="1">
        <v>1703574</v>
      </c>
      <c r="P322" s="38">
        <f t="shared" si="34"/>
        <v>1688508</v>
      </c>
      <c r="Q322" s="170">
        <v>42510</v>
      </c>
      <c r="R322" s="40">
        <v>42510</v>
      </c>
      <c r="S322" s="187">
        <f t="shared" si="35"/>
        <v>17</v>
      </c>
    </row>
    <row r="323" spans="1:19" s="3" customFormat="1" hidden="1" x14ac:dyDescent="0.25">
      <c r="A323" s="84">
        <f>+closed!A276+1</f>
        <v>271</v>
      </c>
      <c r="B323" s="24">
        <v>42472</v>
      </c>
      <c r="C323" s="1">
        <v>114</v>
      </c>
      <c r="D323" s="1">
        <v>3000029472</v>
      </c>
      <c r="E323" s="1" t="s">
        <v>30</v>
      </c>
      <c r="F323" s="1">
        <v>17</v>
      </c>
      <c r="G323" s="25">
        <v>42467</v>
      </c>
      <c r="H323" s="25"/>
      <c r="I323" s="25">
        <v>42469</v>
      </c>
      <c r="J323" s="1" t="s">
        <v>31</v>
      </c>
      <c r="K323" s="1">
        <v>28.67</v>
      </c>
      <c r="L323" s="1">
        <v>28.58</v>
      </c>
      <c r="M323" s="1">
        <f t="shared" si="36"/>
        <v>28.58</v>
      </c>
      <c r="N323" s="7">
        <f t="shared" ref="N323:N354" si="37">+I323+15-1</f>
        <v>42483</v>
      </c>
      <c r="O323" s="1">
        <v>1444969</v>
      </c>
      <c r="P323" s="38">
        <f t="shared" si="34"/>
        <v>1440432.9968608299</v>
      </c>
      <c r="Q323" s="170">
        <v>42510</v>
      </c>
      <c r="R323" s="40">
        <v>42510</v>
      </c>
      <c r="S323" s="187">
        <f t="shared" si="35"/>
        <v>27</v>
      </c>
    </row>
    <row r="324" spans="1:19" s="3" customFormat="1" hidden="1" x14ac:dyDescent="0.25">
      <c r="A324" s="84">
        <f>+closed!A282+1</f>
        <v>288</v>
      </c>
      <c r="B324" s="24">
        <v>42474</v>
      </c>
      <c r="C324" s="1">
        <v>114</v>
      </c>
      <c r="D324" s="1">
        <v>3000029472</v>
      </c>
      <c r="E324" s="1" t="s">
        <v>30</v>
      </c>
      <c r="F324" s="1">
        <v>18</v>
      </c>
      <c r="G324" s="25">
        <v>42468</v>
      </c>
      <c r="H324" s="25"/>
      <c r="I324" s="25">
        <v>42470</v>
      </c>
      <c r="J324" s="1" t="s">
        <v>31</v>
      </c>
      <c r="K324" s="1">
        <v>28.56</v>
      </c>
      <c r="L324" s="1">
        <v>28.48</v>
      </c>
      <c r="M324" s="1">
        <f t="shared" si="36"/>
        <v>28.48</v>
      </c>
      <c r="N324" s="7">
        <f t="shared" si="37"/>
        <v>42484</v>
      </c>
      <c r="O324" s="1">
        <v>1439425</v>
      </c>
      <c r="P324" s="38">
        <f t="shared" si="34"/>
        <v>1435392.9971988797</v>
      </c>
      <c r="Q324" s="170">
        <v>42510</v>
      </c>
      <c r="R324" s="40">
        <v>42510</v>
      </c>
      <c r="S324" s="187">
        <f t="shared" si="35"/>
        <v>26</v>
      </c>
    </row>
    <row r="325" spans="1:19" s="3" customFormat="1" hidden="1" x14ac:dyDescent="0.25">
      <c r="A325" s="84">
        <f>+closed!A313+1</f>
        <v>329</v>
      </c>
      <c r="B325" s="24">
        <v>42482</v>
      </c>
      <c r="C325" s="1">
        <v>114</v>
      </c>
      <c r="D325" s="1">
        <v>3000029682</v>
      </c>
      <c r="E325" s="1" t="s">
        <v>30</v>
      </c>
      <c r="F325" s="1">
        <v>30</v>
      </c>
      <c r="G325" s="25">
        <v>42472</v>
      </c>
      <c r="H325" s="25"/>
      <c r="I325" s="25">
        <v>42474</v>
      </c>
      <c r="J325" s="1" t="s">
        <v>31</v>
      </c>
      <c r="K325" s="1">
        <v>28.79</v>
      </c>
      <c r="L325" s="1">
        <v>28.68</v>
      </c>
      <c r="M325" s="1">
        <f t="shared" si="36"/>
        <v>28.68</v>
      </c>
      <c r="N325" s="7">
        <f t="shared" si="37"/>
        <v>42488</v>
      </c>
      <c r="O325" s="1">
        <v>1494202</v>
      </c>
      <c r="P325" s="38">
        <f t="shared" si="34"/>
        <v>1488492.9961792289</v>
      </c>
      <c r="Q325" s="170">
        <v>42510</v>
      </c>
      <c r="R325" s="40">
        <v>42510</v>
      </c>
      <c r="S325" s="187">
        <f t="shared" si="35"/>
        <v>22</v>
      </c>
    </row>
    <row r="326" spans="1:19" s="3" customFormat="1" hidden="1" x14ac:dyDescent="0.25">
      <c r="A326" s="84">
        <f>+closed!A327+1</f>
        <v>331</v>
      </c>
      <c r="B326" s="24">
        <v>42482</v>
      </c>
      <c r="C326" s="1">
        <v>114</v>
      </c>
      <c r="D326" s="1">
        <v>3000029682</v>
      </c>
      <c r="E326" s="1" t="s">
        <v>30</v>
      </c>
      <c r="F326" s="1">
        <v>35</v>
      </c>
      <c r="G326" s="25">
        <v>42474</v>
      </c>
      <c r="H326" s="25"/>
      <c r="I326" s="25">
        <v>42480</v>
      </c>
      <c r="J326" s="1" t="s">
        <v>31</v>
      </c>
      <c r="K326" s="1">
        <v>29.67</v>
      </c>
      <c r="L326" s="1">
        <v>29.57</v>
      </c>
      <c r="M326" s="1">
        <f t="shared" si="36"/>
        <v>29.57</v>
      </c>
      <c r="N326" s="7">
        <f t="shared" si="37"/>
        <v>42494</v>
      </c>
      <c r="O326" s="1">
        <v>1539874</v>
      </c>
      <c r="P326" s="38">
        <f t="shared" si="34"/>
        <v>1534683.996629592</v>
      </c>
      <c r="Q326" s="170">
        <v>42510</v>
      </c>
      <c r="R326" s="40">
        <v>42510</v>
      </c>
      <c r="S326" s="187">
        <f t="shared" si="35"/>
        <v>16</v>
      </c>
    </row>
    <row r="327" spans="1:19" s="3" customFormat="1" hidden="1" x14ac:dyDescent="0.25">
      <c r="A327" s="84">
        <f>+closed!A325+1</f>
        <v>330</v>
      </c>
      <c r="B327" s="24">
        <v>42482</v>
      </c>
      <c r="C327" s="1">
        <v>114</v>
      </c>
      <c r="D327" s="1">
        <v>3000029682</v>
      </c>
      <c r="E327" s="1" t="s">
        <v>30</v>
      </c>
      <c r="F327" s="1">
        <v>36</v>
      </c>
      <c r="G327" s="25">
        <v>42474</v>
      </c>
      <c r="H327" s="25"/>
      <c r="I327" s="25">
        <v>42478</v>
      </c>
      <c r="J327" s="1" t="s">
        <v>31</v>
      </c>
      <c r="K327" s="1">
        <v>27.42</v>
      </c>
      <c r="L327" s="1">
        <v>27.32</v>
      </c>
      <c r="M327" s="1">
        <f t="shared" si="36"/>
        <v>27.32</v>
      </c>
      <c r="N327" s="7">
        <f t="shared" si="37"/>
        <v>42492</v>
      </c>
      <c r="O327" s="1">
        <v>1423099</v>
      </c>
      <c r="P327" s="38">
        <f t="shared" si="34"/>
        <v>1417908.9963530269</v>
      </c>
      <c r="Q327" s="170">
        <v>42510</v>
      </c>
      <c r="R327" s="40">
        <v>42510</v>
      </c>
      <c r="S327" s="187">
        <f t="shared" si="35"/>
        <v>18</v>
      </c>
    </row>
    <row r="328" spans="1:19" s="3" customFormat="1" hidden="1" x14ac:dyDescent="0.25">
      <c r="A328" s="84">
        <f>+closed!A284+1</f>
        <v>293</v>
      </c>
      <c r="B328" s="24">
        <v>42474</v>
      </c>
      <c r="C328" s="1">
        <v>103</v>
      </c>
      <c r="D328" s="1">
        <v>3000028972</v>
      </c>
      <c r="E328" s="18" t="s">
        <v>25</v>
      </c>
      <c r="F328" s="1" t="s">
        <v>88</v>
      </c>
      <c r="G328" s="25">
        <v>42467</v>
      </c>
      <c r="H328" s="25"/>
      <c r="I328" s="25">
        <v>42471</v>
      </c>
      <c r="J328" s="1" t="s">
        <v>16</v>
      </c>
      <c r="K328" s="1">
        <v>19.27</v>
      </c>
      <c r="L328" s="1">
        <v>19.27</v>
      </c>
      <c r="M328" s="18">
        <f t="shared" si="36"/>
        <v>19.27</v>
      </c>
      <c r="N328" s="7">
        <f t="shared" si="37"/>
        <v>42485</v>
      </c>
      <c r="O328" s="1">
        <v>855522</v>
      </c>
      <c r="P328" s="38">
        <f t="shared" ref="P328:P346" si="38">(+O328/K328*M328)</f>
        <v>855522</v>
      </c>
      <c r="Q328" s="170">
        <v>42510</v>
      </c>
      <c r="R328" s="40">
        <v>42510</v>
      </c>
      <c r="S328" s="187">
        <f t="shared" ref="S328:S346" si="39">R328-N328</f>
        <v>25</v>
      </c>
    </row>
    <row r="329" spans="1:19" s="3" customFormat="1" hidden="1" x14ac:dyDescent="0.25">
      <c r="A329" s="84">
        <f>+closed!A187+1</f>
        <v>299</v>
      </c>
      <c r="B329" s="24">
        <v>42475</v>
      </c>
      <c r="C329" s="1">
        <v>103</v>
      </c>
      <c r="D329" s="1">
        <v>3000028971</v>
      </c>
      <c r="E329" s="18" t="s">
        <v>25</v>
      </c>
      <c r="F329" s="1" t="s">
        <v>95</v>
      </c>
      <c r="G329" s="25">
        <v>42468</v>
      </c>
      <c r="H329" s="25"/>
      <c r="I329" s="25">
        <v>42473</v>
      </c>
      <c r="J329" s="1" t="s">
        <v>16</v>
      </c>
      <c r="K329" s="1">
        <v>32.840000000000003</v>
      </c>
      <c r="L329" s="1">
        <v>32.840000000000003</v>
      </c>
      <c r="M329" s="18">
        <f t="shared" si="36"/>
        <v>32.840000000000003</v>
      </c>
      <c r="N329" s="7">
        <f t="shared" si="37"/>
        <v>42487</v>
      </c>
      <c r="O329" s="1">
        <v>1462973</v>
      </c>
      <c r="P329" s="38">
        <f t="shared" si="38"/>
        <v>1462973</v>
      </c>
      <c r="Q329" s="170">
        <v>42510</v>
      </c>
      <c r="R329" s="40">
        <v>42510</v>
      </c>
      <c r="S329" s="187">
        <f t="shared" si="39"/>
        <v>23</v>
      </c>
    </row>
    <row r="330" spans="1:19" s="3" customFormat="1" hidden="1" x14ac:dyDescent="0.25">
      <c r="A330" s="84">
        <f>+closed!A329+1</f>
        <v>300</v>
      </c>
      <c r="B330" s="24">
        <v>42475</v>
      </c>
      <c r="C330" s="1">
        <v>103</v>
      </c>
      <c r="D330" s="1">
        <v>3000028971</v>
      </c>
      <c r="E330" s="18" t="s">
        <v>25</v>
      </c>
      <c r="F330" s="1" t="s">
        <v>96</v>
      </c>
      <c r="G330" s="25">
        <v>42468</v>
      </c>
      <c r="H330" s="25"/>
      <c r="I330" s="25">
        <v>42473</v>
      </c>
      <c r="J330" s="1" t="s">
        <v>16</v>
      </c>
      <c r="K330" s="1">
        <v>27.63</v>
      </c>
      <c r="L330" s="1">
        <v>27.63</v>
      </c>
      <c r="M330" s="1">
        <f t="shared" si="36"/>
        <v>27.63</v>
      </c>
      <c r="N330" s="7">
        <f t="shared" si="37"/>
        <v>42487</v>
      </c>
      <c r="O330" s="1">
        <v>1230875</v>
      </c>
      <c r="P330" s="38">
        <f t="shared" si="38"/>
        <v>1230875</v>
      </c>
      <c r="Q330" s="170">
        <v>42510</v>
      </c>
      <c r="R330" s="40">
        <v>42510</v>
      </c>
      <c r="S330" s="187">
        <f t="shared" si="39"/>
        <v>23</v>
      </c>
    </row>
    <row r="331" spans="1:19" s="3" customFormat="1" hidden="1" x14ac:dyDescent="0.25">
      <c r="A331" s="84">
        <f>+closed!A213+1</f>
        <v>311</v>
      </c>
      <c r="B331" s="24">
        <v>42482</v>
      </c>
      <c r="C331" s="1">
        <v>114</v>
      </c>
      <c r="D331" s="1">
        <v>3000028870</v>
      </c>
      <c r="E331" s="1" t="s">
        <v>27</v>
      </c>
      <c r="F331" s="1">
        <v>809</v>
      </c>
      <c r="G331" s="25">
        <v>42475</v>
      </c>
      <c r="H331" s="25"/>
      <c r="I331" s="25">
        <v>42477</v>
      </c>
      <c r="J331" s="1" t="s">
        <v>8</v>
      </c>
      <c r="K331" s="1">
        <v>20.58</v>
      </c>
      <c r="L331" s="1">
        <v>20.52</v>
      </c>
      <c r="M331" s="1">
        <f t="shared" si="36"/>
        <v>20.52</v>
      </c>
      <c r="N331" s="7">
        <f t="shared" si="37"/>
        <v>42491</v>
      </c>
      <c r="O331" s="1">
        <v>936390</v>
      </c>
      <c r="P331" s="38">
        <f t="shared" si="38"/>
        <v>933660.00000000012</v>
      </c>
      <c r="Q331" s="170">
        <v>42510</v>
      </c>
      <c r="R331" s="40">
        <v>42510</v>
      </c>
      <c r="S331" s="187">
        <f t="shared" si="39"/>
        <v>19</v>
      </c>
    </row>
    <row r="332" spans="1:19" s="3" customFormat="1" hidden="1" x14ac:dyDescent="0.25">
      <c r="A332" s="84">
        <f>+closed!A289+1</f>
        <v>342</v>
      </c>
      <c r="B332" s="24">
        <v>42489</v>
      </c>
      <c r="C332" s="1">
        <v>114</v>
      </c>
      <c r="D332" s="1">
        <v>3000028870</v>
      </c>
      <c r="E332" s="1" t="s">
        <v>27</v>
      </c>
      <c r="F332" s="16">
        <v>810</v>
      </c>
      <c r="G332" s="25">
        <v>42478</v>
      </c>
      <c r="H332" s="25"/>
      <c r="I332" s="25">
        <v>42481</v>
      </c>
      <c r="J332" s="1" t="s">
        <v>8</v>
      </c>
      <c r="K332" s="1">
        <v>3.72</v>
      </c>
      <c r="L332" s="1">
        <v>3.72</v>
      </c>
      <c r="M332" s="1">
        <f t="shared" si="36"/>
        <v>3.72</v>
      </c>
      <c r="N332" s="7">
        <f t="shared" si="37"/>
        <v>42495</v>
      </c>
      <c r="O332" s="1">
        <v>169260</v>
      </c>
      <c r="P332" s="18">
        <f t="shared" si="38"/>
        <v>169260</v>
      </c>
      <c r="Q332" s="170">
        <v>42510</v>
      </c>
      <c r="R332" s="40">
        <v>42510</v>
      </c>
      <c r="S332" s="187">
        <f t="shared" si="39"/>
        <v>15</v>
      </c>
    </row>
    <row r="333" spans="1:19" s="3" customFormat="1" hidden="1" x14ac:dyDescent="0.25">
      <c r="A333" s="84">
        <f>+closed!A332+1</f>
        <v>343</v>
      </c>
      <c r="B333" s="24">
        <v>42489</v>
      </c>
      <c r="C333" s="1">
        <v>114</v>
      </c>
      <c r="D333" s="1">
        <v>3000029687</v>
      </c>
      <c r="E333" s="1" t="s">
        <v>27</v>
      </c>
      <c r="F333" s="16">
        <v>810</v>
      </c>
      <c r="G333" s="25">
        <v>42478</v>
      </c>
      <c r="H333" s="25"/>
      <c r="I333" s="25">
        <v>42481</v>
      </c>
      <c r="J333" s="1" t="s">
        <v>8</v>
      </c>
      <c r="K333" s="1">
        <v>23.4</v>
      </c>
      <c r="L333" s="1">
        <v>23.4</v>
      </c>
      <c r="M333" s="1">
        <f t="shared" si="36"/>
        <v>23.4</v>
      </c>
      <c r="N333" s="7">
        <f t="shared" si="37"/>
        <v>42495</v>
      </c>
      <c r="O333" s="1">
        <v>1298700</v>
      </c>
      <c r="P333" s="18">
        <f t="shared" si="38"/>
        <v>1298700</v>
      </c>
      <c r="Q333" s="170">
        <v>42510</v>
      </c>
      <c r="R333" s="40">
        <v>42510</v>
      </c>
      <c r="S333" s="187">
        <f t="shared" si="39"/>
        <v>15</v>
      </c>
    </row>
    <row r="334" spans="1:19" s="3" customFormat="1" hidden="1" x14ac:dyDescent="0.25">
      <c r="A334" s="84">
        <f>+closed!A331+1</f>
        <v>312</v>
      </c>
      <c r="B334" s="24">
        <v>42482</v>
      </c>
      <c r="C334" s="1">
        <v>114</v>
      </c>
      <c r="D334" s="1">
        <v>3000028103</v>
      </c>
      <c r="E334" s="1" t="s">
        <v>27</v>
      </c>
      <c r="F334" s="1">
        <v>19</v>
      </c>
      <c r="G334" s="25">
        <v>42473</v>
      </c>
      <c r="H334" s="25"/>
      <c r="I334" s="25">
        <v>42478</v>
      </c>
      <c r="J334" s="1" t="s">
        <v>16</v>
      </c>
      <c r="K334" s="1">
        <v>28.344999999999999</v>
      </c>
      <c r="L334" s="1">
        <v>28.21</v>
      </c>
      <c r="M334" s="1">
        <f t="shared" si="36"/>
        <v>28.21</v>
      </c>
      <c r="N334" s="7">
        <f t="shared" si="37"/>
        <v>42492</v>
      </c>
      <c r="O334" s="1">
        <v>1267022</v>
      </c>
      <c r="P334" s="38">
        <f t="shared" si="38"/>
        <v>1260987.4976186277</v>
      </c>
      <c r="Q334" s="170">
        <v>42510</v>
      </c>
      <c r="R334" s="40">
        <v>42510</v>
      </c>
      <c r="S334" s="187">
        <f t="shared" si="39"/>
        <v>18</v>
      </c>
    </row>
    <row r="335" spans="1:19" s="3" customFormat="1" hidden="1" x14ac:dyDescent="0.25">
      <c r="A335" s="84">
        <f>+closed!A334+1</f>
        <v>313</v>
      </c>
      <c r="B335" s="24">
        <v>42482</v>
      </c>
      <c r="C335" s="1">
        <v>114</v>
      </c>
      <c r="D335" s="1">
        <v>3000028103</v>
      </c>
      <c r="E335" s="1" t="s">
        <v>27</v>
      </c>
      <c r="F335" s="20">
        <v>20</v>
      </c>
      <c r="G335" s="25">
        <v>42474</v>
      </c>
      <c r="H335" s="25"/>
      <c r="I335" s="25">
        <v>42478</v>
      </c>
      <c r="J335" s="1" t="s">
        <v>16</v>
      </c>
      <c r="K335" s="1">
        <v>19.995000000000001</v>
      </c>
      <c r="L335" s="1">
        <v>19.995000000000001</v>
      </c>
      <c r="M335" s="1">
        <f t="shared" si="36"/>
        <v>19.995000000000001</v>
      </c>
      <c r="N335" s="7">
        <f t="shared" si="37"/>
        <v>42492</v>
      </c>
      <c r="O335" s="1">
        <v>893777</v>
      </c>
      <c r="P335" s="38">
        <f t="shared" si="38"/>
        <v>893777</v>
      </c>
      <c r="Q335" s="170">
        <v>42510</v>
      </c>
      <c r="R335" s="40">
        <v>42510</v>
      </c>
      <c r="S335" s="187">
        <f t="shared" si="39"/>
        <v>18</v>
      </c>
    </row>
    <row r="336" spans="1:19" s="3" customFormat="1" hidden="1" x14ac:dyDescent="0.25">
      <c r="A336" s="84">
        <f>+closed!A335+1</f>
        <v>314</v>
      </c>
      <c r="B336" s="24">
        <v>42482</v>
      </c>
      <c r="C336" s="1">
        <v>114</v>
      </c>
      <c r="D336" s="1">
        <v>3000028329</v>
      </c>
      <c r="E336" s="1" t="s">
        <v>27</v>
      </c>
      <c r="F336" s="20">
        <v>20</v>
      </c>
      <c r="G336" s="25">
        <v>42474</v>
      </c>
      <c r="H336" s="25"/>
      <c r="I336" s="25">
        <v>42478</v>
      </c>
      <c r="J336" s="1" t="s">
        <v>16</v>
      </c>
      <c r="K336" s="1">
        <v>10</v>
      </c>
      <c r="L336" s="1">
        <v>9.8650000000000002</v>
      </c>
      <c r="M336" s="1">
        <f t="shared" si="36"/>
        <v>9.8650000000000002</v>
      </c>
      <c r="N336" s="7">
        <f t="shared" si="37"/>
        <v>42492</v>
      </c>
      <c r="O336" s="1">
        <v>485000</v>
      </c>
      <c r="P336" s="38">
        <f t="shared" si="38"/>
        <v>478452.5</v>
      </c>
      <c r="Q336" s="170">
        <v>42510</v>
      </c>
      <c r="R336" s="40">
        <v>42510</v>
      </c>
      <c r="S336" s="187">
        <f t="shared" si="39"/>
        <v>18</v>
      </c>
    </row>
    <row r="337" spans="1:20" s="3" customFormat="1" hidden="1" x14ac:dyDescent="0.25">
      <c r="A337" s="84">
        <f>+closed!A339+1</f>
        <v>355</v>
      </c>
      <c r="B337" s="24">
        <v>42492</v>
      </c>
      <c r="C337" s="1">
        <v>114</v>
      </c>
      <c r="D337" s="1">
        <v>3000029629</v>
      </c>
      <c r="E337" s="1" t="s">
        <v>60</v>
      </c>
      <c r="F337" s="1">
        <v>26</v>
      </c>
      <c r="G337" s="25">
        <v>42468</v>
      </c>
      <c r="H337" s="25"/>
      <c r="I337" s="25">
        <v>42487</v>
      </c>
      <c r="J337" s="1" t="s">
        <v>61</v>
      </c>
      <c r="K337" s="1">
        <v>20.86</v>
      </c>
      <c r="L337" s="1">
        <v>20.9</v>
      </c>
      <c r="M337" s="1">
        <f t="shared" si="36"/>
        <v>20.86</v>
      </c>
      <c r="N337" s="7">
        <f t="shared" si="37"/>
        <v>42501</v>
      </c>
      <c r="O337" s="1">
        <v>1741790</v>
      </c>
      <c r="P337" s="18">
        <f t="shared" si="38"/>
        <v>1741789.9999999998</v>
      </c>
      <c r="Q337" s="170">
        <v>42510</v>
      </c>
      <c r="R337" s="40">
        <v>42510</v>
      </c>
      <c r="S337" s="187">
        <f t="shared" si="39"/>
        <v>9</v>
      </c>
    </row>
    <row r="338" spans="1:20" s="3" customFormat="1" hidden="1" x14ac:dyDescent="0.25">
      <c r="A338" s="84">
        <f>+closed!A337+1</f>
        <v>356</v>
      </c>
      <c r="B338" s="24">
        <v>42492</v>
      </c>
      <c r="C338" s="1">
        <v>114</v>
      </c>
      <c r="D338" s="1">
        <v>3000029629</v>
      </c>
      <c r="E338" s="1" t="s">
        <v>60</v>
      </c>
      <c r="F338" s="1">
        <v>27</v>
      </c>
      <c r="G338" s="25">
        <v>42468</v>
      </c>
      <c r="H338" s="25"/>
      <c r="I338" s="25">
        <v>42487</v>
      </c>
      <c r="J338" s="1" t="s">
        <v>61</v>
      </c>
      <c r="K338" s="1">
        <v>20.9</v>
      </c>
      <c r="L338" s="1">
        <v>20.92</v>
      </c>
      <c r="M338" s="1">
        <f t="shared" si="36"/>
        <v>20.9</v>
      </c>
      <c r="N338" s="7">
        <f t="shared" si="37"/>
        <v>42501</v>
      </c>
      <c r="O338" s="1">
        <v>1745129</v>
      </c>
      <c r="P338" s="18">
        <f t="shared" si="38"/>
        <v>1745129</v>
      </c>
      <c r="Q338" s="170">
        <v>42510</v>
      </c>
      <c r="R338" s="40">
        <v>42510</v>
      </c>
      <c r="S338" s="187">
        <f t="shared" si="39"/>
        <v>9</v>
      </c>
    </row>
    <row r="339" spans="1:20" s="3" customFormat="1" hidden="1" x14ac:dyDescent="0.25">
      <c r="A339" s="84">
        <f>+closed!A259+1</f>
        <v>354</v>
      </c>
      <c r="B339" s="24">
        <v>42492</v>
      </c>
      <c r="C339" s="1">
        <v>114</v>
      </c>
      <c r="D339" s="1">
        <v>3000029629</v>
      </c>
      <c r="E339" s="1" t="s">
        <v>60</v>
      </c>
      <c r="F339" s="1">
        <v>35</v>
      </c>
      <c r="G339" s="25">
        <v>42470</v>
      </c>
      <c r="H339" s="25"/>
      <c r="I339" s="25">
        <v>42487</v>
      </c>
      <c r="J339" s="1" t="s">
        <v>61</v>
      </c>
      <c r="K339" s="1">
        <v>26.84</v>
      </c>
      <c r="L339" s="1">
        <v>26.83</v>
      </c>
      <c r="M339" s="1">
        <f t="shared" si="36"/>
        <v>26.83</v>
      </c>
      <c r="N339" s="7">
        <f t="shared" si="37"/>
        <v>42501</v>
      </c>
      <c r="O339" s="1">
        <v>2241114</v>
      </c>
      <c r="P339" s="18">
        <f t="shared" si="38"/>
        <v>2240279.0096870344</v>
      </c>
      <c r="Q339" s="170">
        <v>42510</v>
      </c>
      <c r="R339" s="40">
        <v>42510</v>
      </c>
      <c r="S339" s="187">
        <f t="shared" si="39"/>
        <v>9</v>
      </c>
    </row>
    <row r="340" spans="1:20" s="3" customFormat="1" hidden="1" x14ac:dyDescent="0.25">
      <c r="A340" s="84">
        <f>+closed!A341+1</f>
        <v>367</v>
      </c>
      <c r="B340" s="24">
        <v>42495</v>
      </c>
      <c r="C340" s="1">
        <v>114</v>
      </c>
      <c r="D340" s="1">
        <v>3000029684</v>
      </c>
      <c r="E340" s="1" t="s">
        <v>60</v>
      </c>
      <c r="F340" s="1">
        <v>41</v>
      </c>
      <c r="G340" s="25">
        <v>42471</v>
      </c>
      <c r="H340" s="25"/>
      <c r="I340" s="25">
        <v>42490</v>
      </c>
      <c r="J340" s="1" t="s">
        <v>61</v>
      </c>
      <c r="K340" s="1">
        <v>16.46</v>
      </c>
      <c r="L340" s="1">
        <v>16.46</v>
      </c>
      <c r="M340" s="1">
        <f t="shared" si="36"/>
        <v>16.46</v>
      </c>
      <c r="N340" s="7">
        <f t="shared" si="37"/>
        <v>42504</v>
      </c>
      <c r="O340" s="1">
        <v>1374394</v>
      </c>
      <c r="P340" s="18">
        <f t="shared" si="38"/>
        <v>1374394</v>
      </c>
      <c r="Q340" s="170">
        <v>42510</v>
      </c>
      <c r="R340" s="40">
        <v>42510</v>
      </c>
      <c r="S340" s="187">
        <f t="shared" si="39"/>
        <v>6</v>
      </c>
    </row>
    <row r="341" spans="1:20" s="3" customFormat="1" hidden="1" x14ac:dyDescent="0.25">
      <c r="A341" s="84">
        <f>+closed!A342+1</f>
        <v>366</v>
      </c>
      <c r="B341" s="24">
        <v>42495</v>
      </c>
      <c r="C341" s="1">
        <v>114</v>
      </c>
      <c r="D341" s="1">
        <v>3000029684</v>
      </c>
      <c r="E341" s="1" t="s">
        <v>60</v>
      </c>
      <c r="F341" s="1">
        <v>43</v>
      </c>
      <c r="G341" s="25">
        <v>42474</v>
      </c>
      <c r="H341" s="25"/>
      <c r="I341" s="25">
        <v>42490</v>
      </c>
      <c r="J341" s="1" t="s">
        <v>61</v>
      </c>
      <c r="K341" s="1">
        <v>26.72</v>
      </c>
      <c r="L341" s="1">
        <v>26.76</v>
      </c>
      <c r="M341" s="1">
        <f t="shared" si="36"/>
        <v>26.72</v>
      </c>
      <c r="N341" s="7">
        <f t="shared" si="37"/>
        <v>42504</v>
      </c>
      <c r="O341" s="1">
        <v>2311173</v>
      </c>
      <c r="P341" s="18">
        <f t="shared" si="38"/>
        <v>2311173</v>
      </c>
      <c r="Q341" s="170">
        <v>42510</v>
      </c>
      <c r="R341" s="40">
        <v>42510</v>
      </c>
      <c r="S341" s="187">
        <f t="shared" si="39"/>
        <v>6</v>
      </c>
    </row>
    <row r="342" spans="1:20" s="3" customFormat="1" hidden="1" x14ac:dyDescent="0.25">
      <c r="A342" s="84">
        <f>+closed!A412+1</f>
        <v>365</v>
      </c>
      <c r="B342" s="24">
        <v>42495</v>
      </c>
      <c r="C342" s="1">
        <v>114</v>
      </c>
      <c r="D342" s="1">
        <v>3000029684</v>
      </c>
      <c r="E342" s="1" t="s">
        <v>60</v>
      </c>
      <c r="F342" s="1">
        <v>44</v>
      </c>
      <c r="G342" s="25">
        <v>42474</v>
      </c>
      <c r="H342" s="25"/>
      <c r="I342" s="25">
        <v>42490</v>
      </c>
      <c r="J342" s="1" t="s">
        <v>61</v>
      </c>
      <c r="K342" s="1">
        <v>26.98</v>
      </c>
      <c r="L342" s="1">
        <v>27.02</v>
      </c>
      <c r="M342" s="1">
        <f t="shared" si="36"/>
        <v>26.98</v>
      </c>
      <c r="N342" s="7">
        <f t="shared" si="37"/>
        <v>42504</v>
      </c>
      <c r="O342" s="1">
        <v>2333662</v>
      </c>
      <c r="P342" s="18">
        <f t="shared" si="38"/>
        <v>2333662</v>
      </c>
      <c r="Q342" s="170">
        <v>42510</v>
      </c>
      <c r="R342" s="40">
        <v>42510</v>
      </c>
      <c r="S342" s="187">
        <f t="shared" si="39"/>
        <v>6</v>
      </c>
      <c r="T342" s="8">
        <v>53132988</v>
      </c>
    </row>
    <row r="343" spans="1:20" s="3" customFormat="1" hidden="1" x14ac:dyDescent="0.25">
      <c r="A343" s="84">
        <f>+closed!A309+1</f>
        <v>320</v>
      </c>
      <c r="B343" s="24">
        <v>42482</v>
      </c>
      <c r="C343" s="1">
        <v>114</v>
      </c>
      <c r="D343" s="1">
        <v>3000029651</v>
      </c>
      <c r="E343" s="1" t="s">
        <v>55</v>
      </c>
      <c r="F343" s="1">
        <v>3</v>
      </c>
      <c r="G343" s="25">
        <v>42474</v>
      </c>
      <c r="H343" s="25"/>
      <c r="I343" s="25">
        <v>42477</v>
      </c>
      <c r="J343" s="1" t="s">
        <v>8</v>
      </c>
      <c r="K343" s="1">
        <v>26.84</v>
      </c>
      <c r="L343" s="1">
        <v>26.81</v>
      </c>
      <c r="M343" s="1">
        <f t="shared" si="36"/>
        <v>26.81</v>
      </c>
      <c r="N343" s="7">
        <f t="shared" si="37"/>
        <v>42491</v>
      </c>
      <c r="O343" s="1">
        <v>1476200</v>
      </c>
      <c r="P343" s="26">
        <f t="shared" si="38"/>
        <v>1474550</v>
      </c>
      <c r="Q343" s="170">
        <v>42513</v>
      </c>
      <c r="R343" s="40">
        <v>42513</v>
      </c>
      <c r="S343" s="187">
        <f t="shared" si="39"/>
        <v>22</v>
      </c>
    </row>
    <row r="344" spans="1:20" s="3" customFormat="1" hidden="1" x14ac:dyDescent="0.25">
      <c r="A344" s="84">
        <f>+closed!A315+1</f>
        <v>326</v>
      </c>
      <c r="B344" s="24">
        <v>42482</v>
      </c>
      <c r="C344" s="1">
        <v>114</v>
      </c>
      <c r="D344" s="1">
        <v>3000029753</v>
      </c>
      <c r="E344" s="1" t="s">
        <v>24</v>
      </c>
      <c r="F344" s="1">
        <v>12</v>
      </c>
      <c r="G344" s="25">
        <v>42475</v>
      </c>
      <c r="H344" s="25"/>
      <c r="I344" s="25">
        <v>42479</v>
      </c>
      <c r="J344" s="1" t="s">
        <v>16</v>
      </c>
      <c r="K344" s="1">
        <v>27.23</v>
      </c>
      <c r="L344" s="1">
        <v>27.22</v>
      </c>
      <c r="M344" s="1">
        <f t="shared" si="36"/>
        <v>27.22</v>
      </c>
      <c r="N344" s="7">
        <f t="shared" si="37"/>
        <v>42493</v>
      </c>
      <c r="O344" s="1">
        <v>1497650</v>
      </c>
      <c r="P344" s="26">
        <f t="shared" si="38"/>
        <v>1497100</v>
      </c>
      <c r="Q344" s="170">
        <v>42513</v>
      </c>
      <c r="R344" s="40">
        <v>42513</v>
      </c>
      <c r="S344" s="187">
        <f t="shared" si="39"/>
        <v>20</v>
      </c>
    </row>
    <row r="345" spans="1:20" s="3" customFormat="1" hidden="1" x14ac:dyDescent="0.25">
      <c r="A345" s="84">
        <f>+closed!A348+1</f>
        <v>339</v>
      </c>
      <c r="B345" s="24">
        <v>42489</v>
      </c>
      <c r="C345" s="1">
        <v>114</v>
      </c>
      <c r="D345" s="1">
        <v>3000029682</v>
      </c>
      <c r="E345" s="1" t="s">
        <v>30</v>
      </c>
      <c r="F345" s="1">
        <v>39</v>
      </c>
      <c r="G345" s="25">
        <v>42477</v>
      </c>
      <c r="H345" s="25"/>
      <c r="I345" s="25">
        <v>42481</v>
      </c>
      <c r="J345" s="1" t="s">
        <v>31</v>
      </c>
      <c r="K345" s="1">
        <v>28.86</v>
      </c>
      <c r="L345" s="1">
        <v>28.76</v>
      </c>
      <c r="M345" s="1">
        <f t="shared" si="36"/>
        <v>28.76</v>
      </c>
      <c r="N345" s="7">
        <f t="shared" si="37"/>
        <v>42495</v>
      </c>
      <c r="O345" s="1">
        <v>1497835</v>
      </c>
      <c r="P345" s="1">
        <f t="shared" si="38"/>
        <v>1492644.9965349967</v>
      </c>
      <c r="Q345" s="170">
        <v>42513</v>
      </c>
      <c r="R345" s="40">
        <v>42513</v>
      </c>
      <c r="S345" s="187">
        <f t="shared" si="39"/>
        <v>18</v>
      </c>
    </row>
    <row r="346" spans="1:20" s="3" customFormat="1" hidden="1" x14ac:dyDescent="0.25">
      <c r="A346" s="84">
        <f>+closed!A333+1</f>
        <v>344</v>
      </c>
      <c r="B346" s="24">
        <v>42489</v>
      </c>
      <c r="C346" s="1">
        <v>114</v>
      </c>
      <c r="D346" s="1">
        <v>3000029682</v>
      </c>
      <c r="E346" s="1" t="s">
        <v>30</v>
      </c>
      <c r="F346" s="1">
        <v>40</v>
      </c>
      <c r="G346" s="25">
        <v>42478</v>
      </c>
      <c r="H346" s="25"/>
      <c r="I346" s="25">
        <v>42482</v>
      </c>
      <c r="J346" s="1" t="s">
        <v>31</v>
      </c>
      <c r="K346" s="1">
        <v>28.57</v>
      </c>
      <c r="L346" s="1">
        <v>28.5</v>
      </c>
      <c r="M346" s="1">
        <f t="shared" si="36"/>
        <v>28.5</v>
      </c>
      <c r="N346" s="7">
        <f t="shared" si="37"/>
        <v>42496</v>
      </c>
      <c r="O346" s="1">
        <v>1482784</v>
      </c>
      <c r="P346" s="1">
        <f t="shared" si="38"/>
        <v>1479150.9975498775</v>
      </c>
      <c r="Q346" s="170">
        <v>42513</v>
      </c>
      <c r="R346" s="40">
        <v>42513</v>
      </c>
      <c r="S346" s="187">
        <f t="shared" si="39"/>
        <v>17</v>
      </c>
    </row>
    <row r="347" spans="1:20" s="3" customFormat="1" hidden="1" x14ac:dyDescent="0.25">
      <c r="A347" s="84">
        <f>+closed!A361+1</f>
        <v>401</v>
      </c>
      <c r="B347" s="24">
        <v>42506</v>
      </c>
      <c r="C347" s="1">
        <v>114</v>
      </c>
      <c r="D347" s="1">
        <v>3000028622</v>
      </c>
      <c r="E347" s="1" t="s">
        <v>17</v>
      </c>
      <c r="F347" s="39" t="s">
        <v>121</v>
      </c>
      <c r="G347" s="25">
        <v>42476</v>
      </c>
      <c r="H347" s="25"/>
      <c r="I347" s="25">
        <v>42482</v>
      </c>
      <c r="J347" s="1" t="s">
        <v>8</v>
      </c>
      <c r="K347" s="1"/>
      <c r="L347" s="1"/>
      <c r="M347" s="1"/>
      <c r="N347" s="7">
        <f t="shared" si="37"/>
        <v>42496</v>
      </c>
      <c r="O347" s="1">
        <v>6540</v>
      </c>
      <c r="P347" s="26"/>
      <c r="R347" s="1"/>
      <c r="S347" s="187"/>
    </row>
    <row r="348" spans="1:20" s="3" customFormat="1" hidden="1" x14ac:dyDescent="0.25">
      <c r="A348" s="84">
        <f>+closed!A290+1</f>
        <v>338</v>
      </c>
      <c r="B348" s="24">
        <v>42489</v>
      </c>
      <c r="C348" s="1">
        <v>114</v>
      </c>
      <c r="D348" s="1">
        <v>3000028622</v>
      </c>
      <c r="E348" s="1" t="s">
        <v>17</v>
      </c>
      <c r="F348" s="1">
        <v>16</v>
      </c>
      <c r="G348" s="25">
        <v>42476</v>
      </c>
      <c r="H348" s="25"/>
      <c r="I348" s="25">
        <v>42482</v>
      </c>
      <c r="J348" s="1" t="s">
        <v>8</v>
      </c>
      <c r="K348" s="1">
        <v>22.785</v>
      </c>
      <c r="L348" s="1">
        <v>22.71</v>
      </c>
      <c r="M348" s="1">
        <f>IF(L348&gt;K348,K348,L348)</f>
        <v>22.71</v>
      </c>
      <c r="N348" s="7">
        <f t="shared" si="37"/>
        <v>42496</v>
      </c>
      <c r="O348" s="1">
        <v>1052667</v>
      </c>
      <c r="P348" s="1">
        <f>(+O348/K348*M348)-6540</f>
        <v>1042662</v>
      </c>
      <c r="Q348" s="170">
        <v>42513</v>
      </c>
      <c r="R348" s="40">
        <v>42513</v>
      </c>
      <c r="S348" s="187">
        <f t="shared" ref="S348:S369" si="40">R348-N348</f>
        <v>17</v>
      </c>
    </row>
    <row r="349" spans="1:20" s="3" customFormat="1" hidden="1" x14ac:dyDescent="0.25">
      <c r="A349" s="84">
        <f>+closed!A340+1</f>
        <v>368</v>
      </c>
      <c r="B349" s="24">
        <v>42495</v>
      </c>
      <c r="C349" s="1">
        <v>114</v>
      </c>
      <c r="D349" s="1">
        <v>3000028622</v>
      </c>
      <c r="E349" s="1" t="s">
        <v>17</v>
      </c>
      <c r="F349" s="1">
        <v>25</v>
      </c>
      <c r="G349" s="25">
        <v>42485</v>
      </c>
      <c r="H349" s="25"/>
      <c r="I349" s="25">
        <v>42489</v>
      </c>
      <c r="J349" s="1" t="s">
        <v>8</v>
      </c>
      <c r="K349" s="1">
        <v>20.95</v>
      </c>
      <c r="L349" s="1">
        <v>20.95</v>
      </c>
      <c r="M349" s="1">
        <f>IF(L349&gt;K349,K349,L349)</f>
        <v>20.95</v>
      </c>
      <c r="N349" s="7">
        <f t="shared" si="37"/>
        <v>42503</v>
      </c>
      <c r="O349" s="1">
        <v>967890</v>
      </c>
      <c r="P349" s="1">
        <f>(+O349/K349*M349)</f>
        <v>967890</v>
      </c>
      <c r="Q349" s="170">
        <v>42513</v>
      </c>
      <c r="R349" s="40">
        <v>42513</v>
      </c>
      <c r="S349" s="187">
        <f t="shared" si="40"/>
        <v>10</v>
      </c>
    </row>
    <row r="350" spans="1:20" s="3" customFormat="1" hidden="1" x14ac:dyDescent="0.25">
      <c r="A350" s="84">
        <f>+closed!A349+1</f>
        <v>369</v>
      </c>
      <c r="B350" s="24">
        <v>42495</v>
      </c>
      <c r="C350" s="1">
        <v>114</v>
      </c>
      <c r="D350" s="1">
        <v>3000029754</v>
      </c>
      <c r="E350" s="1" t="s">
        <v>17</v>
      </c>
      <c r="F350" s="1">
        <v>25</v>
      </c>
      <c r="G350" s="25">
        <v>42485</v>
      </c>
      <c r="H350" s="25"/>
      <c r="I350" s="25">
        <v>42489</v>
      </c>
      <c r="J350" s="1" t="s">
        <v>8</v>
      </c>
      <c r="K350" s="1">
        <v>10</v>
      </c>
      <c r="L350" s="1">
        <v>9.94</v>
      </c>
      <c r="M350" s="1">
        <f>IF(L350&gt;K350,K350,L350)</f>
        <v>9.94</v>
      </c>
      <c r="N350" s="7">
        <f t="shared" si="37"/>
        <v>42503</v>
      </c>
      <c r="O350" s="1">
        <v>555000</v>
      </c>
      <c r="P350" s="1">
        <f>(+O350/K350*M350)</f>
        <v>551670</v>
      </c>
      <c r="Q350" s="170">
        <v>42513</v>
      </c>
      <c r="R350" s="40">
        <v>42513</v>
      </c>
      <c r="S350" s="187">
        <f t="shared" si="40"/>
        <v>10</v>
      </c>
    </row>
    <row r="351" spans="1:20" s="3" customFormat="1" hidden="1" x14ac:dyDescent="0.25">
      <c r="A351" s="84">
        <f>+closed!A347+1</f>
        <v>402</v>
      </c>
      <c r="B351" s="24">
        <v>42508</v>
      </c>
      <c r="C351" s="1">
        <v>114</v>
      </c>
      <c r="D351" s="1" t="s">
        <v>122</v>
      </c>
      <c r="E351" s="1" t="s">
        <v>29</v>
      </c>
      <c r="F351" s="20" t="s">
        <v>123</v>
      </c>
      <c r="G351" s="25">
        <v>42506</v>
      </c>
      <c r="H351" s="25"/>
      <c r="I351" s="25">
        <v>42487</v>
      </c>
      <c r="J351" s="1" t="s">
        <v>8</v>
      </c>
      <c r="K351" s="1"/>
      <c r="L351" s="1"/>
      <c r="M351" s="1"/>
      <c r="N351" s="7">
        <f t="shared" si="37"/>
        <v>42501</v>
      </c>
      <c r="O351" s="1">
        <v>19040</v>
      </c>
      <c r="P351" s="26"/>
      <c r="Q351" s="170">
        <v>42513</v>
      </c>
      <c r="R351" s="40">
        <v>42513</v>
      </c>
      <c r="S351" s="187">
        <f t="shared" si="40"/>
        <v>12</v>
      </c>
    </row>
    <row r="352" spans="1:20" s="3" customFormat="1" hidden="1" x14ac:dyDescent="0.25">
      <c r="A352" s="84">
        <f>+closed!A351+1</f>
        <v>403</v>
      </c>
      <c r="B352" s="24">
        <v>42508</v>
      </c>
      <c r="C352" s="1">
        <v>114</v>
      </c>
      <c r="D352" s="1">
        <v>3000028255</v>
      </c>
      <c r="E352" s="1" t="s">
        <v>29</v>
      </c>
      <c r="F352" s="16">
        <v>24</v>
      </c>
      <c r="G352" s="25">
        <v>42478</v>
      </c>
      <c r="H352" s="25"/>
      <c r="I352" s="25">
        <v>42487</v>
      </c>
      <c r="J352" s="1" t="s">
        <v>8</v>
      </c>
      <c r="K352" s="1">
        <v>12.63</v>
      </c>
      <c r="L352" s="1">
        <v>12.63</v>
      </c>
      <c r="M352" s="1">
        <f t="shared" ref="M352:M358" si="41">IF(L352&gt;K352,K352,L352)</f>
        <v>12.63</v>
      </c>
      <c r="N352" s="7">
        <f t="shared" si="37"/>
        <v>42501</v>
      </c>
      <c r="O352" s="1">
        <v>567087</v>
      </c>
      <c r="P352" s="26">
        <f>(+O352/K352*M352)-19040</f>
        <v>548047</v>
      </c>
      <c r="Q352" s="170">
        <v>42513</v>
      </c>
      <c r="R352" s="40">
        <v>42513</v>
      </c>
      <c r="S352" s="187">
        <f t="shared" si="40"/>
        <v>12</v>
      </c>
    </row>
    <row r="353" spans="1:19" s="3" customFormat="1" hidden="1" x14ac:dyDescent="0.25">
      <c r="A353" s="84">
        <f>+closed!A306+1</f>
        <v>347</v>
      </c>
      <c r="B353" s="24">
        <v>42489</v>
      </c>
      <c r="C353" s="1">
        <v>114</v>
      </c>
      <c r="D353" s="1">
        <v>3000028664</v>
      </c>
      <c r="E353" s="1" t="s">
        <v>29</v>
      </c>
      <c r="F353" s="1" t="s">
        <v>110</v>
      </c>
      <c r="G353" s="25">
        <v>42478</v>
      </c>
      <c r="H353" s="25"/>
      <c r="I353" s="25">
        <v>42482</v>
      </c>
      <c r="J353" s="1" t="s">
        <v>8</v>
      </c>
      <c r="K353" s="1">
        <v>20.68</v>
      </c>
      <c r="L353" s="1">
        <v>20.63</v>
      </c>
      <c r="M353" s="1">
        <f t="shared" si="41"/>
        <v>20.63</v>
      </c>
      <c r="N353" s="7">
        <f t="shared" si="37"/>
        <v>42496</v>
      </c>
      <c r="O353" s="1">
        <v>955416</v>
      </c>
      <c r="P353" s="1">
        <f t="shared" ref="P353:P358" si="42">(+O353/K353*M353)</f>
        <v>953106</v>
      </c>
      <c r="Q353" s="170">
        <v>42513</v>
      </c>
      <c r="R353" s="40">
        <v>42513</v>
      </c>
      <c r="S353" s="187">
        <f t="shared" si="40"/>
        <v>17</v>
      </c>
    </row>
    <row r="354" spans="1:19" s="3" customFormat="1" hidden="1" x14ac:dyDescent="0.25">
      <c r="A354" s="84">
        <f>+closed!A358+1</f>
        <v>350</v>
      </c>
      <c r="B354" s="24">
        <v>42489</v>
      </c>
      <c r="C354" s="1">
        <v>114</v>
      </c>
      <c r="D354" s="1">
        <v>3000030027</v>
      </c>
      <c r="E354" s="1" t="s">
        <v>27</v>
      </c>
      <c r="F354" s="1">
        <v>811</v>
      </c>
      <c r="G354" s="25">
        <v>42479</v>
      </c>
      <c r="H354" s="25"/>
      <c r="I354" s="25">
        <v>42483</v>
      </c>
      <c r="J354" s="1" t="s">
        <v>16</v>
      </c>
      <c r="K354" s="1">
        <v>18.875</v>
      </c>
      <c r="L354" s="1">
        <v>18.86</v>
      </c>
      <c r="M354" s="1">
        <f t="shared" si="41"/>
        <v>18.86</v>
      </c>
      <c r="N354" s="7">
        <f t="shared" si="37"/>
        <v>42497</v>
      </c>
      <c r="O354" s="1">
        <v>915438</v>
      </c>
      <c r="P354" s="1">
        <f t="shared" si="42"/>
        <v>914710.4996026489</v>
      </c>
      <c r="Q354" s="170">
        <v>42513</v>
      </c>
      <c r="R354" s="40">
        <v>42513</v>
      </c>
      <c r="S354" s="187">
        <f t="shared" si="40"/>
        <v>16</v>
      </c>
    </row>
    <row r="355" spans="1:19" s="3" customFormat="1" hidden="1" x14ac:dyDescent="0.25">
      <c r="A355" s="84">
        <f>+closed!A354+1</f>
        <v>351</v>
      </c>
      <c r="B355" s="24">
        <v>42489</v>
      </c>
      <c r="C355" s="1">
        <v>114</v>
      </c>
      <c r="D355" s="1">
        <v>3000030027</v>
      </c>
      <c r="E355" s="1" t="s">
        <v>27</v>
      </c>
      <c r="F355" s="1">
        <v>812</v>
      </c>
      <c r="G355" s="25">
        <v>42481</v>
      </c>
      <c r="H355" s="25"/>
      <c r="I355" s="25">
        <v>42483</v>
      </c>
      <c r="J355" s="1" t="s">
        <v>16</v>
      </c>
      <c r="K355" s="1">
        <v>16.5</v>
      </c>
      <c r="L355" s="1">
        <v>16.5</v>
      </c>
      <c r="M355" s="1">
        <f t="shared" si="41"/>
        <v>16.5</v>
      </c>
      <c r="N355" s="7">
        <f t="shared" ref="N355:N370" si="43">+I355+15-1</f>
        <v>42497</v>
      </c>
      <c r="O355" s="1">
        <v>800250</v>
      </c>
      <c r="P355" s="1">
        <f t="shared" si="42"/>
        <v>800250</v>
      </c>
      <c r="Q355" s="170">
        <v>42513</v>
      </c>
      <c r="R355" s="40">
        <v>42513</v>
      </c>
      <c r="S355" s="187">
        <f t="shared" si="40"/>
        <v>16</v>
      </c>
    </row>
    <row r="356" spans="1:19" s="3" customFormat="1" hidden="1" x14ac:dyDescent="0.25">
      <c r="A356" s="84">
        <f>+closed!A355+1</f>
        <v>352</v>
      </c>
      <c r="B356" s="24">
        <v>42489</v>
      </c>
      <c r="C356" s="1">
        <v>114</v>
      </c>
      <c r="D356" s="1">
        <v>3000030029</v>
      </c>
      <c r="E356" s="1" t="s">
        <v>27</v>
      </c>
      <c r="F356" s="1">
        <v>812</v>
      </c>
      <c r="G356" s="25">
        <v>42481</v>
      </c>
      <c r="H356" s="25"/>
      <c r="I356" s="25">
        <v>42483</v>
      </c>
      <c r="J356" s="1" t="s">
        <v>16</v>
      </c>
      <c r="K356" s="1">
        <v>12.6</v>
      </c>
      <c r="L356" s="1">
        <v>12.6</v>
      </c>
      <c r="M356" s="1">
        <f t="shared" si="41"/>
        <v>12.6</v>
      </c>
      <c r="N356" s="7">
        <f t="shared" si="43"/>
        <v>42497</v>
      </c>
      <c r="O356" s="1">
        <v>604800</v>
      </c>
      <c r="P356" s="1">
        <f t="shared" si="42"/>
        <v>604800</v>
      </c>
      <c r="Q356" s="170">
        <v>42513</v>
      </c>
      <c r="R356" s="40">
        <v>42513</v>
      </c>
      <c r="S356" s="187">
        <f t="shared" si="40"/>
        <v>16</v>
      </c>
    </row>
    <row r="357" spans="1:19" s="3" customFormat="1" hidden="1" x14ac:dyDescent="0.25">
      <c r="A357" s="84">
        <f>+closed!A353+1</f>
        <v>348</v>
      </c>
      <c r="B357" s="24">
        <v>42489</v>
      </c>
      <c r="C357" s="1">
        <v>114</v>
      </c>
      <c r="D357" s="1">
        <v>3000029690</v>
      </c>
      <c r="E357" s="1" t="s">
        <v>18</v>
      </c>
      <c r="F357" s="1">
        <v>7</v>
      </c>
      <c r="G357" s="25">
        <v>42480</v>
      </c>
      <c r="H357" s="25"/>
      <c r="I357" s="25">
        <v>42484</v>
      </c>
      <c r="J357" s="1" t="s">
        <v>8</v>
      </c>
      <c r="K357" s="1">
        <v>28.9</v>
      </c>
      <c r="L357" s="1">
        <v>28.98</v>
      </c>
      <c r="M357" s="1">
        <f t="shared" si="41"/>
        <v>28.9</v>
      </c>
      <c r="N357" s="7">
        <f t="shared" si="43"/>
        <v>42498</v>
      </c>
      <c r="O357" s="1">
        <v>1603950</v>
      </c>
      <c r="P357" s="1">
        <f t="shared" si="42"/>
        <v>1603950</v>
      </c>
      <c r="Q357" s="170">
        <v>42513</v>
      </c>
      <c r="R357" s="40">
        <v>42513</v>
      </c>
      <c r="S357" s="187">
        <f t="shared" si="40"/>
        <v>15</v>
      </c>
    </row>
    <row r="358" spans="1:19" s="3" customFormat="1" hidden="1" x14ac:dyDescent="0.25">
      <c r="A358" s="84">
        <f>+closed!A357+1</f>
        <v>349</v>
      </c>
      <c r="B358" s="24">
        <v>42489</v>
      </c>
      <c r="C358" s="1">
        <v>114</v>
      </c>
      <c r="D358" s="1">
        <v>3000028333</v>
      </c>
      <c r="E358" s="1" t="s">
        <v>49</v>
      </c>
      <c r="F358" s="1">
        <v>6</v>
      </c>
      <c r="G358" s="25">
        <v>42480</v>
      </c>
      <c r="H358" s="25"/>
      <c r="I358" s="25">
        <v>42484</v>
      </c>
      <c r="J358" s="1" t="s">
        <v>16</v>
      </c>
      <c r="K358" s="1">
        <v>30.824999999999999</v>
      </c>
      <c r="L358" s="1">
        <v>30.79</v>
      </c>
      <c r="M358" s="1">
        <f t="shared" si="41"/>
        <v>30.79</v>
      </c>
      <c r="N358" s="7">
        <f t="shared" si="43"/>
        <v>42498</v>
      </c>
      <c r="O358" s="1">
        <v>1495013</v>
      </c>
      <c r="P358" s="1">
        <f t="shared" si="42"/>
        <v>1493315.499432279</v>
      </c>
      <c r="Q358" s="170">
        <v>42513</v>
      </c>
      <c r="R358" s="40">
        <v>42513</v>
      </c>
      <c r="S358" s="187">
        <f t="shared" si="40"/>
        <v>15</v>
      </c>
    </row>
    <row r="359" spans="1:19" s="3" customFormat="1" hidden="1" x14ac:dyDescent="0.25">
      <c r="A359" s="84">
        <f>+closed!A422+1</f>
        <v>398</v>
      </c>
      <c r="B359" s="24">
        <v>42506</v>
      </c>
      <c r="C359" s="1">
        <v>114</v>
      </c>
      <c r="D359" s="1" t="s">
        <v>119</v>
      </c>
      <c r="E359" s="1" t="s">
        <v>44</v>
      </c>
      <c r="F359" s="20" t="s">
        <v>120</v>
      </c>
      <c r="G359" s="25">
        <v>42500</v>
      </c>
      <c r="H359" s="25"/>
      <c r="I359" s="25">
        <v>42489</v>
      </c>
      <c r="J359" s="1" t="s">
        <v>8</v>
      </c>
      <c r="K359" s="1"/>
      <c r="L359" s="1"/>
      <c r="M359" s="1"/>
      <c r="N359" s="7">
        <f t="shared" si="43"/>
        <v>42503</v>
      </c>
      <c r="O359" s="1">
        <v>8170</v>
      </c>
      <c r="P359" s="26"/>
      <c r="Q359" s="170">
        <v>42513</v>
      </c>
      <c r="R359" s="40">
        <v>42513</v>
      </c>
      <c r="S359" s="187">
        <f t="shared" si="40"/>
        <v>10</v>
      </c>
    </row>
    <row r="360" spans="1:19" s="3" customFormat="1" hidden="1" x14ac:dyDescent="0.25">
      <c r="A360" s="84">
        <f>+closed!A359+1</f>
        <v>399</v>
      </c>
      <c r="B360" s="24">
        <v>42506</v>
      </c>
      <c r="C360" s="1">
        <v>114</v>
      </c>
      <c r="D360" s="1">
        <v>3000028100</v>
      </c>
      <c r="E360" s="1" t="s">
        <v>44</v>
      </c>
      <c r="F360" s="16">
        <v>1</v>
      </c>
      <c r="G360" s="25">
        <v>42482</v>
      </c>
      <c r="H360" s="25"/>
      <c r="I360" s="25">
        <v>42489</v>
      </c>
      <c r="J360" s="1" t="s">
        <v>8</v>
      </c>
      <c r="K360" s="1">
        <v>2.48</v>
      </c>
      <c r="L360" s="1">
        <v>20480</v>
      </c>
      <c r="M360" s="1">
        <f t="shared" ref="M360:M391" si="44">IF(L360&gt;K360,K360,L360)</f>
        <v>2.48</v>
      </c>
      <c r="N360" s="7">
        <f t="shared" si="43"/>
        <v>42503</v>
      </c>
      <c r="O360" s="1">
        <v>106640</v>
      </c>
      <c r="P360" s="26">
        <f>(+O360/K360*M360)-8170</f>
        <v>98470</v>
      </c>
      <c r="Q360" s="170">
        <v>42513</v>
      </c>
      <c r="R360" s="40">
        <v>42513</v>
      </c>
      <c r="S360" s="187">
        <f t="shared" si="40"/>
        <v>10</v>
      </c>
    </row>
    <row r="361" spans="1:19" s="3" customFormat="1" hidden="1" x14ac:dyDescent="0.25">
      <c r="A361" s="84">
        <f>+closed!A360+1</f>
        <v>400</v>
      </c>
      <c r="B361" s="24">
        <v>42506</v>
      </c>
      <c r="C361" s="1">
        <v>114</v>
      </c>
      <c r="D361" s="1">
        <v>3000029647</v>
      </c>
      <c r="E361" s="1" t="s">
        <v>44</v>
      </c>
      <c r="F361" s="16">
        <v>1</v>
      </c>
      <c r="G361" s="25">
        <v>42482</v>
      </c>
      <c r="H361" s="25"/>
      <c r="I361" s="25">
        <v>42489</v>
      </c>
      <c r="J361" s="1" t="s">
        <v>8</v>
      </c>
      <c r="K361" s="1">
        <v>25.5</v>
      </c>
      <c r="L361" s="1">
        <v>25.56</v>
      </c>
      <c r="M361" s="1">
        <f t="shared" si="44"/>
        <v>25.5</v>
      </c>
      <c r="N361" s="7">
        <f t="shared" si="43"/>
        <v>42503</v>
      </c>
      <c r="O361" s="1">
        <v>1422900</v>
      </c>
      <c r="P361" s="26">
        <f>(+O361/K361*M361)</f>
        <v>1422900</v>
      </c>
      <c r="Q361" s="170">
        <v>42513</v>
      </c>
      <c r="R361" s="40">
        <v>42513</v>
      </c>
      <c r="S361" s="187">
        <f t="shared" si="40"/>
        <v>10</v>
      </c>
    </row>
    <row r="362" spans="1:19" s="3" customFormat="1" hidden="1" x14ac:dyDescent="0.25">
      <c r="A362" s="84">
        <f>+closed!A418+1</f>
        <v>376</v>
      </c>
      <c r="B362" s="24">
        <v>42496</v>
      </c>
      <c r="C362" s="1">
        <v>114</v>
      </c>
      <c r="D362" s="1">
        <v>3000029647</v>
      </c>
      <c r="E362" s="1" t="s">
        <v>44</v>
      </c>
      <c r="F362" s="1">
        <v>6</v>
      </c>
      <c r="G362" s="25">
        <v>42488</v>
      </c>
      <c r="H362" s="25"/>
      <c r="I362" s="25">
        <v>42494</v>
      </c>
      <c r="J362" s="1" t="s">
        <v>8</v>
      </c>
      <c r="K362" s="1">
        <v>24.2</v>
      </c>
      <c r="L362" s="1">
        <v>24.24</v>
      </c>
      <c r="M362" s="1">
        <f t="shared" si="44"/>
        <v>24.2</v>
      </c>
      <c r="N362" s="7">
        <f t="shared" si="43"/>
        <v>42508</v>
      </c>
      <c r="O362" s="1">
        <v>1350360</v>
      </c>
      <c r="P362" s="1">
        <f>(+O362/K362*M362)</f>
        <v>1350360</v>
      </c>
      <c r="Q362" s="170">
        <v>42513</v>
      </c>
      <c r="R362" s="40">
        <v>42513</v>
      </c>
      <c r="S362" s="187">
        <f t="shared" si="40"/>
        <v>5</v>
      </c>
    </row>
    <row r="363" spans="1:19" s="3" customFormat="1" hidden="1" x14ac:dyDescent="0.25">
      <c r="A363" s="84">
        <f>+closed!A350+1</f>
        <v>370</v>
      </c>
      <c r="B363" s="24">
        <v>42495</v>
      </c>
      <c r="C363" s="1">
        <v>114</v>
      </c>
      <c r="D363" s="1">
        <v>3000028331</v>
      </c>
      <c r="E363" s="1" t="s">
        <v>15</v>
      </c>
      <c r="F363" s="1">
        <v>3019</v>
      </c>
      <c r="G363" s="25">
        <v>42487</v>
      </c>
      <c r="H363" s="25"/>
      <c r="I363" s="25">
        <v>42490</v>
      </c>
      <c r="J363" s="1" t="s">
        <v>16</v>
      </c>
      <c r="K363" s="1">
        <v>24.19</v>
      </c>
      <c r="L363" s="1">
        <v>24.08</v>
      </c>
      <c r="M363" s="1">
        <f t="shared" si="44"/>
        <v>24.08</v>
      </c>
      <c r="N363" s="7">
        <f t="shared" si="43"/>
        <v>42504</v>
      </c>
      <c r="O363" s="1">
        <v>1173215</v>
      </c>
      <c r="P363" s="1">
        <f>(+O363/K363*M363)</f>
        <v>1167880</v>
      </c>
      <c r="Q363" s="170">
        <v>42513</v>
      </c>
      <c r="R363" s="40">
        <v>42513</v>
      </c>
      <c r="S363" s="187">
        <f t="shared" si="40"/>
        <v>9</v>
      </c>
    </row>
    <row r="364" spans="1:19" s="3" customFormat="1" hidden="1" x14ac:dyDescent="0.25">
      <c r="A364" s="84">
        <f>+closed!A368+1</f>
        <v>374</v>
      </c>
      <c r="B364" s="24">
        <v>42496</v>
      </c>
      <c r="C364" s="1">
        <v>114</v>
      </c>
      <c r="D364" s="1">
        <v>3000028631</v>
      </c>
      <c r="E364" s="1" t="s">
        <v>37</v>
      </c>
      <c r="F364" s="1">
        <v>22</v>
      </c>
      <c r="G364" s="25">
        <v>42462</v>
      </c>
      <c r="H364" s="25"/>
      <c r="I364" s="25">
        <v>42494</v>
      </c>
      <c r="J364" s="1" t="s">
        <v>16</v>
      </c>
      <c r="K364" s="1">
        <v>13</v>
      </c>
      <c r="L364" s="1">
        <v>13</v>
      </c>
      <c r="M364" s="1">
        <f t="shared" si="44"/>
        <v>13</v>
      </c>
      <c r="N364" s="7">
        <f t="shared" si="43"/>
        <v>42508</v>
      </c>
      <c r="O364" s="1">
        <v>624000</v>
      </c>
      <c r="P364" s="1">
        <f>(+O364/K364*M364)</f>
        <v>624000</v>
      </c>
      <c r="Q364" s="170">
        <v>42513</v>
      </c>
      <c r="R364" s="40">
        <v>42513</v>
      </c>
      <c r="S364" s="187">
        <f t="shared" si="40"/>
        <v>5</v>
      </c>
    </row>
    <row r="365" spans="1:19" s="3" customFormat="1" hidden="1" x14ac:dyDescent="0.25">
      <c r="A365" s="84">
        <f>+closed!A428+1</f>
        <v>431</v>
      </c>
      <c r="B365" s="24">
        <v>42513</v>
      </c>
      <c r="C365" s="1">
        <v>114</v>
      </c>
      <c r="D365" s="1" t="s">
        <v>135</v>
      </c>
      <c r="E365" s="1" t="s">
        <v>60</v>
      </c>
      <c r="F365" s="39" t="s">
        <v>136</v>
      </c>
      <c r="G365" s="25">
        <v>42513</v>
      </c>
      <c r="H365" s="25"/>
      <c r="I365" s="25">
        <v>42494</v>
      </c>
      <c r="J365" s="1" t="s">
        <v>61</v>
      </c>
      <c r="K365" s="1"/>
      <c r="L365" s="1"/>
      <c r="M365" s="1">
        <f t="shared" si="44"/>
        <v>0</v>
      </c>
      <c r="N365" s="7">
        <f t="shared" si="43"/>
        <v>42508</v>
      </c>
      <c r="O365" s="1">
        <v>2254</v>
      </c>
      <c r="P365" s="26"/>
      <c r="Q365" s="170">
        <v>42513</v>
      </c>
      <c r="R365" s="40">
        <v>42513</v>
      </c>
      <c r="S365" s="187">
        <f t="shared" si="40"/>
        <v>5</v>
      </c>
    </row>
    <row r="366" spans="1:19" s="3" customFormat="1" hidden="1" x14ac:dyDescent="0.25">
      <c r="A366" s="84">
        <f>+closed!A437+1</f>
        <v>395</v>
      </c>
      <c r="B366" s="24">
        <v>42503</v>
      </c>
      <c r="C366" s="1">
        <v>114</v>
      </c>
      <c r="D366" s="1" t="s">
        <v>117</v>
      </c>
      <c r="E366" s="1" t="s">
        <v>60</v>
      </c>
      <c r="F366" s="17">
        <v>40</v>
      </c>
      <c r="G366" s="25">
        <v>42471</v>
      </c>
      <c r="H366" s="25"/>
      <c r="I366" s="25">
        <v>42494</v>
      </c>
      <c r="J366" s="1" t="s">
        <v>61</v>
      </c>
      <c r="K366" s="1">
        <v>16.12</v>
      </c>
      <c r="L366" s="1">
        <v>16.100000000000001</v>
      </c>
      <c r="M366" s="1">
        <f t="shared" si="44"/>
        <v>16.100000000000001</v>
      </c>
      <c r="N366" s="7">
        <f t="shared" si="43"/>
        <v>42508</v>
      </c>
      <c r="O366" s="1">
        <v>1346005</v>
      </c>
      <c r="P366" s="26">
        <f>(+O366/K366*M366)-2254</f>
        <v>1342081.018610422</v>
      </c>
      <c r="Q366" s="170">
        <v>42513</v>
      </c>
      <c r="R366" s="40">
        <v>42513</v>
      </c>
      <c r="S366" s="187">
        <f t="shared" si="40"/>
        <v>5</v>
      </c>
    </row>
    <row r="367" spans="1:19" s="3" customFormat="1" hidden="1" x14ac:dyDescent="0.25">
      <c r="A367" s="84">
        <f>+closed!A365+1</f>
        <v>432</v>
      </c>
      <c r="B367" s="24">
        <v>42514</v>
      </c>
      <c r="C367" s="1">
        <v>114</v>
      </c>
      <c r="D367" s="1">
        <v>3000029684</v>
      </c>
      <c r="E367" s="1" t="s">
        <v>60</v>
      </c>
      <c r="F367" s="39" t="s">
        <v>137</v>
      </c>
      <c r="G367" s="25">
        <v>42514</v>
      </c>
      <c r="H367" s="25"/>
      <c r="I367" s="25">
        <v>42494</v>
      </c>
      <c r="J367" s="1" t="s">
        <v>61</v>
      </c>
      <c r="K367" s="1"/>
      <c r="L367" s="1"/>
      <c r="M367" s="1">
        <f t="shared" si="44"/>
        <v>0</v>
      </c>
      <c r="N367" s="7">
        <f t="shared" si="43"/>
        <v>42508</v>
      </c>
      <c r="O367" s="1">
        <v>12004</v>
      </c>
      <c r="P367" s="26"/>
      <c r="Q367" s="170">
        <v>42513</v>
      </c>
      <c r="R367" s="40">
        <v>42513</v>
      </c>
      <c r="S367" s="187">
        <f t="shared" si="40"/>
        <v>5</v>
      </c>
    </row>
    <row r="368" spans="1:19" s="3" customFormat="1" hidden="1" x14ac:dyDescent="0.25">
      <c r="A368" s="84">
        <f>+closed!A417+1</f>
        <v>373</v>
      </c>
      <c r="B368" s="24">
        <v>42496</v>
      </c>
      <c r="C368" s="1">
        <v>114</v>
      </c>
      <c r="D368" s="1">
        <v>3000029684</v>
      </c>
      <c r="E368" s="1" t="s">
        <v>60</v>
      </c>
      <c r="F368" s="1">
        <v>45</v>
      </c>
      <c r="G368" s="25">
        <v>42475</v>
      </c>
      <c r="H368" s="25"/>
      <c r="I368" s="25">
        <v>42494</v>
      </c>
      <c r="J368" s="1" t="s">
        <v>61</v>
      </c>
      <c r="K368" s="1">
        <v>27.66</v>
      </c>
      <c r="L368" s="1">
        <v>27.7</v>
      </c>
      <c r="M368" s="1">
        <f t="shared" si="44"/>
        <v>27.66</v>
      </c>
      <c r="N368" s="7">
        <f t="shared" si="43"/>
        <v>42508</v>
      </c>
      <c r="O368" s="1">
        <v>2392479</v>
      </c>
      <c r="P368" s="1">
        <f>(+O368/K368*M368)-12004</f>
        <v>2380475</v>
      </c>
      <c r="Q368" s="170">
        <v>42513</v>
      </c>
      <c r="R368" s="40">
        <v>42513</v>
      </c>
      <c r="S368" s="187">
        <f t="shared" si="40"/>
        <v>5</v>
      </c>
    </row>
    <row r="369" spans="1:20" s="3" customFormat="1" hidden="1" x14ac:dyDescent="0.25">
      <c r="A369" s="84">
        <f>+closed!A432+1</f>
        <v>429</v>
      </c>
      <c r="B369" s="24">
        <v>42513</v>
      </c>
      <c r="C369" s="1">
        <v>114</v>
      </c>
      <c r="D369" s="1">
        <v>3000029784</v>
      </c>
      <c r="E369" s="1" t="s">
        <v>60</v>
      </c>
      <c r="F369" s="39" t="s">
        <v>132</v>
      </c>
      <c r="G369" s="25">
        <v>42513</v>
      </c>
      <c r="H369" s="25"/>
      <c r="I369" s="25">
        <v>42494</v>
      </c>
      <c r="J369" s="1" t="s">
        <v>61</v>
      </c>
      <c r="K369" s="1"/>
      <c r="L369" s="1"/>
      <c r="M369" s="1">
        <f t="shared" si="44"/>
        <v>0</v>
      </c>
      <c r="N369" s="7">
        <f t="shared" si="43"/>
        <v>42508</v>
      </c>
      <c r="O369" s="1">
        <v>8119</v>
      </c>
      <c r="P369" s="26"/>
      <c r="Q369" s="170">
        <v>42513</v>
      </c>
      <c r="R369" s="40">
        <v>42513</v>
      </c>
      <c r="S369" s="187">
        <f t="shared" si="40"/>
        <v>5</v>
      </c>
    </row>
    <row r="370" spans="1:20" s="3" customFormat="1" hidden="1" x14ac:dyDescent="0.25">
      <c r="A370" s="84">
        <f>+closed!A430+1</f>
        <v>390</v>
      </c>
      <c r="B370" s="24">
        <v>42503</v>
      </c>
      <c r="C370" s="1">
        <v>114</v>
      </c>
      <c r="D370" s="1">
        <v>3000029784</v>
      </c>
      <c r="E370" s="1" t="s">
        <v>60</v>
      </c>
      <c r="F370" s="1">
        <v>49</v>
      </c>
      <c r="G370" s="25">
        <v>42476</v>
      </c>
      <c r="H370" s="25"/>
      <c r="I370" s="25">
        <v>42494</v>
      </c>
      <c r="J370" s="1" t="s">
        <v>61</v>
      </c>
      <c r="K370" s="1">
        <v>20.004999999999999</v>
      </c>
      <c r="L370" s="1">
        <v>19.95</v>
      </c>
      <c r="M370" s="1">
        <f t="shared" si="44"/>
        <v>19.95</v>
      </c>
      <c r="N370" s="7">
        <f t="shared" si="43"/>
        <v>42508</v>
      </c>
      <c r="O370" s="1">
        <v>1740351</v>
      </c>
      <c r="P370" s="26">
        <f>(+O370/K370*M370)-8119</f>
        <v>1727447.2309422644</v>
      </c>
      <c r="Q370" s="170">
        <v>42513</v>
      </c>
      <c r="R370" s="40">
        <v>42513</v>
      </c>
      <c r="S370" s="187"/>
      <c r="T370" s="8">
        <v>25537460</v>
      </c>
    </row>
    <row r="371" spans="1:20" s="15" customFormat="1" hidden="1" x14ac:dyDescent="0.25">
      <c r="A371" s="55">
        <f>+closed!A154+1</f>
        <v>64</v>
      </c>
      <c r="B371" s="54">
        <v>42417</v>
      </c>
      <c r="C371" s="55">
        <v>103</v>
      </c>
      <c r="D371" s="55">
        <v>3000027769</v>
      </c>
      <c r="E371" s="55" t="s">
        <v>23</v>
      </c>
      <c r="F371" s="55">
        <v>2602046188</v>
      </c>
      <c r="G371" s="56">
        <v>42402</v>
      </c>
      <c r="H371" s="56"/>
      <c r="I371" s="56">
        <v>42405</v>
      </c>
      <c r="J371" s="55" t="s">
        <v>43</v>
      </c>
      <c r="K371" s="55">
        <v>26.76</v>
      </c>
      <c r="L371" s="55">
        <v>26.76</v>
      </c>
      <c r="M371" s="55">
        <f t="shared" si="44"/>
        <v>26.76</v>
      </c>
      <c r="N371" s="23"/>
      <c r="O371" s="55">
        <v>1410069</v>
      </c>
      <c r="P371" s="57">
        <f t="shared" ref="P371:P402" si="45">(+O371/K371*M371)</f>
        <v>1410069</v>
      </c>
      <c r="Q371" s="175">
        <v>42520</v>
      </c>
      <c r="R371" s="47">
        <v>42520</v>
      </c>
      <c r="S371" s="187"/>
    </row>
    <row r="372" spans="1:20" s="41" customFormat="1" hidden="1" x14ac:dyDescent="0.25">
      <c r="A372" s="27">
        <f>+closed!A371+1</f>
        <v>65</v>
      </c>
      <c r="B372" s="45">
        <v>42417</v>
      </c>
      <c r="C372" s="27">
        <v>103</v>
      </c>
      <c r="D372" s="27">
        <v>3000027769</v>
      </c>
      <c r="E372" s="27" t="s">
        <v>23</v>
      </c>
      <c r="F372" s="27">
        <v>2602046191</v>
      </c>
      <c r="G372" s="46">
        <v>42403</v>
      </c>
      <c r="H372" s="46"/>
      <c r="I372" s="46">
        <v>42406</v>
      </c>
      <c r="J372" s="27" t="s">
        <v>43</v>
      </c>
      <c r="K372" s="27">
        <v>25.92</v>
      </c>
      <c r="L372" s="27">
        <v>25.94</v>
      </c>
      <c r="M372" s="27">
        <f t="shared" si="44"/>
        <v>25.92</v>
      </c>
      <c r="N372" s="47"/>
      <c r="O372" s="27">
        <v>1365808</v>
      </c>
      <c r="P372" s="36">
        <f t="shared" si="45"/>
        <v>1365808</v>
      </c>
      <c r="Q372" s="175">
        <v>42520</v>
      </c>
      <c r="R372" s="47">
        <v>42520</v>
      </c>
      <c r="S372" s="187"/>
    </row>
    <row r="373" spans="1:20" s="41" customFormat="1" hidden="1" x14ac:dyDescent="0.25">
      <c r="A373" s="27">
        <f>+closed!A372+1</f>
        <v>66</v>
      </c>
      <c r="B373" s="45">
        <v>42417</v>
      </c>
      <c r="C373" s="27">
        <v>103</v>
      </c>
      <c r="D373" s="27">
        <v>3000027769</v>
      </c>
      <c r="E373" s="27" t="s">
        <v>23</v>
      </c>
      <c r="F373" s="27">
        <v>2602046192</v>
      </c>
      <c r="G373" s="46">
        <v>42403</v>
      </c>
      <c r="H373" s="46"/>
      <c r="I373" s="46">
        <v>42405</v>
      </c>
      <c r="J373" s="27" t="s">
        <v>43</v>
      </c>
      <c r="K373" s="27">
        <v>26.41</v>
      </c>
      <c r="L373" s="27">
        <v>26.41</v>
      </c>
      <c r="M373" s="27">
        <f t="shared" si="44"/>
        <v>26.41</v>
      </c>
      <c r="N373" s="47"/>
      <c r="O373" s="27">
        <v>1391627</v>
      </c>
      <c r="P373" s="36">
        <f t="shared" si="45"/>
        <v>1391627</v>
      </c>
      <c r="Q373" s="175">
        <v>42520</v>
      </c>
      <c r="R373" s="47">
        <v>42520</v>
      </c>
      <c r="S373" s="187"/>
    </row>
    <row r="374" spans="1:20" s="72" customFormat="1" hidden="1" x14ac:dyDescent="0.25">
      <c r="A374" s="27">
        <f>+closed!A373+1</f>
        <v>67</v>
      </c>
      <c r="B374" s="45">
        <v>42417</v>
      </c>
      <c r="C374" s="27">
        <v>103</v>
      </c>
      <c r="D374" s="27">
        <v>3000027769</v>
      </c>
      <c r="E374" s="27" t="s">
        <v>23</v>
      </c>
      <c r="F374" s="27">
        <v>2602046220</v>
      </c>
      <c r="G374" s="46">
        <v>42404</v>
      </c>
      <c r="H374" s="46"/>
      <c r="I374" s="46">
        <v>42406</v>
      </c>
      <c r="J374" s="27" t="s">
        <v>43</v>
      </c>
      <c r="K374" s="27">
        <v>26.07</v>
      </c>
      <c r="L374" s="27">
        <v>26.06</v>
      </c>
      <c r="M374" s="27">
        <f t="shared" si="44"/>
        <v>26.06</v>
      </c>
      <c r="N374" s="47"/>
      <c r="O374" s="27">
        <v>1373712</v>
      </c>
      <c r="P374" s="36">
        <f t="shared" si="45"/>
        <v>1373185.0678941309</v>
      </c>
      <c r="Q374" s="175">
        <v>42520</v>
      </c>
      <c r="R374" s="47">
        <v>42520</v>
      </c>
      <c r="S374" s="187"/>
    </row>
    <row r="375" spans="1:20" s="41" customFormat="1" hidden="1" x14ac:dyDescent="0.25">
      <c r="A375" s="27">
        <f>+closed!A374+1</f>
        <v>68</v>
      </c>
      <c r="B375" s="45">
        <v>42417</v>
      </c>
      <c r="C375" s="27">
        <v>103</v>
      </c>
      <c r="D375" s="27">
        <v>3000027769</v>
      </c>
      <c r="E375" s="27" t="s">
        <v>23</v>
      </c>
      <c r="F375" s="27">
        <v>2602046221</v>
      </c>
      <c r="G375" s="46">
        <v>42404</v>
      </c>
      <c r="H375" s="46"/>
      <c r="I375" s="46">
        <v>42407</v>
      </c>
      <c r="J375" s="27" t="s">
        <v>43</v>
      </c>
      <c r="K375" s="27">
        <v>25.97</v>
      </c>
      <c r="L375" s="27">
        <v>25.98</v>
      </c>
      <c r="M375" s="27">
        <f t="shared" si="44"/>
        <v>25.97</v>
      </c>
      <c r="N375" s="47"/>
      <c r="O375" s="27">
        <v>1368442</v>
      </c>
      <c r="P375" s="36">
        <f t="shared" si="45"/>
        <v>1368442</v>
      </c>
      <c r="Q375" s="175">
        <v>42520</v>
      </c>
      <c r="R375" s="47">
        <v>42520</v>
      </c>
      <c r="S375" s="187"/>
    </row>
    <row r="376" spans="1:20" s="41" customFormat="1" hidden="1" x14ac:dyDescent="0.25">
      <c r="A376" s="27">
        <f>+closed!A375+1</f>
        <v>69</v>
      </c>
      <c r="B376" s="45">
        <v>42417</v>
      </c>
      <c r="C376" s="27">
        <v>103</v>
      </c>
      <c r="D376" s="27">
        <v>3000027769</v>
      </c>
      <c r="E376" s="27" t="s">
        <v>23</v>
      </c>
      <c r="F376" s="27">
        <v>2602046222</v>
      </c>
      <c r="G376" s="46">
        <v>42404</v>
      </c>
      <c r="H376" s="46"/>
      <c r="I376" s="46">
        <v>42407</v>
      </c>
      <c r="J376" s="27" t="s">
        <v>43</v>
      </c>
      <c r="K376" s="27">
        <v>26.37</v>
      </c>
      <c r="L376" s="27">
        <v>26.34</v>
      </c>
      <c r="M376" s="27">
        <f t="shared" si="44"/>
        <v>26.34</v>
      </c>
      <c r="N376" s="47"/>
      <c r="O376" s="27">
        <v>1389519</v>
      </c>
      <c r="P376" s="36">
        <f t="shared" si="45"/>
        <v>1387938.2047781569</v>
      </c>
      <c r="Q376" s="175">
        <v>42520</v>
      </c>
      <c r="R376" s="47">
        <v>42520</v>
      </c>
      <c r="S376" s="187"/>
    </row>
    <row r="377" spans="1:20" s="41" customFormat="1" hidden="1" x14ac:dyDescent="0.25">
      <c r="A377" s="27">
        <f>+closed!A376+1</f>
        <v>70</v>
      </c>
      <c r="B377" s="45">
        <v>42417</v>
      </c>
      <c r="C377" s="27">
        <v>103</v>
      </c>
      <c r="D377" s="27">
        <v>3000027769</v>
      </c>
      <c r="E377" s="27" t="s">
        <v>23</v>
      </c>
      <c r="F377" s="27">
        <v>2602046248</v>
      </c>
      <c r="G377" s="46">
        <v>42404</v>
      </c>
      <c r="H377" s="46"/>
      <c r="I377" s="46">
        <v>42406</v>
      </c>
      <c r="J377" s="27" t="s">
        <v>43</v>
      </c>
      <c r="K377" s="27">
        <v>20.02</v>
      </c>
      <c r="L377" s="27">
        <v>20</v>
      </c>
      <c r="M377" s="27">
        <f t="shared" si="44"/>
        <v>20</v>
      </c>
      <c r="N377" s="47"/>
      <c r="O377" s="27">
        <v>1054918</v>
      </c>
      <c r="P377" s="36">
        <f t="shared" si="45"/>
        <v>1053864.1358641358</v>
      </c>
      <c r="Q377" s="175">
        <v>42520</v>
      </c>
      <c r="R377" s="47">
        <v>42520</v>
      </c>
      <c r="S377" s="187"/>
    </row>
    <row r="378" spans="1:20" s="41" customFormat="1" hidden="1" x14ac:dyDescent="0.25">
      <c r="A378" s="27">
        <f>+closed!A377+1</f>
        <v>71</v>
      </c>
      <c r="B378" s="45">
        <v>42417</v>
      </c>
      <c r="C378" s="27">
        <v>103</v>
      </c>
      <c r="D378" s="27">
        <v>3000027769</v>
      </c>
      <c r="E378" s="27" t="s">
        <v>23</v>
      </c>
      <c r="F378" s="27">
        <v>2602046249</v>
      </c>
      <c r="G378" s="46">
        <v>42405</v>
      </c>
      <c r="H378" s="46"/>
      <c r="I378" s="46">
        <v>42407</v>
      </c>
      <c r="J378" s="27" t="s">
        <v>43</v>
      </c>
      <c r="K378" s="27">
        <v>24.99</v>
      </c>
      <c r="L378" s="27">
        <v>24.98</v>
      </c>
      <c r="M378" s="27">
        <f t="shared" si="44"/>
        <v>24.98</v>
      </c>
      <c r="N378" s="47"/>
      <c r="O378" s="27">
        <v>1316804</v>
      </c>
      <c r="P378" s="36">
        <f t="shared" si="45"/>
        <v>1316277.0676270509</v>
      </c>
      <c r="Q378" s="175">
        <v>42520</v>
      </c>
      <c r="R378" s="47">
        <v>42520</v>
      </c>
      <c r="S378" s="187"/>
    </row>
    <row r="379" spans="1:20" s="41" customFormat="1" hidden="1" x14ac:dyDescent="0.25">
      <c r="A379" s="27">
        <f>+closed!A378+1</f>
        <v>72</v>
      </c>
      <c r="B379" s="45">
        <v>42417</v>
      </c>
      <c r="C379" s="27">
        <v>103</v>
      </c>
      <c r="D379" s="27">
        <v>3000027769</v>
      </c>
      <c r="E379" s="27" t="s">
        <v>23</v>
      </c>
      <c r="F379" s="27">
        <v>2602046269</v>
      </c>
      <c r="G379" s="46">
        <v>42406</v>
      </c>
      <c r="H379" s="46"/>
      <c r="I379" s="46">
        <v>42408</v>
      </c>
      <c r="J379" s="27" t="s">
        <v>43</v>
      </c>
      <c r="K379" s="27">
        <v>26.03</v>
      </c>
      <c r="L379" s="27">
        <v>26.03</v>
      </c>
      <c r="M379" s="27">
        <f t="shared" si="44"/>
        <v>26.03</v>
      </c>
      <c r="N379" s="47"/>
      <c r="O379" s="27">
        <v>1371604</v>
      </c>
      <c r="P379" s="36">
        <f t="shared" si="45"/>
        <v>1371604</v>
      </c>
      <c r="Q379" s="175">
        <v>42520</v>
      </c>
      <c r="R379" s="47">
        <v>42520</v>
      </c>
      <c r="S379" s="187"/>
    </row>
    <row r="380" spans="1:20" s="41" customFormat="1" hidden="1" x14ac:dyDescent="0.25">
      <c r="A380" s="27">
        <f>+closed!A379+1</f>
        <v>73</v>
      </c>
      <c r="B380" s="45">
        <v>42417</v>
      </c>
      <c r="C380" s="27">
        <v>103</v>
      </c>
      <c r="D380" s="27">
        <v>3000027769</v>
      </c>
      <c r="E380" s="27" t="s">
        <v>23</v>
      </c>
      <c r="F380" s="27">
        <v>2602046270</v>
      </c>
      <c r="G380" s="46">
        <v>42406</v>
      </c>
      <c r="H380" s="46"/>
      <c r="I380" s="46">
        <v>42408</v>
      </c>
      <c r="J380" s="27" t="s">
        <v>43</v>
      </c>
      <c r="K380" s="27">
        <v>25.68</v>
      </c>
      <c r="L380" s="27">
        <v>25.68</v>
      </c>
      <c r="M380" s="27">
        <f t="shared" si="44"/>
        <v>25.68</v>
      </c>
      <c r="N380" s="47"/>
      <c r="O380" s="27">
        <v>1353162</v>
      </c>
      <c r="P380" s="36">
        <f t="shared" si="45"/>
        <v>1353162</v>
      </c>
      <c r="Q380" s="175">
        <v>42520</v>
      </c>
      <c r="R380" s="47">
        <v>42520</v>
      </c>
      <c r="S380" s="187"/>
    </row>
    <row r="381" spans="1:20" s="41" customFormat="1" hidden="1" x14ac:dyDescent="0.25">
      <c r="A381" s="27">
        <f>+closed!A380+1</f>
        <v>74</v>
      </c>
      <c r="B381" s="45">
        <v>42417</v>
      </c>
      <c r="C381" s="27">
        <v>103</v>
      </c>
      <c r="D381" s="27">
        <v>3000027769</v>
      </c>
      <c r="E381" s="27" t="s">
        <v>23</v>
      </c>
      <c r="F381" s="27">
        <v>2602046271</v>
      </c>
      <c r="G381" s="46">
        <v>42406</v>
      </c>
      <c r="H381" s="46"/>
      <c r="I381" s="46">
        <v>42408</v>
      </c>
      <c r="J381" s="27" t="s">
        <v>43</v>
      </c>
      <c r="K381" s="27">
        <v>25.96</v>
      </c>
      <c r="L381" s="27">
        <v>25.93</v>
      </c>
      <c r="M381" s="27">
        <f t="shared" si="44"/>
        <v>25.93</v>
      </c>
      <c r="N381" s="47"/>
      <c r="O381" s="27">
        <v>1367915</v>
      </c>
      <c r="P381" s="36">
        <f t="shared" si="45"/>
        <v>1366334.2045454546</v>
      </c>
      <c r="Q381" s="175">
        <v>42520</v>
      </c>
      <c r="R381" s="47">
        <v>42520</v>
      </c>
      <c r="S381" s="187"/>
    </row>
    <row r="382" spans="1:20" s="41" customFormat="1" hidden="1" x14ac:dyDescent="0.25">
      <c r="A382" s="27">
        <f>+closed!A381+1</f>
        <v>75</v>
      </c>
      <c r="B382" s="45">
        <v>42417</v>
      </c>
      <c r="C382" s="27">
        <v>103</v>
      </c>
      <c r="D382" s="27">
        <v>3000027769</v>
      </c>
      <c r="E382" s="27" t="s">
        <v>23</v>
      </c>
      <c r="F382" s="27">
        <v>2602046291</v>
      </c>
      <c r="G382" s="46">
        <v>42407</v>
      </c>
      <c r="H382" s="46"/>
      <c r="I382" s="46">
        <v>42409</v>
      </c>
      <c r="J382" s="27" t="s">
        <v>43</v>
      </c>
      <c r="K382" s="27">
        <v>26.12</v>
      </c>
      <c r="L382" s="27">
        <v>26.11</v>
      </c>
      <c r="M382" s="27">
        <f t="shared" si="44"/>
        <v>26.11</v>
      </c>
      <c r="N382" s="47"/>
      <c r="O382" s="27">
        <v>1376346</v>
      </c>
      <c r="P382" s="36">
        <f t="shared" si="45"/>
        <v>1375819.0681470137</v>
      </c>
      <c r="Q382" s="175">
        <v>42520</v>
      </c>
      <c r="R382" s="47">
        <v>42520</v>
      </c>
      <c r="S382" s="187"/>
    </row>
    <row r="383" spans="1:20" s="41" customFormat="1" hidden="1" x14ac:dyDescent="0.25">
      <c r="A383" s="27">
        <f>+closed!A382+1</f>
        <v>76</v>
      </c>
      <c r="B383" s="45">
        <v>42417</v>
      </c>
      <c r="C383" s="27">
        <v>103</v>
      </c>
      <c r="D383" s="27">
        <v>3000027769</v>
      </c>
      <c r="E383" s="27" t="s">
        <v>23</v>
      </c>
      <c r="F383" s="27">
        <v>2602046292</v>
      </c>
      <c r="G383" s="46">
        <v>42408</v>
      </c>
      <c r="H383" s="46"/>
      <c r="I383" s="46">
        <v>42410</v>
      </c>
      <c r="J383" s="27" t="s">
        <v>43</v>
      </c>
      <c r="K383" s="27">
        <v>26.08</v>
      </c>
      <c r="L383" s="27">
        <v>26.06</v>
      </c>
      <c r="M383" s="27">
        <f t="shared" si="44"/>
        <v>26.06</v>
      </c>
      <c r="N383" s="47"/>
      <c r="O383" s="27">
        <v>1374239</v>
      </c>
      <c r="P383" s="36">
        <f t="shared" si="45"/>
        <v>1373185.1357361963</v>
      </c>
      <c r="Q383" s="175">
        <v>42520</v>
      </c>
      <c r="R383" s="47">
        <v>42520</v>
      </c>
      <c r="S383" s="187"/>
    </row>
    <row r="384" spans="1:20" s="41" customFormat="1" hidden="1" x14ac:dyDescent="0.25">
      <c r="A384" s="27">
        <f>+closed!A383+1</f>
        <v>77</v>
      </c>
      <c r="B384" s="45">
        <v>42417</v>
      </c>
      <c r="C384" s="27">
        <v>103</v>
      </c>
      <c r="D384" s="27">
        <v>3000027769</v>
      </c>
      <c r="E384" s="27" t="s">
        <v>23</v>
      </c>
      <c r="F384" s="27">
        <v>2602046293</v>
      </c>
      <c r="G384" s="46">
        <v>42408</v>
      </c>
      <c r="H384" s="46"/>
      <c r="I384" s="46">
        <v>42409</v>
      </c>
      <c r="J384" s="27" t="s">
        <v>43</v>
      </c>
      <c r="K384" s="27">
        <v>26.11</v>
      </c>
      <c r="L384" s="27">
        <v>26.1</v>
      </c>
      <c r="M384" s="27">
        <f t="shared" si="44"/>
        <v>26.1</v>
      </c>
      <c r="N384" s="47"/>
      <c r="O384" s="27">
        <v>1375819</v>
      </c>
      <c r="P384" s="36">
        <f t="shared" si="45"/>
        <v>1375292.0681731137</v>
      </c>
      <c r="Q384" s="175">
        <v>42520</v>
      </c>
      <c r="R384" s="47">
        <v>42520</v>
      </c>
      <c r="S384" s="187"/>
    </row>
    <row r="385" spans="1:19" s="41" customFormat="1" hidden="1" x14ac:dyDescent="0.25">
      <c r="A385" s="27">
        <f>+closed!A384+1</f>
        <v>78</v>
      </c>
      <c r="B385" s="45">
        <v>42417</v>
      </c>
      <c r="C385" s="27">
        <v>103</v>
      </c>
      <c r="D385" s="27">
        <v>3000027769</v>
      </c>
      <c r="E385" s="27" t="s">
        <v>23</v>
      </c>
      <c r="F385" s="27">
        <v>2602046294</v>
      </c>
      <c r="G385" s="46">
        <v>42408</v>
      </c>
      <c r="H385" s="46"/>
      <c r="I385" s="46">
        <v>42410</v>
      </c>
      <c r="J385" s="27" t="s">
        <v>43</v>
      </c>
      <c r="K385" s="27">
        <v>26.12</v>
      </c>
      <c r="L385" s="27">
        <v>26.12</v>
      </c>
      <c r="M385" s="27">
        <f t="shared" si="44"/>
        <v>26.12</v>
      </c>
      <c r="N385" s="47"/>
      <c r="O385" s="27">
        <v>1376346</v>
      </c>
      <c r="P385" s="36">
        <f t="shared" si="45"/>
        <v>1376346</v>
      </c>
      <c r="Q385" s="175">
        <v>42520</v>
      </c>
      <c r="R385" s="47">
        <v>42520</v>
      </c>
      <c r="S385" s="187"/>
    </row>
    <row r="386" spans="1:19" s="41" customFormat="1" hidden="1" x14ac:dyDescent="0.25">
      <c r="A386" s="27">
        <f>+closed!A385+1</f>
        <v>79</v>
      </c>
      <c r="B386" s="45">
        <v>42417</v>
      </c>
      <c r="C386" s="27">
        <v>103</v>
      </c>
      <c r="D386" s="27">
        <v>3000027769</v>
      </c>
      <c r="E386" s="27" t="s">
        <v>23</v>
      </c>
      <c r="F386" s="27">
        <v>2602046295</v>
      </c>
      <c r="G386" s="46">
        <v>42408</v>
      </c>
      <c r="H386" s="46"/>
      <c r="I386" s="46">
        <v>42409</v>
      </c>
      <c r="J386" s="27" t="s">
        <v>43</v>
      </c>
      <c r="K386" s="27">
        <v>19.925000000000001</v>
      </c>
      <c r="L386" s="27">
        <v>19.940000000000001</v>
      </c>
      <c r="M386" s="27">
        <f t="shared" si="44"/>
        <v>19.925000000000001</v>
      </c>
      <c r="N386" s="47"/>
      <c r="O386" s="27">
        <v>1049913</v>
      </c>
      <c r="P386" s="36">
        <f t="shared" si="45"/>
        <v>1049913</v>
      </c>
      <c r="Q386" s="175">
        <v>42520</v>
      </c>
      <c r="R386" s="47">
        <v>42520</v>
      </c>
      <c r="S386" s="187"/>
    </row>
    <row r="387" spans="1:19" s="41" customFormat="1" hidden="1" x14ac:dyDescent="0.25">
      <c r="A387" s="27">
        <f>+closed!A386+1</f>
        <v>80</v>
      </c>
      <c r="B387" s="45">
        <v>42417</v>
      </c>
      <c r="C387" s="27">
        <v>103</v>
      </c>
      <c r="D387" s="27">
        <v>3000027769</v>
      </c>
      <c r="E387" s="27" t="s">
        <v>23</v>
      </c>
      <c r="F387" s="27">
        <v>2602046296</v>
      </c>
      <c r="G387" s="46">
        <v>42408</v>
      </c>
      <c r="H387" s="46"/>
      <c r="I387" s="46">
        <v>42410</v>
      </c>
      <c r="J387" s="27" t="s">
        <v>43</v>
      </c>
      <c r="K387" s="27">
        <v>25.86</v>
      </c>
      <c r="L387" s="27">
        <v>25.86</v>
      </c>
      <c r="M387" s="27">
        <f t="shared" si="44"/>
        <v>25.86</v>
      </c>
      <c r="N387" s="47"/>
      <c r="O387" s="27">
        <v>1362646</v>
      </c>
      <c r="P387" s="36">
        <f t="shared" si="45"/>
        <v>1362646</v>
      </c>
      <c r="Q387" s="175">
        <v>42520</v>
      </c>
      <c r="R387" s="47">
        <v>42520</v>
      </c>
      <c r="S387" s="187"/>
    </row>
    <row r="388" spans="1:19" s="41" customFormat="1" hidden="1" x14ac:dyDescent="0.25">
      <c r="A388" s="27">
        <f>+closed!A387+1</f>
        <v>81</v>
      </c>
      <c r="B388" s="45">
        <v>42417</v>
      </c>
      <c r="C388" s="27">
        <v>103</v>
      </c>
      <c r="D388" s="27">
        <v>3000027769</v>
      </c>
      <c r="E388" s="27" t="s">
        <v>23</v>
      </c>
      <c r="F388" s="27">
        <v>2602046298</v>
      </c>
      <c r="G388" s="46">
        <v>42408</v>
      </c>
      <c r="H388" s="46"/>
      <c r="I388" s="46">
        <v>42409</v>
      </c>
      <c r="J388" s="27" t="s">
        <v>43</v>
      </c>
      <c r="K388" s="27">
        <v>26.11</v>
      </c>
      <c r="L388" s="27">
        <v>26.08</v>
      </c>
      <c r="M388" s="27">
        <f t="shared" si="44"/>
        <v>26.08</v>
      </c>
      <c r="N388" s="47"/>
      <c r="O388" s="27">
        <v>1375819</v>
      </c>
      <c r="P388" s="36">
        <f t="shared" si="45"/>
        <v>1374238.2045193412</v>
      </c>
      <c r="Q388" s="175">
        <v>42520</v>
      </c>
      <c r="R388" s="47">
        <v>42520</v>
      </c>
      <c r="S388" s="187"/>
    </row>
    <row r="389" spans="1:19" s="41" customFormat="1" hidden="1" x14ac:dyDescent="0.25">
      <c r="A389" s="27">
        <f>+closed!A388+1</f>
        <v>82</v>
      </c>
      <c r="B389" s="45">
        <v>42417</v>
      </c>
      <c r="C389" s="27">
        <v>103</v>
      </c>
      <c r="D389" s="27">
        <v>3000027769</v>
      </c>
      <c r="E389" s="27" t="s">
        <v>23</v>
      </c>
      <c r="F389" s="27">
        <v>2602046331</v>
      </c>
      <c r="G389" s="46">
        <v>42409</v>
      </c>
      <c r="H389" s="46"/>
      <c r="I389" s="46">
        <v>42411</v>
      </c>
      <c r="J389" s="27" t="s">
        <v>43</v>
      </c>
      <c r="K389" s="27">
        <v>25.15</v>
      </c>
      <c r="L389" s="27">
        <v>25.18</v>
      </c>
      <c r="M389" s="27">
        <f t="shared" si="44"/>
        <v>25.15</v>
      </c>
      <c r="N389" s="47"/>
      <c r="O389" s="27">
        <v>1325234</v>
      </c>
      <c r="P389" s="36">
        <f t="shared" si="45"/>
        <v>1325234</v>
      </c>
      <c r="Q389" s="175">
        <v>42520</v>
      </c>
      <c r="R389" s="47">
        <v>42520</v>
      </c>
      <c r="S389" s="187"/>
    </row>
    <row r="390" spans="1:19" s="41" customFormat="1" hidden="1" x14ac:dyDescent="0.25">
      <c r="A390" s="27">
        <f>+closed!A389+1</f>
        <v>83</v>
      </c>
      <c r="B390" s="45">
        <v>42417</v>
      </c>
      <c r="C390" s="27">
        <v>103</v>
      </c>
      <c r="D390" s="27">
        <v>3000027769</v>
      </c>
      <c r="E390" s="27" t="s">
        <v>23</v>
      </c>
      <c r="F390" s="27">
        <v>2602046332</v>
      </c>
      <c r="G390" s="46">
        <v>42409</v>
      </c>
      <c r="H390" s="46"/>
      <c r="I390" s="46">
        <v>42411</v>
      </c>
      <c r="J390" s="27" t="s">
        <v>43</v>
      </c>
      <c r="K390" s="27">
        <v>25.48</v>
      </c>
      <c r="L390" s="27">
        <v>25.48</v>
      </c>
      <c r="M390" s="27">
        <f t="shared" si="44"/>
        <v>25.48</v>
      </c>
      <c r="N390" s="47"/>
      <c r="O390" s="27">
        <v>1342623</v>
      </c>
      <c r="P390" s="36">
        <f t="shared" si="45"/>
        <v>1342623</v>
      </c>
      <c r="Q390" s="175">
        <v>42520</v>
      </c>
      <c r="R390" s="47">
        <v>42520</v>
      </c>
      <c r="S390" s="187"/>
    </row>
    <row r="391" spans="1:19" s="41" customFormat="1" hidden="1" x14ac:dyDescent="0.25">
      <c r="A391" s="27">
        <f>+closed!A390+1</f>
        <v>84</v>
      </c>
      <c r="B391" s="45">
        <v>42417</v>
      </c>
      <c r="C391" s="27">
        <v>103</v>
      </c>
      <c r="D391" s="27">
        <v>3000027769</v>
      </c>
      <c r="E391" s="27" t="s">
        <v>23</v>
      </c>
      <c r="F391" s="27">
        <v>2602046368</v>
      </c>
      <c r="G391" s="46">
        <v>42410</v>
      </c>
      <c r="H391" s="46"/>
      <c r="I391" s="46">
        <v>42412</v>
      </c>
      <c r="J391" s="27" t="s">
        <v>43</v>
      </c>
      <c r="K391" s="27">
        <v>25.93</v>
      </c>
      <c r="L391" s="27">
        <v>25.92</v>
      </c>
      <c r="M391" s="27">
        <f t="shared" si="44"/>
        <v>25.92</v>
      </c>
      <c r="N391" s="47"/>
      <c r="O391" s="27">
        <v>1366335</v>
      </c>
      <c r="P391" s="36">
        <f t="shared" si="45"/>
        <v>1365808.0678750484</v>
      </c>
      <c r="Q391" s="175">
        <v>42520</v>
      </c>
      <c r="R391" s="47">
        <v>42520</v>
      </c>
      <c r="S391" s="187"/>
    </row>
    <row r="392" spans="1:19" s="41" customFormat="1" hidden="1" x14ac:dyDescent="0.25">
      <c r="A392" s="27">
        <f>+closed!A391+1</f>
        <v>85</v>
      </c>
      <c r="B392" s="45">
        <v>42417</v>
      </c>
      <c r="C392" s="27">
        <v>103</v>
      </c>
      <c r="D392" s="27">
        <v>3000027769</v>
      </c>
      <c r="E392" s="27" t="s">
        <v>23</v>
      </c>
      <c r="F392" s="27">
        <v>2602046369</v>
      </c>
      <c r="G392" s="46">
        <v>42410</v>
      </c>
      <c r="H392" s="46"/>
      <c r="I392" s="46">
        <v>42412</v>
      </c>
      <c r="J392" s="27" t="s">
        <v>43</v>
      </c>
      <c r="K392" s="27">
        <v>25.53</v>
      </c>
      <c r="L392" s="27">
        <v>25.54</v>
      </c>
      <c r="M392" s="27">
        <f t="shared" ref="M392:M422" si="46">IF(L392&gt;K392,K392,L392)</f>
        <v>25.53</v>
      </c>
      <c r="N392" s="47"/>
      <c r="O392" s="27">
        <v>1345258</v>
      </c>
      <c r="P392" s="36">
        <f t="shared" si="45"/>
        <v>1345258</v>
      </c>
      <c r="Q392" s="175">
        <v>42520</v>
      </c>
      <c r="R392" s="47">
        <v>42520</v>
      </c>
      <c r="S392" s="187"/>
    </row>
    <row r="393" spans="1:19" s="41" customFormat="1" hidden="1" x14ac:dyDescent="0.25">
      <c r="A393" s="27">
        <f>+closed!A392+1</f>
        <v>86</v>
      </c>
      <c r="B393" s="45">
        <v>42417</v>
      </c>
      <c r="C393" s="27">
        <v>103</v>
      </c>
      <c r="D393" s="27">
        <v>3000027769</v>
      </c>
      <c r="E393" s="27" t="s">
        <v>23</v>
      </c>
      <c r="F393" s="27">
        <v>2602046411</v>
      </c>
      <c r="G393" s="46">
        <v>42410</v>
      </c>
      <c r="H393" s="46"/>
      <c r="I393" s="46">
        <v>42412</v>
      </c>
      <c r="J393" s="27" t="s">
        <v>43</v>
      </c>
      <c r="K393" s="27">
        <v>26.16</v>
      </c>
      <c r="L393" s="27">
        <v>26.17</v>
      </c>
      <c r="M393" s="27">
        <f t="shared" si="46"/>
        <v>26.16</v>
      </c>
      <c r="N393" s="47"/>
      <c r="O393" s="27">
        <v>1378454</v>
      </c>
      <c r="P393" s="36">
        <f t="shared" si="45"/>
        <v>1378454</v>
      </c>
      <c r="Q393" s="175">
        <v>42520</v>
      </c>
      <c r="R393" s="47">
        <v>42520</v>
      </c>
      <c r="S393" s="187"/>
    </row>
    <row r="394" spans="1:19" s="41" customFormat="1" hidden="1" x14ac:dyDescent="0.25">
      <c r="A394" s="27">
        <f>+closed!A393+1</f>
        <v>87</v>
      </c>
      <c r="B394" s="45">
        <v>42422</v>
      </c>
      <c r="C394" s="27">
        <v>103</v>
      </c>
      <c r="D394" s="27">
        <v>3000027769</v>
      </c>
      <c r="E394" s="27" t="s">
        <v>23</v>
      </c>
      <c r="F394" s="27">
        <v>2602046414</v>
      </c>
      <c r="G394" s="46">
        <v>42411</v>
      </c>
      <c r="H394" s="46"/>
      <c r="I394" s="46">
        <v>42414</v>
      </c>
      <c r="J394" s="27" t="s">
        <v>43</v>
      </c>
      <c r="K394" s="27">
        <v>25.51</v>
      </c>
      <c r="L394" s="27">
        <v>25.52</v>
      </c>
      <c r="M394" s="27">
        <f t="shared" si="46"/>
        <v>25.51</v>
      </c>
      <c r="N394" s="47"/>
      <c r="O394" s="27">
        <v>1344203</v>
      </c>
      <c r="P394" s="36">
        <f t="shared" si="45"/>
        <v>1344203</v>
      </c>
      <c r="Q394" s="175">
        <v>42520</v>
      </c>
      <c r="R394" s="47">
        <v>42520</v>
      </c>
      <c r="S394" s="187"/>
    </row>
    <row r="395" spans="1:19" s="41" customFormat="1" hidden="1" x14ac:dyDescent="0.25">
      <c r="A395" s="27">
        <f>+closed!A394+1</f>
        <v>88</v>
      </c>
      <c r="B395" s="45">
        <v>42422</v>
      </c>
      <c r="C395" s="27">
        <v>103</v>
      </c>
      <c r="D395" s="27">
        <v>3000027769</v>
      </c>
      <c r="E395" s="27" t="s">
        <v>23</v>
      </c>
      <c r="F395" s="27">
        <v>2602046415</v>
      </c>
      <c r="G395" s="46">
        <v>42411</v>
      </c>
      <c r="H395" s="46"/>
      <c r="I395" s="46">
        <v>42414</v>
      </c>
      <c r="J395" s="27" t="s">
        <v>43</v>
      </c>
      <c r="K395" s="27">
        <v>25.99</v>
      </c>
      <c r="L395" s="27">
        <v>26.02</v>
      </c>
      <c r="M395" s="27">
        <f t="shared" si="46"/>
        <v>25.99</v>
      </c>
      <c r="N395" s="47"/>
      <c r="O395" s="27">
        <v>1369497</v>
      </c>
      <c r="P395" s="36">
        <f t="shared" si="45"/>
        <v>1369497</v>
      </c>
      <c r="Q395" s="175">
        <v>42520</v>
      </c>
      <c r="R395" s="47">
        <v>42520</v>
      </c>
      <c r="S395" s="187"/>
    </row>
    <row r="396" spans="1:19" s="41" customFormat="1" hidden="1" x14ac:dyDescent="0.25">
      <c r="A396" s="27">
        <f>+closed!A395+1</f>
        <v>89</v>
      </c>
      <c r="B396" s="45">
        <v>42422</v>
      </c>
      <c r="C396" s="27">
        <v>103</v>
      </c>
      <c r="D396" s="27">
        <v>3000027769</v>
      </c>
      <c r="E396" s="27" t="s">
        <v>23</v>
      </c>
      <c r="F396" s="27">
        <v>2602046416</v>
      </c>
      <c r="G396" s="46">
        <v>42411</v>
      </c>
      <c r="H396" s="46"/>
      <c r="I396" s="46">
        <v>42414</v>
      </c>
      <c r="J396" s="27" t="s">
        <v>43</v>
      </c>
      <c r="K396" s="27">
        <v>25.98</v>
      </c>
      <c r="L396" s="27">
        <v>25.99</v>
      </c>
      <c r="M396" s="27">
        <f t="shared" si="46"/>
        <v>25.98</v>
      </c>
      <c r="N396" s="47"/>
      <c r="O396" s="27">
        <v>1368970</v>
      </c>
      <c r="P396" s="36">
        <f t="shared" si="45"/>
        <v>1368970</v>
      </c>
      <c r="Q396" s="175">
        <v>42520</v>
      </c>
      <c r="R396" s="47">
        <v>42520</v>
      </c>
      <c r="S396" s="187"/>
    </row>
    <row r="397" spans="1:19" s="41" customFormat="1" hidden="1" x14ac:dyDescent="0.25">
      <c r="A397" s="27">
        <f>+closed!A396+1</f>
        <v>90</v>
      </c>
      <c r="B397" s="45">
        <v>42422</v>
      </c>
      <c r="C397" s="27">
        <v>103</v>
      </c>
      <c r="D397" s="27">
        <v>3000027769</v>
      </c>
      <c r="E397" s="27" t="s">
        <v>23</v>
      </c>
      <c r="F397" s="27">
        <v>2602046440</v>
      </c>
      <c r="G397" s="46">
        <v>42412</v>
      </c>
      <c r="H397" s="46"/>
      <c r="I397" s="46">
        <v>42415</v>
      </c>
      <c r="J397" s="27" t="s">
        <v>43</v>
      </c>
      <c r="K397" s="27">
        <v>25.43</v>
      </c>
      <c r="L397" s="27">
        <v>25.44</v>
      </c>
      <c r="M397" s="27">
        <f t="shared" si="46"/>
        <v>25.43</v>
      </c>
      <c r="N397" s="47"/>
      <c r="O397" s="27">
        <v>1339988</v>
      </c>
      <c r="P397" s="36">
        <f t="shared" si="45"/>
        <v>1339988</v>
      </c>
      <c r="Q397" s="175">
        <v>42520</v>
      </c>
      <c r="R397" s="47">
        <v>42520</v>
      </c>
      <c r="S397" s="187"/>
    </row>
    <row r="398" spans="1:19" s="41" customFormat="1" hidden="1" x14ac:dyDescent="0.25">
      <c r="A398" s="27">
        <f>+closed!A397+1</f>
        <v>91</v>
      </c>
      <c r="B398" s="45">
        <v>42422</v>
      </c>
      <c r="C398" s="27">
        <v>103</v>
      </c>
      <c r="D398" s="27">
        <v>3000027769</v>
      </c>
      <c r="E398" s="27" t="s">
        <v>23</v>
      </c>
      <c r="F398" s="27">
        <v>2602046469</v>
      </c>
      <c r="G398" s="46">
        <v>42413</v>
      </c>
      <c r="H398" s="46"/>
      <c r="I398" s="46">
        <v>42415</v>
      </c>
      <c r="J398" s="27" t="s">
        <v>43</v>
      </c>
      <c r="K398" s="27">
        <v>20.004999999999999</v>
      </c>
      <c r="L398" s="27">
        <v>20.02</v>
      </c>
      <c r="M398" s="27">
        <f t="shared" si="46"/>
        <v>20.004999999999999</v>
      </c>
      <c r="N398" s="47"/>
      <c r="O398" s="27">
        <v>1054128</v>
      </c>
      <c r="P398" s="36">
        <f t="shared" si="45"/>
        <v>1054128</v>
      </c>
      <c r="Q398" s="175">
        <v>42520</v>
      </c>
      <c r="R398" s="47">
        <v>42520</v>
      </c>
      <c r="S398" s="187"/>
    </row>
    <row r="399" spans="1:19" s="41" customFormat="1" hidden="1" x14ac:dyDescent="0.25">
      <c r="A399" s="27">
        <f>+closed!A398+1</f>
        <v>92</v>
      </c>
      <c r="B399" s="45">
        <v>42422</v>
      </c>
      <c r="C399" s="27">
        <v>103</v>
      </c>
      <c r="D399" s="27">
        <v>3000027769</v>
      </c>
      <c r="E399" s="27" t="s">
        <v>23</v>
      </c>
      <c r="F399" s="27">
        <v>2602046496</v>
      </c>
      <c r="G399" s="46">
        <v>42413</v>
      </c>
      <c r="H399" s="46"/>
      <c r="I399" s="46">
        <v>42415</v>
      </c>
      <c r="J399" s="27" t="s">
        <v>43</v>
      </c>
      <c r="K399" s="27">
        <v>26.38</v>
      </c>
      <c r="L399" s="27">
        <v>26.38</v>
      </c>
      <c r="M399" s="27">
        <f t="shared" si="46"/>
        <v>26.38</v>
      </c>
      <c r="N399" s="47"/>
      <c r="O399" s="27">
        <v>1390047</v>
      </c>
      <c r="P399" s="36">
        <f t="shared" si="45"/>
        <v>1390047</v>
      </c>
      <c r="Q399" s="175">
        <v>42520</v>
      </c>
      <c r="R399" s="47">
        <v>42520</v>
      </c>
      <c r="S399" s="187"/>
    </row>
    <row r="400" spans="1:19" s="41" customFormat="1" hidden="1" x14ac:dyDescent="0.25">
      <c r="A400" s="27">
        <f>+closed!A399+1</f>
        <v>93</v>
      </c>
      <c r="B400" s="45">
        <v>42422</v>
      </c>
      <c r="C400" s="27">
        <v>103</v>
      </c>
      <c r="D400" s="27">
        <v>3000027769</v>
      </c>
      <c r="E400" s="27" t="s">
        <v>23</v>
      </c>
      <c r="F400" s="27">
        <v>2602046499</v>
      </c>
      <c r="G400" s="46">
        <v>42414</v>
      </c>
      <c r="H400" s="46"/>
      <c r="I400" s="46">
        <v>42416</v>
      </c>
      <c r="J400" s="27" t="s">
        <v>43</v>
      </c>
      <c r="K400" s="27">
        <v>25.49</v>
      </c>
      <c r="L400" s="27">
        <v>25.49</v>
      </c>
      <c r="M400" s="27">
        <f t="shared" si="46"/>
        <v>25.49</v>
      </c>
      <c r="N400" s="47"/>
      <c r="O400" s="27">
        <v>1343150</v>
      </c>
      <c r="P400" s="36">
        <f t="shared" si="45"/>
        <v>1343150</v>
      </c>
      <c r="Q400" s="175">
        <v>42520</v>
      </c>
      <c r="R400" s="47">
        <v>42520</v>
      </c>
      <c r="S400" s="187"/>
    </row>
    <row r="401" spans="1:20" s="41" customFormat="1" hidden="1" x14ac:dyDescent="0.25">
      <c r="A401" s="27">
        <f>+closed!A107+1</f>
        <v>98</v>
      </c>
      <c r="B401" s="45">
        <v>42436</v>
      </c>
      <c r="C401" s="27">
        <v>103</v>
      </c>
      <c r="D401" s="27">
        <v>3000027769</v>
      </c>
      <c r="E401" s="27" t="s">
        <v>23</v>
      </c>
      <c r="F401" s="27">
        <v>2602046825</v>
      </c>
      <c r="G401" s="46">
        <v>42427</v>
      </c>
      <c r="H401" s="46"/>
      <c r="I401" s="46">
        <v>42429</v>
      </c>
      <c r="J401" s="27" t="s">
        <v>43</v>
      </c>
      <c r="K401" s="27">
        <v>25.72</v>
      </c>
      <c r="L401" s="27">
        <v>25.73</v>
      </c>
      <c r="M401" s="27">
        <f t="shared" si="46"/>
        <v>25.72</v>
      </c>
      <c r="N401" s="47"/>
      <c r="O401" s="27">
        <v>1355269</v>
      </c>
      <c r="P401" s="36">
        <f t="shared" si="45"/>
        <v>1355269</v>
      </c>
      <c r="Q401" s="175">
        <v>42520</v>
      </c>
      <c r="R401" s="47">
        <v>42520</v>
      </c>
      <c r="S401" s="187"/>
    </row>
    <row r="402" spans="1:20" s="41" customFormat="1" hidden="1" x14ac:dyDescent="0.25">
      <c r="A402" s="27">
        <f>+closed!A401+1</f>
        <v>99</v>
      </c>
      <c r="B402" s="45">
        <v>42436</v>
      </c>
      <c r="C402" s="27">
        <v>103</v>
      </c>
      <c r="D402" s="27">
        <v>3000027769</v>
      </c>
      <c r="E402" s="27" t="s">
        <v>23</v>
      </c>
      <c r="F402" s="27">
        <v>2602046855</v>
      </c>
      <c r="G402" s="46">
        <v>42427</v>
      </c>
      <c r="H402" s="46"/>
      <c r="I402" s="46">
        <v>42429</v>
      </c>
      <c r="J402" s="27" t="s">
        <v>43</v>
      </c>
      <c r="K402" s="27">
        <v>25.5</v>
      </c>
      <c r="L402" s="27">
        <v>25.48</v>
      </c>
      <c r="M402" s="27">
        <f t="shared" si="46"/>
        <v>25.48</v>
      </c>
      <c r="N402" s="47"/>
      <c r="O402" s="27">
        <v>1343677</v>
      </c>
      <c r="P402" s="36">
        <f t="shared" si="45"/>
        <v>1342623.1356862746</v>
      </c>
      <c r="Q402" s="175">
        <v>42520</v>
      </c>
      <c r="R402" s="47">
        <v>42520</v>
      </c>
      <c r="S402" s="187"/>
    </row>
    <row r="403" spans="1:20" s="41" customFormat="1" hidden="1" x14ac:dyDescent="0.25">
      <c r="A403" s="27">
        <f>+closed!A402+1</f>
        <v>100</v>
      </c>
      <c r="B403" s="45">
        <v>42436</v>
      </c>
      <c r="C403" s="27">
        <v>103</v>
      </c>
      <c r="D403" s="27">
        <v>3000027769</v>
      </c>
      <c r="E403" s="27" t="s">
        <v>23</v>
      </c>
      <c r="F403" s="27">
        <v>2602046788</v>
      </c>
      <c r="G403" s="46">
        <v>42426</v>
      </c>
      <c r="H403" s="46"/>
      <c r="I403" s="46">
        <v>42428</v>
      </c>
      <c r="J403" s="27" t="s">
        <v>43</v>
      </c>
      <c r="K403" s="27">
        <v>25.71</v>
      </c>
      <c r="L403" s="27">
        <v>25.71</v>
      </c>
      <c r="M403" s="27">
        <f t="shared" si="46"/>
        <v>25.71</v>
      </c>
      <c r="N403" s="47"/>
      <c r="O403" s="27">
        <v>1354742</v>
      </c>
      <c r="P403" s="36">
        <f t="shared" ref="P403:P420" si="47">(+O403/K403*M403)</f>
        <v>1354742</v>
      </c>
      <c r="Q403" s="175">
        <v>42520</v>
      </c>
      <c r="R403" s="47">
        <v>42520</v>
      </c>
      <c r="S403" s="187"/>
    </row>
    <row r="404" spans="1:20" s="41" customFormat="1" hidden="1" x14ac:dyDescent="0.25">
      <c r="A404" s="27">
        <f>+closed!A403+1</f>
        <v>101</v>
      </c>
      <c r="B404" s="45">
        <v>42436</v>
      </c>
      <c r="C404" s="27">
        <v>103</v>
      </c>
      <c r="D404" s="27">
        <v>3000027769</v>
      </c>
      <c r="E404" s="27" t="s">
        <v>23</v>
      </c>
      <c r="F404" s="27">
        <v>2602046739</v>
      </c>
      <c r="G404" s="46">
        <v>42424</v>
      </c>
      <c r="H404" s="46"/>
      <c r="I404" s="46">
        <v>42426</v>
      </c>
      <c r="J404" s="27" t="s">
        <v>43</v>
      </c>
      <c r="K404" s="27">
        <v>25.99</v>
      </c>
      <c r="L404" s="27">
        <v>26</v>
      </c>
      <c r="M404" s="27">
        <f t="shared" si="46"/>
        <v>25.99</v>
      </c>
      <c r="N404" s="47"/>
      <c r="O404" s="27">
        <v>1369497</v>
      </c>
      <c r="P404" s="36">
        <f t="shared" si="47"/>
        <v>1369497</v>
      </c>
      <c r="Q404" s="175">
        <v>42520</v>
      </c>
      <c r="R404" s="47">
        <v>42520</v>
      </c>
      <c r="S404" s="187"/>
    </row>
    <row r="405" spans="1:20" s="41" customFormat="1" hidden="1" x14ac:dyDescent="0.25">
      <c r="A405" s="27">
        <f>+closed!A404+1</f>
        <v>102</v>
      </c>
      <c r="B405" s="45">
        <v>42436</v>
      </c>
      <c r="C405" s="27">
        <v>103</v>
      </c>
      <c r="D405" s="27">
        <v>3000027769</v>
      </c>
      <c r="E405" s="27" t="s">
        <v>23</v>
      </c>
      <c r="F405" s="27">
        <v>2602046724</v>
      </c>
      <c r="G405" s="46">
        <v>42424</v>
      </c>
      <c r="H405" s="46"/>
      <c r="I405" s="46">
        <v>42426</v>
      </c>
      <c r="J405" s="27" t="s">
        <v>43</v>
      </c>
      <c r="K405" s="27">
        <v>19.93</v>
      </c>
      <c r="L405" s="27">
        <v>19.95</v>
      </c>
      <c r="M405" s="27">
        <f t="shared" si="46"/>
        <v>19.93</v>
      </c>
      <c r="N405" s="47"/>
      <c r="O405" s="27">
        <v>1050176</v>
      </c>
      <c r="P405" s="36">
        <f t="shared" si="47"/>
        <v>1050176</v>
      </c>
      <c r="Q405" s="175">
        <v>42520</v>
      </c>
      <c r="R405" s="47">
        <v>42520</v>
      </c>
      <c r="S405" s="187"/>
    </row>
    <row r="406" spans="1:20" s="41" customFormat="1" hidden="1" x14ac:dyDescent="0.25">
      <c r="A406" s="27">
        <f>+closed!A405+1</f>
        <v>103</v>
      </c>
      <c r="B406" s="45">
        <v>42436</v>
      </c>
      <c r="C406" s="27">
        <v>103</v>
      </c>
      <c r="D406" s="27">
        <v>3000027769</v>
      </c>
      <c r="E406" s="27" t="s">
        <v>23</v>
      </c>
      <c r="F406" s="27">
        <v>2602046723</v>
      </c>
      <c r="G406" s="46">
        <v>42424</v>
      </c>
      <c r="H406" s="46"/>
      <c r="I406" s="46">
        <v>42426</v>
      </c>
      <c r="J406" s="27" t="s">
        <v>43</v>
      </c>
      <c r="K406" s="27">
        <v>25.93</v>
      </c>
      <c r="L406" s="27">
        <v>25.96</v>
      </c>
      <c r="M406" s="27">
        <f t="shared" si="46"/>
        <v>25.93</v>
      </c>
      <c r="N406" s="47"/>
      <c r="O406" s="27">
        <v>1366335</v>
      </c>
      <c r="P406" s="36">
        <f t="shared" si="47"/>
        <v>1366335</v>
      </c>
      <c r="Q406" s="175">
        <v>42520</v>
      </c>
      <c r="R406" s="47">
        <v>42520</v>
      </c>
      <c r="S406" s="187"/>
    </row>
    <row r="407" spans="1:20" s="41" customFormat="1" hidden="1" x14ac:dyDescent="0.25">
      <c r="A407" s="27">
        <f>+closed!A258+1</f>
        <v>51</v>
      </c>
      <c r="B407" s="45">
        <v>42397</v>
      </c>
      <c r="C407" s="27">
        <v>103</v>
      </c>
      <c r="D407" s="27">
        <v>3000026946</v>
      </c>
      <c r="E407" s="27" t="s">
        <v>23</v>
      </c>
      <c r="F407" s="27">
        <v>2605008333</v>
      </c>
      <c r="G407" s="46">
        <v>42382</v>
      </c>
      <c r="H407" s="46"/>
      <c r="I407" s="46">
        <v>42383</v>
      </c>
      <c r="J407" s="27" t="s">
        <v>43</v>
      </c>
      <c r="K407" s="27">
        <v>19.57</v>
      </c>
      <c r="L407" s="27">
        <v>19.559999999999999</v>
      </c>
      <c r="M407" s="27">
        <f t="shared" si="46"/>
        <v>19.559999999999999</v>
      </c>
      <c r="N407" s="47"/>
      <c r="O407" s="27">
        <v>987099</v>
      </c>
      <c r="P407" s="36">
        <f t="shared" si="47"/>
        <v>986594.60602963704</v>
      </c>
      <c r="Q407" s="175">
        <v>42520</v>
      </c>
      <c r="R407" s="47">
        <v>42520</v>
      </c>
      <c r="S407" s="187"/>
    </row>
    <row r="408" spans="1:20" s="41" customFormat="1" hidden="1" x14ac:dyDescent="0.25">
      <c r="A408" s="27">
        <f>+closed!A407+1</f>
        <v>52</v>
      </c>
      <c r="B408" s="45">
        <v>42397</v>
      </c>
      <c r="C408" s="27">
        <v>103</v>
      </c>
      <c r="D408" s="27">
        <v>3000026946</v>
      </c>
      <c r="E408" s="27" t="s">
        <v>23</v>
      </c>
      <c r="F408" s="27">
        <v>2605008334</v>
      </c>
      <c r="G408" s="46">
        <v>42382</v>
      </c>
      <c r="H408" s="46"/>
      <c r="I408" s="46">
        <v>42383</v>
      </c>
      <c r="J408" s="27" t="s">
        <v>43</v>
      </c>
      <c r="K408" s="27">
        <v>11.74</v>
      </c>
      <c r="L408" s="27">
        <v>11.74</v>
      </c>
      <c r="M408" s="27">
        <f t="shared" si="46"/>
        <v>11.74</v>
      </c>
      <c r="N408" s="47"/>
      <c r="O408" s="27">
        <v>592158</v>
      </c>
      <c r="P408" s="36">
        <f t="shared" si="47"/>
        <v>592158</v>
      </c>
      <c r="Q408" s="175">
        <v>42520</v>
      </c>
      <c r="R408" s="47">
        <v>42520</v>
      </c>
      <c r="S408" s="187"/>
    </row>
    <row r="409" spans="1:20" s="41" customFormat="1" hidden="1" x14ac:dyDescent="0.25">
      <c r="A409" s="27">
        <f>+closed!A408+1</f>
        <v>53</v>
      </c>
      <c r="B409" s="45">
        <v>42397</v>
      </c>
      <c r="C409" s="27">
        <v>103</v>
      </c>
      <c r="D409" s="27">
        <v>3000026946</v>
      </c>
      <c r="E409" s="27" t="s">
        <v>23</v>
      </c>
      <c r="F409" s="27">
        <v>2605008335</v>
      </c>
      <c r="G409" s="46">
        <v>42382</v>
      </c>
      <c r="H409" s="46"/>
      <c r="I409" s="46">
        <v>42383</v>
      </c>
      <c r="J409" s="27" t="s">
        <v>43</v>
      </c>
      <c r="K409" s="27">
        <v>19.850000000000001</v>
      </c>
      <c r="L409" s="27">
        <v>19.850000000000001</v>
      </c>
      <c r="M409" s="27">
        <f t="shared" si="46"/>
        <v>19.850000000000001</v>
      </c>
      <c r="N409" s="47"/>
      <c r="O409" s="27">
        <v>1001221</v>
      </c>
      <c r="P409" s="36">
        <f t="shared" si="47"/>
        <v>1001221</v>
      </c>
      <c r="Q409" s="175">
        <v>42520</v>
      </c>
      <c r="R409" s="47">
        <v>42520</v>
      </c>
      <c r="S409" s="187"/>
      <c r="T409" s="41">
        <v>50431721</v>
      </c>
    </row>
    <row r="410" spans="1:20" s="3" customFormat="1" hidden="1" x14ac:dyDescent="0.25">
      <c r="A410" s="84">
        <f>+closed!A343+1</f>
        <v>321</v>
      </c>
      <c r="B410" s="24">
        <v>42482</v>
      </c>
      <c r="C410" s="1">
        <v>114</v>
      </c>
      <c r="D410" s="1">
        <v>3000029651</v>
      </c>
      <c r="E410" s="1" t="s">
        <v>55</v>
      </c>
      <c r="F410" s="1">
        <v>4</v>
      </c>
      <c r="G410" s="25">
        <v>42474</v>
      </c>
      <c r="H410" s="25"/>
      <c r="I410" s="25">
        <v>42477</v>
      </c>
      <c r="J410" s="1" t="s">
        <v>8</v>
      </c>
      <c r="K410" s="1">
        <v>27.7</v>
      </c>
      <c r="L410" s="1">
        <v>27.65</v>
      </c>
      <c r="M410" s="1">
        <f t="shared" si="46"/>
        <v>27.65</v>
      </c>
      <c r="N410" s="7">
        <f t="shared" ref="N410:N426" si="48">+I410+15-1</f>
        <v>42491</v>
      </c>
      <c r="O410" s="1">
        <v>1523500</v>
      </c>
      <c r="P410" s="38">
        <f t="shared" si="47"/>
        <v>1520750</v>
      </c>
      <c r="Q410" s="170">
        <v>42520</v>
      </c>
      <c r="R410" s="66">
        <v>42521</v>
      </c>
      <c r="S410" s="187">
        <f t="shared" ref="S410:S453" si="49">R410-N410</f>
        <v>30</v>
      </c>
    </row>
    <row r="411" spans="1:20" s="3" customFormat="1" hidden="1" x14ac:dyDescent="0.25">
      <c r="A411" s="84">
        <f>+closed!A301+1</f>
        <v>362</v>
      </c>
      <c r="B411" s="24">
        <v>42495</v>
      </c>
      <c r="C411" s="1">
        <v>103</v>
      </c>
      <c r="D411" s="1">
        <v>3000028971</v>
      </c>
      <c r="E411" s="1" t="s">
        <v>25</v>
      </c>
      <c r="F411" s="1" t="s">
        <v>113</v>
      </c>
      <c r="G411" s="25">
        <v>42483</v>
      </c>
      <c r="H411" s="25"/>
      <c r="I411" s="25">
        <v>42483</v>
      </c>
      <c r="J411" s="1" t="s">
        <v>16</v>
      </c>
      <c r="K411" s="1">
        <v>26.21</v>
      </c>
      <c r="L411" s="1">
        <v>26.21</v>
      </c>
      <c r="M411" s="1">
        <f t="shared" si="46"/>
        <v>26.21</v>
      </c>
      <c r="N411" s="7">
        <f t="shared" si="48"/>
        <v>42497</v>
      </c>
      <c r="O411" s="1">
        <v>1168619</v>
      </c>
      <c r="P411" s="18">
        <f t="shared" si="47"/>
        <v>1168619</v>
      </c>
      <c r="Q411" s="170">
        <v>42520</v>
      </c>
      <c r="R411" s="66">
        <v>42521</v>
      </c>
      <c r="S411" s="187">
        <f t="shared" si="49"/>
        <v>24</v>
      </c>
    </row>
    <row r="412" spans="1:20" s="3" customFormat="1" hidden="1" x14ac:dyDescent="0.25">
      <c r="A412" s="84">
        <f>+closed!A413+1</f>
        <v>364</v>
      </c>
      <c r="B412" s="24">
        <v>42495</v>
      </c>
      <c r="C412" s="1">
        <v>103</v>
      </c>
      <c r="D412" s="1">
        <v>3000028971</v>
      </c>
      <c r="E412" s="1" t="s">
        <v>25</v>
      </c>
      <c r="F412" s="1" t="s">
        <v>115</v>
      </c>
      <c r="G412" s="25">
        <v>42483</v>
      </c>
      <c r="H412" s="25"/>
      <c r="I412" s="25">
        <v>42483</v>
      </c>
      <c r="J412" s="1" t="s">
        <v>16</v>
      </c>
      <c r="K412" s="1">
        <v>26.85</v>
      </c>
      <c r="L412" s="1">
        <v>26.85</v>
      </c>
      <c r="M412" s="1">
        <f t="shared" si="46"/>
        <v>26.85</v>
      </c>
      <c r="N412" s="7">
        <f t="shared" si="48"/>
        <v>42497</v>
      </c>
      <c r="O412" s="1">
        <v>1190027</v>
      </c>
      <c r="P412" s="18">
        <f t="shared" si="47"/>
        <v>1190027</v>
      </c>
      <c r="Q412" s="170">
        <v>42520</v>
      </c>
      <c r="R412" s="66">
        <v>42521</v>
      </c>
      <c r="S412" s="187">
        <f t="shared" si="49"/>
        <v>24</v>
      </c>
    </row>
    <row r="413" spans="1:20" s="3" customFormat="1" hidden="1" x14ac:dyDescent="0.25">
      <c r="A413" s="84">
        <f>+closed!A411+1</f>
        <v>363</v>
      </c>
      <c r="B413" s="24">
        <v>42495</v>
      </c>
      <c r="C413" s="1">
        <v>103</v>
      </c>
      <c r="D413" s="1">
        <v>3000028971</v>
      </c>
      <c r="E413" s="1" t="s">
        <v>25</v>
      </c>
      <c r="F413" s="1" t="s">
        <v>114</v>
      </c>
      <c r="G413" s="25">
        <v>42483</v>
      </c>
      <c r="H413" s="25"/>
      <c r="I413" s="25">
        <v>42483</v>
      </c>
      <c r="J413" s="1" t="s">
        <v>16</v>
      </c>
      <c r="K413" s="1">
        <v>32.53</v>
      </c>
      <c r="L413" s="1">
        <v>32.53</v>
      </c>
      <c r="M413" s="1">
        <f t="shared" si="46"/>
        <v>32.53</v>
      </c>
      <c r="N413" s="7">
        <f t="shared" si="48"/>
        <v>42497</v>
      </c>
      <c r="O413" s="1">
        <v>1432573</v>
      </c>
      <c r="P413" s="18">
        <f t="shared" si="47"/>
        <v>1432573</v>
      </c>
      <c r="Q413" s="170">
        <v>42520</v>
      </c>
      <c r="R413" s="66">
        <v>42521</v>
      </c>
      <c r="S413" s="187">
        <f t="shared" si="49"/>
        <v>24</v>
      </c>
    </row>
    <row r="414" spans="1:20" s="3" customFormat="1" hidden="1" x14ac:dyDescent="0.25">
      <c r="A414" s="84">
        <f>+closed!A416+1</f>
        <v>358</v>
      </c>
      <c r="B414" s="24">
        <v>42492</v>
      </c>
      <c r="C414" s="1">
        <v>114</v>
      </c>
      <c r="D414" s="1">
        <v>3000029690</v>
      </c>
      <c r="E414" s="1" t="s">
        <v>18</v>
      </c>
      <c r="F414" s="1">
        <v>8</v>
      </c>
      <c r="G414" s="25">
        <v>42482</v>
      </c>
      <c r="H414" s="25"/>
      <c r="I414" s="25">
        <v>42487</v>
      </c>
      <c r="J414" s="1" t="s">
        <v>8</v>
      </c>
      <c r="K414" s="1">
        <v>16.100000000000001</v>
      </c>
      <c r="L414" s="1">
        <v>16.04</v>
      </c>
      <c r="M414" s="1">
        <f t="shared" si="46"/>
        <v>16.04</v>
      </c>
      <c r="N414" s="7">
        <f t="shared" si="48"/>
        <v>42501</v>
      </c>
      <c r="O414" s="1">
        <f>K414*55500</f>
        <v>893550.00000000012</v>
      </c>
      <c r="P414" s="18">
        <f t="shared" si="47"/>
        <v>890220</v>
      </c>
      <c r="Q414" s="170">
        <v>42520</v>
      </c>
      <c r="R414" s="66">
        <v>42521</v>
      </c>
      <c r="S414" s="187">
        <f t="shared" si="49"/>
        <v>20</v>
      </c>
    </row>
    <row r="415" spans="1:20" s="3" customFormat="1" hidden="1" x14ac:dyDescent="0.25">
      <c r="A415" s="84">
        <f>+closed!A414+1</f>
        <v>359</v>
      </c>
      <c r="B415" s="24">
        <v>42492</v>
      </c>
      <c r="C415" s="1">
        <v>114</v>
      </c>
      <c r="D415" s="1">
        <v>3000030113</v>
      </c>
      <c r="E415" s="1" t="s">
        <v>18</v>
      </c>
      <c r="F415" s="1">
        <v>8</v>
      </c>
      <c r="G415" s="25">
        <v>42482</v>
      </c>
      <c r="H415" s="25"/>
      <c r="I415" s="25">
        <v>42487</v>
      </c>
      <c r="J415" s="1" t="s">
        <v>8</v>
      </c>
      <c r="K415" s="1">
        <v>4.04</v>
      </c>
      <c r="L415" s="1">
        <v>4.04</v>
      </c>
      <c r="M415" s="1">
        <f t="shared" si="46"/>
        <v>4.04</v>
      </c>
      <c r="N415" s="7">
        <f t="shared" si="48"/>
        <v>42501</v>
      </c>
      <c r="O415" s="1">
        <f>K415*55500</f>
        <v>224220</v>
      </c>
      <c r="P415" s="18">
        <f t="shared" si="47"/>
        <v>224220</v>
      </c>
      <c r="Q415" s="170">
        <v>42520</v>
      </c>
      <c r="R415" s="66">
        <v>42521</v>
      </c>
      <c r="S415" s="187">
        <f t="shared" si="49"/>
        <v>20</v>
      </c>
    </row>
    <row r="416" spans="1:20" s="3" customFormat="1" hidden="1" x14ac:dyDescent="0.25">
      <c r="A416" s="84">
        <f>+closed!A338+1</f>
        <v>357</v>
      </c>
      <c r="B416" s="24">
        <v>42492</v>
      </c>
      <c r="C416" s="1">
        <v>114</v>
      </c>
      <c r="D416" s="1">
        <v>3000029682</v>
      </c>
      <c r="E416" s="1" t="s">
        <v>30</v>
      </c>
      <c r="F416" s="1">
        <v>46</v>
      </c>
      <c r="G416" s="25">
        <v>42480</v>
      </c>
      <c r="H416" s="25"/>
      <c r="I416" s="25">
        <v>42489</v>
      </c>
      <c r="J416" s="1" t="s">
        <v>31</v>
      </c>
      <c r="K416" s="1">
        <v>27.75</v>
      </c>
      <c r="L416" s="1">
        <v>27.66</v>
      </c>
      <c r="M416" s="1">
        <f t="shared" si="46"/>
        <v>27.66</v>
      </c>
      <c r="N416" s="7">
        <f t="shared" si="48"/>
        <v>42503</v>
      </c>
      <c r="O416" s="1">
        <v>1440226</v>
      </c>
      <c r="P416" s="18">
        <f t="shared" si="47"/>
        <v>1435554.9967567567</v>
      </c>
      <c r="Q416" s="170">
        <v>42520</v>
      </c>
      <c r="R416" s="66">
        <v>42521</v>
      </c>
      <c r="S416" s="187">
        <f t="shared" si="49"/>
        <v>18</v>
      </c>
    </row>
    <row r="417" spans="1:19" s="3" customFormat="1" hidden="1" x14ac:dyDescent="0.25">
      <c r="A417" s="84">
        <f>+closed!A264+1</f>
        <v>372</v>
      </c>
      <c r="B417" s="24">
        <v>42496</v>
      </c>
      <c r="C417" s="1">
        <v>114</v>
      </c>
      <c r="D417" s="1">
        <v>3000029897</v>
      </c>
      <c r="E417" s="1" t="s">
        <v>30</v>
      </c>
      <c r="F417" s="1">
        <v>54</v>
      </c>
      <c r="G417" s="25">
        <v>42484</v>
      </c>
      <c r="H417" s="25"/>
      <c r="I417" s="25">
        <v>42490</v>
      </c>
      <c r="J417" s="1" t="s">
        <v>31</v>
      </c>
      <c r="K417" s="1">
        <v>29.67</v>
      </c>
      <c r="L417" s="1">
        <v>29.59</v>
      </c>
      <c r="M417" s="1">
        <f t="shared" si="46"/>
        <v>29.59</v>
      </c>
      <c r="N417" s="7">
        <f t="shared" si="48"/>
        <v>42504</v>
      </c>
      <c r="O417" s="1">
        <v>1513170</v>
      </c>
      <c r="P417" s="18">
        <f t="shared" si="47"/>
        <v>1509090</v>
      </c>
      <c r="Q417" s="170">
        <v>42520</v>
      </c>
      <c r="R417" s="66">
        <v>42521</v>
      </c>
      <c r="S417" s="187">
        <f t="shared" si="49"/>
        <v>17</v>
      </c>
    </row>
    <row r="418" spans="1:19" s="3" customFormat="1" hidden="1" x14ac:dyDescent="0.25">
      <c r="A418" s="84">
        <f>+closed!A364+1</f>
        <v>375</v>
      </c>
      <c r="B418" s="24">
        <v>42496</v>
      </c>
      <c r="C418" s="1">
        <v>114</v>
      </c>
      <c r="D418" s="1">
        <v>3000029818</v>
      </c>
      <c r="E418" s="1" t="s">
        <v>37</v>
      </c>
      <c r="F418" s="1">
        <v>22</v>
      </c>
      <c r="G418" s="25">
        <v>42462</v>
      </c>
      <c r="H418" s="25"/>
      <c r="I418" s="25">
        <v>42494</v>
      </c>
      <c r="J418" s="1" t="s">
        <v>16</v>
      </c>
      <c r="K418" s="1">
        <v>16.329999999999998</v>
      </c>
      <c r="L418" s="1">
        <v>16.309999999999999</v>
      </c>
      <c r="M418" s="1">
        <f t="shared" si="46"/>
        <v>16.309999999999999</v>
      </c>
      <c r="N418" s="7">
        <f t="shared" si="48"/>
        <v>42508</v>
      </c>
      <c r="O418" s="1">
        <v>881820</v>
      </c>
      <c r="P418" s="18">
        <f t="shared" si="47"/>
        <v>880740</v>
      </c>
      <c r="Q418" s="170">
        <v>42520</v>
      </c>
      <c r="R418" s="66">
        <v>42521</v>
      </c>
      <c r="S418" s="187">
        <f t="shared" si="49"/>
        <v>13</v>
      </c>
    </row>
    <row r="419" spans="1:19" s="3" customFormat="1" hidden="1" x14ac:dyDescent="0.25">
      <c r="A419" s="84">
        <f>+closed!A362+1</f>
        <v>377</v>
      </c>
      <c r="B419" s="24">
        <v>42500</v>
      </c>
      <c r="C419" s="1">
        <v>114</v>
      </c>
      <c r="D419" s="1">
        <v>3000030050</v>
      </c>
      <c r="E419" s="1" t="s">
        <v>44</v>
      </c>
      <c r="F419" s="1">
        <v>7</v>
      </c>
      <c r="G419" s="25">
        <v>42488</v>
      </c>
      <c r="H419" s="25"/>
      <c r="I419" s="25">
        <v>42495</v>
      </c>
      <c r="J419" s="1" t="s">
        <v>8</v>
      </c>
      <c r="K419" s="1">
        <v>19.899999999999999</v>
      </c>
      <c r="L419" s="1">
        <v>19.920000000000002</v>
      </c>
      <c r="M419" s="1">
        <f t="shared" si="46"/>
        <v>19.899999999999999</v>
      </c>
      <c r="N419" s="7">
        <f t="shared" si="48"/>
        <v>42509</v>
      </c>
      <c r="O419" s="1">
        <v>1084550</v>
      </c>
      <c r="P419" s="38">
        <f t="shared" si="47"/>
        <v>1084550</v>
      </c>
      <c r="Q419" s="170">
        <v>42520</v>
      </c>
      <c r="R419" s="66">
        <v>42521</v>
      </c>
      <c r="S419" s="187">
        <f t="shared" si="49"/>
        <v>12</v>
      </c>
    </row>
    <row r="420" spans="1:19" s="3" customFormat="1" hidden="1" x14ac:dyDescent="0.25">
      <c r="A420" s="84">
        <f>+closed!A419+1</f>
        <v>378</v>
      </c>
      <c r="B420" s="24">
        <v>42500</v>
      </c>
      <c r="C420" s="1">
        <v>114</v>
      </c>
      <c r="D420" s="1">
        <v>3000030050</v>
      </c>
      <c r="E420" s="1" t="s">
        <v>44</v>
      </c>
      <c r="F420" s="1">
        <v>8</v>
      </c>
      <c r="G420" s="25">
        <v>42488</v>
      </c>
      <c r="H420" s="25"/>
      <c r="I420" s="25">
        <v>42494</v>
      </c>
      <c r="J420" s="1" t="s">
        <v>8</v>
      </c>
      <c r="K420" s="1">
        <v>19.2</v>
      </c>
      <c r="L420" s="1">
        <v>19.22</v>
      </c>
      <c r="M420" s="1">
        <f t="shared" si="46"/>
        <v>19.2</v>
      </c>
      <c r="N420" s="7">
        <f t="shared" si="48"/>
        <v>42508</v>
      </c>
      <c r="O420" s="1">
        <v>1046400</v>
      </c>
      <c r="P420" s="38">
        <f t="shared" si="47"/>
        <v>1046400</v>
      </c>
      <c r="Q420" s="170">
        <v>42520</v>
      </c>
      <c r="R420" s="66">
        <v>42521</v>
      </c>
      <c r="S420" s="187">
        <f t="shared" si="49"/>
        <v>13</v>
      </c>
    </row>
    <row r="421" spans="1:19" s="3" customFormat="1" hidden="1" x14ac:dyDescent="0.25">
      <c r="A421" s="84">
        <f>+closed!A366+1</f>
        <v>396</v>
      </c>
      <c r="B421" s="24">
        <v>42506</v>
      </c>
      <c r="C421" s="1">
        <v>114</v>
      </c>
      <c r="D421" s="1">
        <v>3000028710</v>
      </c>
      <c r="E421" s="1" t="s">
        <v>39</v>
      </c>
      <c r="F421" s="39" t="s">
        <v>118</v>
      </c>
      <c r="G421" s="25">
        <v>42500</v>
      </c>
      <c r="H421" s="25"/>
      <c r="I421" s="25">
        <v>42494</v>
      </c>
      <c r="J421" s="1" t="s">
        <v>8</v>
      </c>
      <c r="K421" s="1"/>
      <c r="L421" s="1"/>
      <c r="M421" s="1">
        <f t="shared" si="46"/>
        <v>0</v>
      </c>
      <c r="N421" s="7">
        <f t="shared" si="48"/>
        <v>42508</v>
      </c>
      <c r="O421" s="1">
        <v>6408</v>
      </c>
      <c r="P421" s="38"/>
      <c r="Q421" s="170">
        <v>42520</v>
      </c>
      <c r="R421" s="66">
        <v>42521</v>
      </c>
      <c r="S421" s="187">
        <f t="shared" si="49"/>
        <v>13</v>
      </c>
    </row>
    <row r="422" spans="1:19" s="3" customFormat="1" hidden="1" x14ac:dyDescent="0.25">
      <c r="A422" s="84">
        <f>+closed!A421+1</f>
        <v>397</v>
      </c>
      <c r="B422" s="24">
        <v>42506</v>
      </c>
      <c r="C422" s="1">
        <v>114</v>
      </c>
      <c r="D422" s="1">
        <v>3000028710</v>
      </c>
      <c r="E422" s="1" t="s">
        <v>39</v>
      </c>
      <c r="F422" s="1">
        <v>6</v>
      </c>
      <c r="G422" s="25">
        <v>42489</v>
      </c>
      <c r="H422" s="25"/>
      <c r="I422" s="25">
        <v>42494</v>
      </c>
      <c r="J422" s="1" t="s">
        <v>8</v>
      </c>
      <c r="K422" s="1">
        <v>27.74</v>
      </c>
      <c r="L422" s="1">
        <v>27.62</v>
      </c>
      <c r="M422" s="1">
        <f t="shared" si="46"/>
        <v>27.62</v>
      </c>
      <c r="N422" s="7">
        <f t="shared" si="48"/>
        <v>42508</v>
      </c>
      <c r="O422" s="1">
        <v>1267718</v>
      </c>
      <c r="P422" s="38">
        <f>(+O422/K422*M422)-6408</f>
        <v>1255826</v>
      </c>
      <c r="Q422" s="170">
        <v>42520</v>
      </c>
      <c r="R422" s="66">
        <v>42521</v>
      </c>
      <c r="S422" s="187">
        <f t="shared" si="49"/>
        <v>13</v>
      </c>
    </row>
    <row r="423" spans="1:19" s="3" customFormat="1" hidden="1" x14ac:dyDescent="0.25">
      <c r="A423" s="84">
        <f>+closed!A460+1</f>
        <v>405</v>
      </c>
      <c r="B423" s="24">
        <v>42508</v>
      </c>
      <c r="C423" s="1">
        <v>114</v>
      </c>
      <c r="D423" s="1" t="s">
        <v>125</v>
      </c>
      <c r="E423" s="1" t="s">
        <v>27</v>
      </c>
      <c r="F423" s="20" t="s">
        <v>124</v>
      </c>
      <c r="G423" s="25">
        <v>42506</v>
      </c>
      <c r="H423" s="25"/>
      <c r="I423" s="25">
        <v>42496</v>
      </c>
      <c r="J423" s="1" t="s">
        <v>8</v>
      </c>
      <c r="K423" s="1"/>
      <c r="L423" s="1"/>
      <c r="M423" s="1"/>
      <c r="N423" s="7">
        <f t="shared" si="48"/>
        <v>42510</v>
      </c>
      <c r="O423" s="1">
        <v>21483</v>
      </c>
      <c r="P423" s="38"/>
      <c r="Q423" s="170">
        <v>42520</v>
      </c>
      <c r="R423" s="66">
        <v>42521</v>
      </c>
      <c r="S423" s="187">
        <f t="shared" si="49"/>
        <v>11</v>
      </c>
    </row>
    <row r="424" spans="1:19" s="3" customFormat="1" hidden="1" x14ac:dyDescent="0.25">
      <c r="A424" s="84">
        <f>+closed!A423+1</f>
        <v>406</v>
      </c>
      <c r="B424" s="24">
        <v>42508</v>
      </c>
      <c r="C424" s="1">
        <v>114</v>
      </c>
      <c r="D424" s="1">
        <v>3000029687</v>
      </c>
      <c r="E424" s="1" t="s">
        <v>27</v>
      </c>
      <c r="F424" s="16">
        <v>820</v>
      </c>
      <c r="G424" s="25">
        <v>42492</v>
      </c>
      <c r="H424" s="25"/>
      <c r="I424" s="25">
        <v>42496</v>
      </c>
      <c r="J424" s="1" t="s">
        <v>8</v>
      </c>
      <c r="K424" s="1">
        <v>14.56</v>
      </c>
      <c r="L424" s="1">
        <v>14.56</v>
      </c>
      <c r="M424" s="1">
        <f t="shared" ref="M424:M439" si="50">IF(L424&gt;K424,K424,L424)</f>
        <v>14.56</v>
      </c>
      <c r="N424" s="7">
        <f t="shared" si="48"/>
        <v>42510</v>
      </c>
      <c r="O424" s="1">
        <v>808080</v>
      </c>
      <c r="P424" s="38">
        <f>(+O424/K424*M424)-21483</f>
        <v>786597</v>
      </c>
      <c r="Q424" s="170">
        <v>42520</v>
      </c>
      <c r="R424" s="66">
        <v>42521</v>
      </c>
      <c r="S424" s="187">
        <f t="shared" si="49"/>
        <v>11</v>
      </c>
    </row>
    <row r="425" spans="1:19" s="3" customFormat="1" hidden="1" x14ac:dyDescent="0.25">
      <c r="A425" s="84">
        <f>+closed!A424+1</f>
        <v>407</v>
      </c>
      <c r="B425" s="24">
        <v>42508</v>
      </c>
      <c r="C425" s="1">
        <v>114</v>
      </c>
      <c r="D425" s="1">
        <v>3000030300</v>
      </c>
      <c r="E425" s="1" t="s">
        <v>27</v>
      </c>
      <c r="F425" s="16">
        <v>820</v>
      </c>
      <c r="G425" s="25">
        <v>42492</v>
      </c>
      <c r="H425" s="25"/>
      <c r="I425" s="25">
        <v>42496</v>
      </c>
      <c r="J425" s="1" t="s">
        <v>8</v>
      </c>
      <c r="K425" s="1">
        <v>17</v>
      </c>
      <c r="L425" s="1">
        <v>16.940000000000001</v>
      </c>
      <c r="M425" s="1">
        <f t="shared" si="50"/>
        <v>16.940000000000001</v>
      </c>
      <c r="N425" s="7">
        <f t="shared" si="48"/>
        <v>42510</v>
      </c>
      <c r="O425" s="1">
        <v>948600</v>
      </c>
      <c r="P425" s="38">
        <f>(+O425/K425*M425)</f>
        <v>945252.00000000012</v>
      </c>
      <c r="Q425" s="170">
        <v>42520</v>
      </c>
      <c r="R425" s="66">
        <v>42521</v>
      </c>
      <c r="S425" s="187">
        <f t="shared" si="49"/>
        <v>11</v>
      </c>
    </row>
    <row r="426" spans="1:19" s="3" customFormat="1" hidden="1" x14ac:dyDescent="0.25">
      <c r="A426" s="84">
        <f>+closed!A420+1</f>
        <v>379</v>
      </c>
      <c r="B426" s="24">
        <v>42501</v>
      </c>
      <c r="C426" s="1">
        <v>114</v>
      </c>
      <c r="D426" s="1">
        <v>3000028620</v>
      </c>
      <c r="E426" s="1" t="s">
        <v>49</v>
      </c>
      <c r="F426" s="1">
        <v>8</v>
      </c>
      <c r="G426" s="25">
        <v>42496</v>
      </c>
      <c r="H426" s="25"/>
      <c r="I426" s="25">
        <v>42498</v>
      </c>
      <c r="J426" s="1" t="s">
        <v>8</v>
      </c>
      <c r="K426" s="1">
        <v>28.024999999999999</v>
      </c>
      <c r="L426" s="1">
        <v>27.98</v>
      </c>
      <c r="M426" s="1">
        <f t="shared" si="50"/>
        <v>27.98</v>
      </c>
      <c r="N426" s="7">
        <f t="shared" si="48"/>
        <v>42512</v>
      </c>
      <c r="O426" s="1">
        <v>1294775</v>
      </c>
      <c r="P426" s="38">
        <f>(+O426/K426*M426)</f>
        <v>1292695.9678858162</v>
      </c>
      <c r="Q426" s="170">
        <v>42520</v>
      </c>
      <c r="R426" s="66">
        <v>42521</v>
      </c>
      <c r="S426" s="187">
        <f t="shared" si="49"/>
        <v>9</v>
      </c>
    </row>
    <row r="427" spans="1:19" s="3" customFormat="1" hidden="1" x14ac:dyDescent="0.25">
      <c r="A427" s="84">
        <f>+closed!A478+1</f>
        <v>449</v>
      </c>
      <c r="B427" s="24">
        <v>42515</v>
      </c>
      <c r="C427" s="1">
        <v>103</v>
      </c>
      <c r="D427" s="1">
        <v>3000029676</v>
      </c>
      <c r="E427" s="1" t="s">
        <v>77</v>
      </c>
      <c r="F427" s="5">
        <v>23</v>
      </c>
      <c r="G427" s="25">
        <v>42509</v>
      </c>
      <c r="H427" s="25"/>
      <c r="I427" s="25">
        <v>42512</v>
      </c>
      <c r="J427" s="1" t="s">
        <v>61</v>
      </c>
      <c r="K427" s="1">
        <v>19.84</v>
      </c>
      <c r="L427" s="1">
        <v>19.79</v>
      </c>
      <c r="M427" s="1">
        <f t="shared" si="50"/>
        <v>19.79</v>
      </c>
      <c r="N427" s="7">
        <f>+I427+7-1</f>
        <v>42518</v>
      </c>
      <c r="O427" s="1">
        <v>1706240</v>
      </c>
      <c r="P427" s="38">
        <f>(+O427/K427*M427)</f>
        <v>1701940</v>
      </c>
      <c r="Q427" s="170">
        <v>42520</v>
      </c>
      <c r="R427" s="66">
        <v>42521</v>
      </c>
      <c r="S427" s="187">
        <f t="shared" si="49"/>
        <v>3</v>
      </c>
    </row>
    <row r="428" spans="1:19" s="3" customFormat="1" hidden="1" x14ac:dyDescent="0.25">
      <c r="A428" s="84">
        <f>+closed!A369+1</f>
        <v>430</v>
      </c>
      <c r="B428" s="24">
        <v>42513</v>
      </c>
      <c r="C428" s="1">
        <v>114</v>
      </c>
      <c r="D428" s="1" t="s">
        <v>133</v>
      </c>
      <c r="E428" s="1" t="s">
        <v>60</v>
      </c>
      <c r="F428" s="39" t="s">
        <v>134</v>
      </c>
      <c r="G428" s="25">
        <v>42513</v>
      </c>
      <c r="H428" s="25"/>
      <c r="I428" s="25">
        <v>42495</v>
      </c>
      <c r="J428" s="1" t="s">
        <v>61</v>
      </c>
      <c r="K428" s="1"/>
      <c r="L428" s="1"/>
      <c r="M428" s="1">
        <f t="shared" si="50"/>
        <v>0</v>
      </c>
      <c r="N428" s="7">
        <f t="shared" ref="N428:N453" si="51">+I428+15-1</f>
        <v>42509</v>
      </c>
      <c r="O428" s="1">
        <v>22137</v>
      </c>
      <c r="P428" s="38"/>
      <c r="Q428" s="170">
        <v>42520</v>
      </c>
      <c r="R428" s="66">
        <v>42521</v>
      </c>
      <c r="S428" s="187">
        <f t="shared" si="49"/>
        <v>12</v>
      </c>
    </row>
    <row r="429" spans="1:19" s="3" customFormat="1" hidden="1" x14ac:dyDescent="0.25">
      <c r="A429" s="84">
        <f>+closed!A468+1</f>
        <v>388</v>
      </c>
      <c r="B429" s="24">
        <v>42503</v>
      </c>
      <c r="C429" s="1">
        <v>114</v>
      </c>
      <c r="D429" s="1">
        <v>3000029684</v>
      </c>
      <c r="E429" s="1" t="s">
        <v>60</v>
      </c>
      <c r="F429" s="1">
        <v>46</v>
      </c>
      <c r="G429" s="25">
        <v>42475</v>
      </c>
      <c r="H429" s="25"/>
      <c r="I429" s="25">
        <v>42495</v>
      </c>
      <c r="J429" s="1" t="s">
        <v>61</v>
      </c>
      <c r="K429" s="1">
        <v>18.64</v>
      </c>
      <c r="L429" s="1">
        <v>18.64</v>
      </c>
      <c r="M429" s="1">
        <f t="shared" si="50"/>
        <v>18.64</v>
      </c>
      <c r="N429" s="7">
        <f t="shared" si="51"/>
        <v>42509</v>
      </c>
      <c r="O429" s="1">
        <v>1612285</v>
      </c>
      <c r="P429" s="38">
        <f>(+O429/K429*M429)-22137</f>
        <v>1590148</v>
      </c>
      <c r="Q429" s="170">
        <v>42520</v>
      </c>
      <c r="R429" s="66">
        <v>42521</v>
      </c>
      <c r="S429" s="187">
        <f t="shared" si="49"/>
        <v>12</v>
      </c>
    </row>
    <row r="430" spans="1:19" s="3" customFormat="1" hidden="1" x14ac:dyDescent="0.25">
      <c r="A430" s="84">
        <f>+closed!A429+1</f>
        <v>389</v>
      </c>
      <c r="B430" s="24">
        <v>42503</v>
      </c>
      <c r="C430" s="1">
        <v>114</v>
      </c>
      <c r="D430" s="1">
        <v>3000029784</v>
      </c>
      <c r="E430" s="1" t="s">
        <v>60</v>
      </c>
      <c r="F430" s="1">
        <v>46</v>
      </c>
      <c r="G430" s="25">
        <v>42475</v>
      </c>
      <c r="H430" s="25"/>
      <c r="I430" s="25">
        <v>42495</v>
      </c>
      <c r="J430" s="1" t="s">
        <v>61</v>
      </c>
      <c r="K430" s="1">
        <v>5.28</v>
      </c>
      <c r="L430" s="1">
        <v>5.24</v>
      </c>
      <c r="M430" s="1">
        <f t="shared" si="50"/>
        <v>5.24</v>
      </c>
      <c r="N430" s="7">
        <f t="shared" si="51"/>
        <v>42509</v>
      </c>
      <c r="O430" s="1">
        <v>459337</v>
      </c>
      <c r="P430" s="38">
        <f>(+O430/K430*M430)</f>
        <v>455857.17424242425</v>
      </c>
      <c r="Q430" s="170">
        <v>42520</v>
      </c>
      <c r="R430" s="66">
        <v>42521</v>
      </c>
      <c r="S430" s="187">
        <f t="shared" si="49"/>
        <v>12</v>
      </c>
    </row>
    <row r="431" spans="1:19" s="3" customFormat="1" hidden="1" x14ac:dyDescent="0.25">
      <c r="A431" s="84">
        <f>+closed!A370+1</f>
        <v>391</v>
      </c>
      <c r="B431" s="24">
        <v>42503</v>
      </c>
      <c r="C431" s="1">
        <v>114</v>
      </c>
      <c r="D431" s="1">
        <v>3000029784</v>
      </c>
      <c r="E431" s="1" t="s">
        <v>60</v>
      </c>
      <c r="F431" s="1">
        <v>50</v>
      </c>
      <c r="G431" s="25">
        <v>42476</v>
      </c>
      <c r="H431" s="25"/>
      <c r="I431" s="25">
        <v>42495</v>
      </c>
      <c r="J431" s="1" t="s">
        <v>61</v>
      </c>
      <c r="K431" s="1">
        <v>19.965</v>
      </c>
      <c r="L431" s="1">
        <v>19.920000000000002</v>
      </c>
      <c r="M431" s="1">
        <f t="shared" si="50"/>
        <v>19.920000000000002</v>
      </c>
      <c r="N431" s="7">
        <f t="shared" si="51"/>
        <v>42509</v>
      </c>
      <c r="O431" s="1">
        <v>1736851</v>
      </c>
      <c r="P431" s="38">
        <f>(+O431/K431*M431)</f>
        <v>1732936.234410218</v>
      </c>
      <c r="Q431" s="170">
        <v>42520</v>
      </c>
      <c r="R431" s="66">
        <v>42521</v>
      </c>
      <c r="S431" s="187">
        <f t="shared" si="49"/>
        <v>12</v>
      </c>
    </row>
    <row r="432" spans="1:19" s="3" customFormat="1" hidden="1" x14ac:dyDescent="0.25">
      <c r="A432" s="84">
        <f>+closed!A434+1</f>
        <v>428</v>
      </c>
      <c r="B432" s="24">
        <v>42513</v>
      </c>
      <c r="C432" s="1">
        <v>114</v>
      </c>
      <c r="D432" s="1">
        <v>3000029784</v>
      </c>
      <c r="E432" s="1" t="s">
        <v>60</v>
      </c>
      <c r="F432" s="39" t="s">
        <v>131</v>
      </c>
      <c r="G432" s="25">
        <v>42513</v>
      </c>
      <c r="H432" s="25"/>
      <c r="I432" s="25">
        <v>42495</v>
      </c>
      <c r="J432" s="1" t="s">
        <v>61</v>
      </c>
      <c r="K432" s="1"/>
      <c r="L432" s="1"/>
      <c r="M432" s="1">
        <f t="shared" si="50"/>
        <v>0</v>
      </c>
      <c r="N432" s="7">
        <f t="shared" si="51"/>
        <v>42509</v>
      </c>
      <c r="O432" s="1">
        <v>25465</v>
      </c>
      <c r="P432" s="38"/>
      <c r="Q432" s="170">
        <v>42520</v>
      </c>
      <c r="R432" s="66">
        <v>42521</v>
      </c>
      <c r="S432" s="187">
        <f t="shared" si="49"/>
        <v>12</v>
      </c>
    </row>
    <row r="433" spans="1:20" s="3" customFormat="1" hidden="1" x14ac:dyDescent="0.25">
      <c r="A433" s="84">
        <f>+closed!A431+1</f>
        <v>392</v>
      </c>
      <c r="B433" s="24">
        <v>42503</v>
      </c>
      <c r="C433" s="1">
        <v>114</v>
      </c>
      <c r="D433" s="1">
        <v>3000029784</v>
      </c>
      <c r="E433" s="1" t="s">
        <v>60</v>
      </c>
      <c r="F433" s="1">
        <v>56</v>
      </c>
      <c r="G433" s="25">
        <v>42478</v>
      </c>
      <c r="H433" s="25"/>
      <c r="I433" s="25">
        <v>42495</v>
      </c>
      <c r="J433" s="1" t="s">
        <v>61</v>
      </c>
      <c r="K433" s="1">
        <v>20.215</v>
      </c>
      <c r="L433" s="1">
        <v>20.21</v>
      </c>
      <c r="M433" s="1">
        <f t="shared" si="50"/>
        <v>20.21</v>
      </c>
      <c r="N433" s="7">
        <f t="shared" si="51"/>
        <v>42509</v>
      </c>
      <c r="O433" s="1">
        <v>1758620</v>
      </c>
      <c r="P433" s="38">
        <f>(+O433/K433*M433)-25465</f>
        <v>1732720.021023992</v>
      </c>
      <c r="Q433" s="170">
        <v>42520</v>
      </c>
      <c r="R433" s="66">
        <v>42521</v>
      </c>
      <c r="S433" s="187">
        <f t="shared" si="49"/>
        <v>12</v>
      </c>
    </row>
    <row r="434" spans="1:20" s="3" customFormat="1" hidden="1" x14ac:dyDescent="0.25">
      <c r="A434" s="84">
        <f>+closed!A436+1</f>
        <v>427</v>
      </c>
      <c r="B434" s="24">
        <v>42513</v>
      </c>
      <c r="C434" s="1">
        <v>114</v>
      </c>
      <c r="D434" s="1" t="s">
        <v>129</v>
      </c>
      <c r="E434" s="1" t="s">
        <v>60</v>
      </c>
      <c r="F434" s="39" t="s">
        <v>130</v>
      </c>
      <c r="G434" s="25">
        <v>42513</v>
      </c>
      <c r="H434" s="25"/>
      <c r="I434" s="25">
        <v>42495</v>
      </c>
      <c r="J434" s="1" t="s">
        <v>61</v>
      </c>
      <c r="K434" s="1"/>
      <c r="L434" s="1"/>
      <c r="M434" s="1">
        <f t="shared" si="50"/>
        <v>0</v>
      </c>
      <c r="N434" s="7">
        <f t="shared" si="51"/>
        <v>42509</v>
      </c>
      <c r="O434" s="1">
        <v>23420</v>
      </c>
      <c r="P434" s="38"/>
      <c r="Q434" s="170">
        <v>42520</v>
      </c>
      <c r="R434" s="66">
        <v>42521</v>
      </c>
      <c r="S434" s="187">
        <f t="shared" si="49"/>
        <v>12</v>
      </c>
    </row>
    <row r="435" spans="1:20" s="3" customFormat="1" hidden="1" x14ac:dyDescent="0.25">
      <c r="A435" s="84">
        <f>+closed!A433+1</f>
        <v>393</v>
      </c>
      <c r="B435" s="24">
        <v>42503</v>
      </c>
      <c r="C435" s="1">
        <v>114</v>
      </c>
      <c r="D435" s="1" t="s">
        <v>116</v>
      </c>
      <c r="E435" s="1" t="s">
        <v>60</v>
      </c>
      <c r="F435" s="1">
        <v>57</v>
      </c>
      <c r="G435" s="25">
        <v>42478</v>
      </c>
      <c r="H435" s="25"/>
      <c r="I435" s="25">
        <v>42495</v>
      </c>
      <c r="J435" s="1" t="s">
        <v>61</v>
      </c>
      <c r="K435" s="1">
        <v>20.190000000000001</v>
      </c>
      <c r="L435" s="1">
        <v>20.190000000000001</v>
      </c>
      <c r="M435" s="1">
        <f t="shared" si="50"/>
        <v>20.190000000000001</v>
      </c>
      <c r="N435" s="7">
        <f t="shared" si="51"/>
        <v>42509</v>
      </c>
      <c r="O435" s="1">
        <v>1756445</v>
      </c>
      <c r="P435" s="38">
        <f>(+O435/K435*M435)-23420</f>
        <v>1733025</v>
      </c>
      <c r="Q435" s="170">
        <v>42520</v>
      </c>
      <c r="R435" s="66">
        <v>42521</v>
      </c>
      <c r="S435" s="187">
        <f t="shared" si="49"/>
        <v>12</v>
      </c>
      <c r="T435" s="15">
        <v>25609741</v>
      </c>
    </row>
    <row r="436" spans="1:20" s="3" customFormat="1" hidden="1" x14ac:dyDescent="0.25">
      <c r="A436" s="84">
        <f>+closed!A502+1</f>
        <v>426</v>
      </c>
      <c r="B436" s="24">
        <v>42513</v>
      </c>
      <c r="C436" s="1">
        <v>114</v>
      </c>
      <c r="D436" s="1">
        <v>3000029784</v>
      </c>
      <c r="E436" s="1" t="s">
        <v>60</v>
      </c>
      <c r="F436" s="39" t="s">
        <v>128</v>
      </c>
      <c r="G436" s="25">
        <v>42513</v>
      </c>
      <c r="H436" s="25"/>
      <c r="I436" s="25">
        <v>42495</v>
      </c>
      <c r="J436" s="1" t="s">
        <v>61</v>
      </c>
      <c r="K436" s="1"/>
      <c r="L436" s="1"/>
      <c r="M436" s="1">
        <f t="shared" si="50"/>
        <v>0</v>
      </c>
      <c r="N436" s="7">
        <f t="shared" si="51"/>
        <v>42509</v>
      </c>
      <c r="O436" s="1">
        <v>25531</v>
      </c>
      <c r="P436" s="36"/>
      <c r="Q436" s="170">
        <v>42521</v>
      </c>
      <c r="R436" s="66">
        <v>42523</v>
      </c>
      <c r="S436" s="187">
        <f t="shared" si="49"/>
        <v>14</v>
      </c>
    </row>
    <row r="437" spans="1:20" s="3" customFormat="1" hidden="1" x14ac:dyDescent="0.25">
      <c r="A437" s="84">
        <f>+closed!A435+1</f>
        <v>394</v>
      </c>
      <c r="B437" s="24">
        <v>42503</v>
      </c>
      <c r="C437" s="1">
        <v>114</v>
      </c>
      <c r="D437" s="1">
        <v>3000029784</v>
      </c>
      <c r="E437" s="1" t="s">
        <v>60</v>
      </c>
      <c r="F437" s="1">
        <v>58</v>
      </c>
      <c r="G437" s="25">
        <v>42478</v>
      </c>
      <c r="H437" s="25"/>
      <c r="I437" s="25">
        <v>42495</v>
      </c>
      <c r="J437" s="1" t="s">
        <v>61</v>
      </c>
      <c r="K437" s="1">
        <v>20.59</v>
      </c>
      <c r="L437" s="1">
        <v>20.61</v>
      </c>
      <c r="M437" s="1">
        <f t="shared" si="50"/>
        <v>20.59</v>
      </c>
      <c r="N437" s="7">
        <f t="shared" si="51"/>
        <v>42509</v>
      </c>
      <c r="O437" s="1">
        <v>1791243</v>
      </c>
      <c r="P437" s="38">
        <f>(+O437/K437*M437)-25531</f>
        <v>1765712.0000000002</v>
      </c>
      <c r="Q437" s="170">
        <v>42521</v>
      </c>
      <c r="R437" s="66">
        <v>42523</v>
      </c>
      <c r="S437" s="187">
        <f t="shared" si="49"/>
        <v>14</v>
      </c>
    </row>
    <row r="438" spans="1:20" s="3" customFormat="1" hidden="1" x14ac:dyDescent="0.25">
      <c r="A438" s="84">
        <f>+closed!A444+1</f>
        <v>386</v>
      </c>
      <c r="B438" s="24">
        <v>42502</v>
      </c>
      <c r="C438" s="1">
        <v>114</v>
      </c>
      <c r="D438" s="1">
        <v>3000029897</v>
      </c>
      <c r="E438" s="1" t="s">
        <v>30</v>
      </c>
      <c r="F438" s="1">
        <v>82</v>
      </c>
      <c r="G438" s="25">
        <v>42496</v>
      </c>
      <c r="H438" s="25"/>
      <c r="I438" s="25">
        <v>42500</v>
      </c>
      <c r="J438" s="1" t="s">
        <v>31</v>
      </c>
      <c r="K438" s="1">
        <v>29.07</v>
      </c>
      <c r="L438" s="1">
        <v>28.94</v>
      </c>
      <c r="M438" s="1">
        <f t="shared" si="50"/>
        <v>28.94</v>
      </c>
      <c r="N438" s="7">
        <f t="shared" si="51"/>
        <v>42514</v>
      </c>
      <c r="O438" s="1">
        <v>1482570</v>
      </c>
      <c r="P438" s="38">
        <f>(+O438/K438*M438)</f>
        <v>1475940</v>
      </c>
      <c r="Q438" s="170">
        <v>42521</v>
      </c>
      <c r="R438" s="66">
        <v>42523</v>
      </c>
      <c r="S438" s="187">
        <f t="shared" si="49"/>
        <v>9</v>
      </c>
    </row>
    <row r="439" spans="1:20" s="3" customFormat="1" hidden="1" x14ac:dyDescent="0.25">
      <c r="A439" s="84">
        <f>+closed!A442+1</f>
        <v>383</v>
      </c>
      <c r="B439" s="24">
        <v>42501</v>
      </c>
      <c r="C439" s="1">
        <v>114</v>
      </c>
      <c r="D439" s="1">
        <v>3000029897</v>
      </c>
      <c r="E439" s="1" t="s">
        <v>30</v>
      </c>
      <c r="F439" s="1">
        <v>63</v>
      </c>
      <c r="G439" s="25">
        <v>42488</v>
      </c>
      <c r="H439" s="25"/>
      <c r="I439" s="25">
        <v>42496</v>
      </c>
      <c r="J439" s="1" t="s">
        <v>31</v>
      </c>
      <c r="K439" s="1">
        <v>28.92</v>
      </c>
      <c r="L439" s="1">
        <v>28.84</v>
      </c>
      <c r="M439" s="1">
        <f t="shared" si="50"/>
        <v>28.84</v>
      </c>
      <c r="N439" s="7">
        <f t="shared" si="51"/>
        <v>42510</v>
      </c>
      <c r="O439" s="1">
        <v>1474920</v>
      </c>
      <c r="P439" s="38">
        <f>(+O439/K439*M439)</f>
        <v>1470840</v>
      </c>
      <c r="Q439" s="170">
        <v>42521</v>
      </c>
      <c r="R439" s="66">
        <v>42523</v>
      </c>
      <c r="S439" s="187">
        <f t="shared" si="49"/>
        <v>13</v>
      </c>
    </row>
    <row r="440" spans="1:20" s="3" customFormat="1" hidden="1" x14ac:dyDescent="0.25">
      <c r="A440" s="84">
        <f>+closed!A425+1</f>
        <v>408</v>
      </c>
      <c r="B440" s="24">
        <v>42508</v>
      </c>
      <c r="C440" s="1">
        <v>114</v>
      </c>
      <c r="D440" s="1">
        <v>3000029754</v>
      </c>
      <c r="E440" s="18" t="s">
        <v>17</v>
      </c>
      <c r="F440" s="39" t="s">
        <v>126</v>
      </c>
      <c r="G440" s="25">
        <v>42506</v>
      </c>
      <c r="H440" s="25"/>
      <c r="I440" s="25">
        <v>42496</v>
      </c>
      <c r="J440" s="1" t="s">
        <v>8</v>
      </c>
      <c r="K440" s="1"/>
      <c r="L440" s="1"/>
      <c r="M440" s="1"/>
      <c r="N440" s="7">
        <f t="shared" si="51"/>
        <v>42510</v>
      </c>
      <c r="O440" s="1">
        <v>35347</v>
      </c>
      <c r="P440" s="26"/>
      <c r="Q440" s="170">
        <v>42521</v>
      </c>
      <c r="R440" s="66">
        <v>42527</v>
      </c>
      <c r="S440" s="187">
        <f t="shared" si="49"/>
        <v>17</v>
      </c>
    </row>
    <row r="441" spans="1:20" s="3" customFormat="1" hidden="1" x14ac:dyDescent="0.25">
      <c r="A441" s="84">
        <f>+closed!A440+1</f>
        <v>409</v>
      </c>
      <c r="B441" s="24">
        <v>42508</v>
      </c>
      <c r="C441" s="1">
        <v>114</v>
      </c>
      <c r="D441" s="1">
        <v>3000029754</v>
      </c>
      <c r="E441" s="18" t="s">
        <v>17</v>
      </c>
      <c r="F441" s="1">
        <v>33</v>
      </c>
      <c r="G441" s="25">
        <v>42492</v>
      </c>
      <c r="H441" s="25"/>
      <c r="I441" s="25">
        <v>42496</v>
      </c>
      <c r="J441" s="1" t="s">
        <v>8</v>
      </c>
      <c r="K441" s="1">
        <v>27.36</v>
      </c>
      <c r="L441" s="1">
        <v>27.19</v>
      </c>
      <c r="M441" s="1">
        <f t="shared" ref="M441:M472" si="52">IF(L441&gt;K441,K441,L441)</f>
        <v>27.19</v>
      </c>
      <c r="N441" s="7">
        <f t="shared" si="51"/>
        <v>42510</v>
      </c>
      <c r="O441" s="1">
        <v>1518480</v>
      </c>
      <c r="P441" s="26">
        <f>(+O441/K441*M441)-35347</f>
        <v>1473698</v>
      </c>
      <c r="Q441" s="170">
        <v>42521</v>
      </c>
      <c r="R441" s="66">
        <v>42527</v>
      </c>
      <c r="S441" s="187">
        <f t="shared" si="49"/>
        <v>17</v>
      </c>
    </row>
    <row r="442" spans="1:20" s="3" customFormat="1" hidden="1" x14ac:dyDescent="0.25">
      <c r="A442" s="84">
        <f>+closed!A446+1</f>
        <v>382</v>
      </c>
      <c r="B442" s="24">
        <v>42501</v>
      </c>
      <c r="C442" s="1">
        <v>114</v>
      </c>
      <c r="D442" s="1">
        <v>3000028259</v>
      </c>
      <c r="E442" s="1" t="s">
        <v>15</v>
      </c>
      <c r="F442" s="1">
        <v>3028</v>
      </c>
      <c r="G442" s="25">
        <v>42495</v>
      </c>
      <c r="H442" s="25"/>
      <c r="I442" s="25">
        <v>42497</v>
      </c>
      <c r="J442" s="1" t="s">
        <v>8</v>
      </c>
      <c r="K442" s="1">
        <v>29.12</v>
      </c>
      <c r="L442" s="1">
        <v>28.95</v>
      </c>
      <c r="M442" s="1">
        <f t="shared" si="52"/>
        <v>28.95</v>
      </c>
      <c r="N442" s="7">
        <f t="shared" si="51"/>
        <v>42511</v>
      </c>
      <c r="O442" s="1">
        <v>1307488</v>
      </c>
      <c r="P442" s="38">
        <f t="shared" ref="P442:P449" si="53">(+O442/K442*M442)</f>
        <v>1299855</v>
      </c>
      <c r="Q442" s="170">
        <v>42521</v>
      </c>
      <c r="R442" s="66">
        <v>42523</v>
      </c>
      <c r="S442" s="187">
        <f t="shared" si="49"/>
        <v>12</v>
      </c>
    </row>
    <row r="443" spans="1:20" s="3" customFormat="1" hidden="1" x14ac:dyDescent="0.25">
      <c r="A443" s="84">
        <f>+closed!A439+1</f>
        <v>384</v>
      </c>
      <c r="B443" s="24">
        <v>42502</v>
      </c>
      <c r="C443" s="1">
        <v>114</v>
      </c>
      <c r="D443" s="1">
        <v>3000028259</v>
      </c>
      <c r="E443" s="1" t="s">
        <v>15</v>
      </c>
      <c r="F443" s="17">
        <v>3029</v>
      </c>
      <c r="G443" s="25">
        <v>42496</v>
      </c>
      <c r="H443" s="25"/>
      <c r="I443" s="25">
        <v>42500</v>
      </c>
      <c r="J443" s="1" t="s">
        <v>8</v>
      </c>
      <c r="K443" s="1">
        <v>13.06</v>
      </c>
      <c r="L443" s="1">
        <v>13.06</v>
      </c>
      <c r="M443" s="1">
        <f t="shared" si="52"/>
        <v>13.06</v>
      </c>
      <c r="N443" s="7">
        <f t="shared" si="51"/>
        <v>42514</v>
      </c>
      <c r="O443" s="1">
        <v>586394</v>
      </c>
      <c r="P443" s="38">
        <f t="shared" si="53"/>
        <v>586394</v>
      </c>
      <c r="Q443" s="170">
        <v>42521</v>
      </c>
      <c r="R443" s="66">
        <v>42523</v>
      </c>
      <c r="S443" s="187">
        <f t="shared" si="49"/>
        <v>9</v>
      </c>
    </row>
    <row r="444" spans="1:20" s="3" customFormat="1" hidden="1" x14ac:dyDescent="0.25">
      <c r="A444" s="84">
        <f>+closed!A443+1</f>
        <v>385</v>
      </c>
      <c r="B444" s="24">
        <v>42502</v>
      </c>
      <c r="C444" s="1">
        <v>114</v>
      </c>
      <c r="D444" s="1">
        <v>3000028667</v>
      </c>
      <c r="E444" s="1" t="s">
        <v>15</v>
      </c>
      <c r="F444" s="17">
        <v>3029</v>
      </c>
      <c r="G444" s="25">
        <v>42496</v>
      </c>
      <c r="H444" s="25"/>
      <c r="I444" s="25">
        <v>42500</v>
      </c>
      <c r="J444" s="1" t="s">
        <v>8</v>
      </c>
      <c r="K444" s="1">
        <v>18</v>
      </c>
      <c r="L444" s="1">
        <v>17.940000000000001</v>
      </c>
      <c r="M444" s="1">
        <f t="shared" si="52"/>
        <v>17.940000000000001</v>
      </c>
      <c r="N444" s="7">
        <f t="shared" si="51"/>
        <v>42514</v>
      </c>
      <c r="O444" s="1">
        <v>831600</v>
      </c>
      <c r="P444" s="38">
        <f t="shared" si="53"/>
        <v>828828.00000000012</v>
      </c>
      <c r="Q444" s="170">
        <v>42521</v>
      </c>
      <c r="R444" s="66">
        <v>42523</v>
      </c>
      <c r="S444" s="187">
        <f t="shared" si="49"/>
        <v>9</v>
      </c>
    </row>
    <row r="445" spans="1:20" s="3" customFormat="1" hidden="1" x14ac:dyDescent="0.25">
      <c r="A445" s="84">
        <f>+closed!A426+1</f>
        <v>380</v>
      </c>
      <c r="B445" s="24">
        <v>42501</v>
      </c>
      <c r="C445" s="1">
        <v>114</v>
      </c>
      <c r="D445" s="1">
        <v>3000030029</v>
      </c>
      <c r="E445" s="1" t="s">
        <v>27</v>
      </c>
      <c r="F445" s="59">
        <v>825</v>
      </c>
      <c r="G445" s="25">
        <v>42496</v>
      </c>
      <c r="H445" s="25"/>
      <c r="I445" s="25">
        <v>42499</v>
      </c>
      <c r="J445" s="1" t="s">
        <v>16</v>
      </c>
      <c r="K445" s="1">
        <v>15.04</v>
      </c>
      <c r="L445" s="1">
        <v>15.04</v>
      </c>
      <c r="M445" s="1">
        <f t="shared" si="52"/>
        <v>15.04</v>
      </c>
      <c r="N445" s="7">
        <f t="shared" si="51"/>
        <v>42513</v>
      </c>
      <c r="O445" s="1">
        <v>721920</v>
      </c>
      <c r="P445" s="38">
        <f t="shared" si="53"/>
        <v>721920</v>
      </c>
      <c r="Q445" s="170">
        <v>42521</v>
      </c>
      <c r="R445" s="66">
        <v>42523</v>
      </c>
      <c r="S445" s="187">
        <f t="shared" si="49"/>
        <v>10</v>
      </c>
    </row>
    <row r="446" spans="1:20" s="3" customFormat="1" hidden="1" x14ac:dyDescent="0.25">
      <c r="A446" s="84">
        <f>+closed!A445+1</f>
        <v>381</v>
      </c>
      <c r="B446" s="24">
        <v>42501</v>
      </c>
      <c r="C446" s="1">
        <v>114</v>
      </c>
      <c r="D446" s="1">
        <v>3000030407</v>
      </c>
      <c r="E446" s="1" t="s">
        <v>27</v>
      </c>
      <c r="F446" s="59">
        <v>825</v>
      </c>
      <c r="G446" s="25">
        <v>42496</v>
      </c>
      <c r="H446" s="25"/>
      <c r="I446" s="25">
        <v>42499</v>
      </c>
      <c r="J446" s="1" t="s">
        <v>16</v>
      </c>
      <c r="K446" s="1">
        <v>5</v>
      </c>
      <c r="L446" s="1">
        <v>4.9000000000000004</v>
      </c>
      <c r="M446" s="1">
        <f t="shared" si="52"/>
        <v>4.9000000000000004</v>
      </c>
      <c r="N446" s="7">
        <f t="shared" si="51"/>
        <v>42513</v>
      </c>
      <c r="O446" s="1">
        <v>260000</v>
      </c>
      <c r="P446" s="38">
        <f t="shared" si="53"/>
        <v>254800.00000000003</v>
      </c>
      <c r="Q446" s="170">
        <v>42521</v>
      </c>
      <c r="R446" s="66">
        <v>42523</v>
      </c>
      <c r="S446" s="187">
        <f t="shared" si="49"/>
        <v>10</v>
      </c>
    </row>
    <row r="447" spans="1:20" s="3" customFormat="1" hidden="1" x14ac:dyDescent="0.25">
      <c r="A447" s="84">
        <f>+closed!A441+1</f>
        <v>410</v>
      </c>
      <c r="B447" s="24">
        <v>42509</v>
      </c>
      <c r="C447" s="1">
        <v>114</v>
      </c>
      <c r="D447" s="1">
        <v>3000030300</v>
      </c>
      <c r="E447" s="1" t="s">
        <v>27</v>
      </c>
      <c r="F447" s="1">
        <v>826</v>
      </c>
      <c r="G447" s="25">
        <v>42499</v>
      </c>
      <c r="H447" s="25"/>
      <c r="I447" s="25">
        <v>42502</v>
      </c>
      <c r="J447" s="1" t="s">
        <v>8</v>
      </c>
      <c r="K447" s="1">
        <v>27.22</v>
      </c>
      <c r="L447" s="1">
        <v>27.13</v>
      </c>
      <c r="M447" s="1">
        <f t="shared" si="52"/>
        <v>27.13</v>
      </c>
      <c r="N447" s="7">
        <f t="shared" si="51"/>
        <v>42516</v>
      </c>
      <c r="O447" s="1">
        <v>1518876</v>
      </c>
      <c r="P447" s="38">
        <f t="shared" si="53"/>
        <v>1513854</v>
      </c>
      <c r="Q447" s="170">
        <v>42521</v>
      </c>
      <c r="R447" s="66">
        <v>42523</v>
      </c>
      <c r="S447" s="187">
        <f t="shared" si="49"/>
        <v>7</v>
      </c>
    </row>
    <row r="448" spans="1:20" s="3" customFormat="1" hidden="1" x14ac:dyDescent="0.25">
      <c r="A448" s="84">
        <f>+closed!A449+1</f>
        <v>415</v>
      </c>
      <c r="B448" s="24">
        <v>42509</v>
      </c>
      <c r="C448" s="1">
        <v>114</v>
      </c>
      <c r="D448" s="1">
        <v>3000028710</v>
      </c>
      <c r="E448" s="1" t="s">
        <v>39</v>
      </c>
      <c r="F448" s="1">
        <v>10</v>
      </c>
      <c r="G448" s="25">
        <v>42499</v>
      </c>
      <c r="H448" s="25"/>
      <c r="I448" s="25">
        <v>42501</v>
      </c>
      <c r="J448" s="1" t="s">
        <v>8</v>
      </c>
      <c r="K448" s="1">
        <v>33.14</v>
      </c>
      <c r="L448" s="1">
        <v>32.99</v>
      </c>
      <c r="M448" s="1">
        <f t="shared" si="52"/>
        <v>32.99</v>
      </c>
      <c r="N448" s="7">
        <f t="shared" si="51"/>
        <v>42515</v>
      </c>
      <c r="O448" s="1">
        <v>1514498</v>
      </c>
      <c r="P448" s="38">
        <f t="shared" si="53"/>
        <v>1507643</v>
      </c>
      <c r="Q448" s="170">
        <v>42521</v>
      </c>
      <c r="R448" s="66">
        <v>42523</v>
      </c>
      <c r="S448" s="187">
        <f t="shared" si="49"/>
        <v>8</v>
      </c>
    </row>
    <row r="449" spans="1:20" s="3" customFormat="1" hidden="1" x14ac:dyDescent="0.25">
      <c r="A449" s="84">
        <f>+closed!A471+1</f>
        <v>414</v>
      </c>
      <c r="B449" s="24">
        <v>42509</v>
      </c>
      <c r="C449" s="1">
        <v>114</v>
      </c>
      <c r="D449" s="1">
        <v>3000028869</v>
      </c>
      <c r="E449" s="1" t="s">
        <v>29</v>
      </c>
      <c r="F449" s="1">
        <v>49</v>
      </c>
      <c r="G449" s="25">
        <v>42499</v>
      </c>
      <c r="H449" s="25"/>
      <c r="I449" s="25">
        <v>42502</v>
      </c>
      <c r="J449" s="1" t="s">
        <v>8</v>
      </c>
      <c r="K449" s="1">
        <v>29.78</v>
      </c>
      <c r="L449" s="1">
        <v>29.63</v>
      </c>
      <c r="M449" s="1">
        <f t="shared" si="52"/>
        <v>29.63</v>
      </c>
      <c r="N449" s="7">
        <f t="shared" si="51"/>
        <v>42516</v>
      </c>
      <c r="O449" s="1">
        <v>1354990</v>
      </c>
      <c r="P449" s="38">
        <f t="shared" si="53"/>
        <v>1348165</v>
      </c>
      <c r="Q449" s="170">
        <v>42521</v>
      </c>
      <c r="R449" s="66">
        <v>42523</v>
      </c>
      <c r="S449" s="187">
        <f t="shared" si="49"/>
        <v>7</v>
      </c>
    </row>
    <row r="450" spans="1:20" s="3" customFormat="1" hidden="1" x14ac:dyDescent="0.25">
      <c r="A450" s="84">
        <f>+closed!A508+1</f>
        <v>440</v>
      </c>
      <c r="B450" s="24">
        <v>42514</v>
      </c>
      <c r="C450" s="1">
        <v>114</v>
      </c>
      <c r="D450" s="1" t="s">
        <v>139</v>
      </c>
      <c r="E450" s="1" t="s">
        <v>49</v>
      </c>
      <c r="F450" s="20" t="s">
        <v>140</v>
      </c>
      <c r="G450" s="25">
        <v>42513</v>
      </c>
      <c r="H450" s="25"/>
      <c r="I450" s="25">
        <v>42503</v>
      </c>
      <c r="J450" s="1" t="s">
        <v>8</v>
      </c>
      <c r="K450" s="1"/>
      <c r="L450" s="1"/>
      <c r="M450" s="1">
        <f t="shared" si="52"/>
        <v>0</v>
      </c>
      <c r="N450" s="7">
        <f t="shared" si="51"/>
        <v>42517</v>
      </c>
      <c r="O450" s="1">
        <v>73100</v>
      </c>
      <c r="P450" s="38"/>
      <c r="Q450" s="170">
        <v>42521</v>
      </c>
      <c r="R450" s="66">
        <v>42523</v>
      </c>
      <c r="S450" s="187">
        <f t="shared" si="49"/>
        <v>6</v>
      </c>
    </row>
    <row r="451" spans="1:20" s="3" customFormat="1" hidden="1" x14ac:dyDescent="0.25">
      <c r="A451" s="84">
        <f>+closed!A450+1</f>
        <v>441</v>
      </c>
      <c r="B451" s="24">
        <v>42514</v>
      </c>
      <c r="C451" s="1">
        <v>114</v>
      </c>
      <c r="D451" s="1">
        <v>3000028620</v>
      </c>
      <c r="E451" s="1" t="s">
        <v>49</v>
      </c>
      <c r="F451" s="16">
        <v>12</v>
      </c>
      <c r="G451" s="25">
        <v>42499</v>
      </c>
      <c r="H451" s="25"/>
      <c r="I451" s="25">
        <v>42503</v>
      </c>
      <c r="J451" s="1" t="s">
        <v>8</v>
      </c>
      <c r="K451" s="1">
        <v>25.425000000000001</v>
      </c>
      <c r="L451" s="1">
        <v>25.24</v>
      </c>
      <c r="M451" s="1">
        <f t="shared" si="52"/>
        <v>25.24</v>
      </c>
      <c r="N451" s="7">
        <f t="shared" si="51"/>
        <v>42517</v>
      </c>
      <c r="O451" s="1">
        <v>1174635</v>
      </c>
      <c r="P451" s="38">
        <f>(+O451/K451*M451)-73100</f>
        <v>1092988</v>
      </c>
      <c r="Q451" s="170">
        <v>42521</v>
      </c>
      <c r="R451" s="66">
        <v>42523</v>
      </c>
      <c r="S451" s="187">
        <f t="shared" si="49"/>
        <v>6</v>
      </c>
    </row>
    <row r="452" spans="1:20" s="3" customFormat="1" hidden="1" x14ac:dyDescent="0.25">
      <c r="A452" s="84">
        <f>+closed!A451+1</f>
        <v>442</v>
      </c>
      <c r="B452" s="24">
        <v>42514</v>
      </c>
      <c r="C452" s="1">
        <v>114</v>
      </c>
      <c r="D452" s="1">
        <v>3000028866</v>
      </c>
      <c r="E452" s="1" t="s">
        <v>49</v>
      </c>
      <c r="F452" s="16">
        <v>13</v>
      </c>
      <c r="G452" s="25">
        <v>42499</v>
      </c>
      <c r="H452" s="25"/>
      <c r="I452" s="25">
        <v>42503</v>
      </c>
      <c r="J452" s="1" t="s">
        <v>8</v>
      </c>
      <c r="K452" s="1">
        <v>4</v>
      </c>
      <c r="L452" s="1">
        <v>4</v>
      </c>
      <c r="M452" s="1">
        <f t="shared" si="52"/>
        <v>4</v>
      </c>
      <c r="N452" s="7">
        <f t="shared" si="51"/>
        <v>42517</v>
      </c>
      <c r="O452" s="1">
        <v>182000</v>
      </c>
      <c r="P452" s="38">
        <f t="shared" ref="P452:P463" si="54">(+O452/K452*M452)</f>
        <v>182000</v>
      </c>
      <c r="Q452" s="170">
        <v>42521</v>
      </c>
      <c r="R452" s="66">
        <v>42523</v>
      </c>
      <c r="S452" s="187">
        <f t="shared" si="49"/>
        <v>6</v>
      </c>
    </row>
    <row r="453" spans="1:20" s="3" customFormat="1" hidden="1" x14ac:dyDescent="0.25">
      <c r="A453" s="84">
        <f>+closed!A465+1</f>
        <v>501</v>
      </c>
      <c r="B453" s="24">
        <v>42521</v>
      </c>
      <c r="C453" s="1">
        <v>114</v>
      </c>
      <c r="D453" s="1">
        <v>3000030459</v>
      </c>
      <c r="E453" s="8" t="s">
        <v>152</v>
      </c>
      <c r="F453" s="1">
        <v>1622010220</v>
      </c>
      <c r="G453" s="25">
        <v>42503</v>
      </c>
      <c r="H453" s="25"/>
      <c r="I453" s="25">
        <v>42503</v>
      </c>
      <c r="J453" s="1" t="s">
        <v>153</v>
      </c>
      <c r="K453" s="1">
        <v>0.6</v>
      </c>
      <c r="L453" s="1">
        <v>0.6</v>
      </c>
      <c r="M453" s="1">
        <f t="shared" si="52"/>
        <v>0.6</v>
      </c>
      <c r="N453" s="7">
        <f t="shared" si="51"/>
        <v>42517</v>
      </c>
      <c r="O453" s="1">
        <v>56304</v>
      </c>
      <c r="P453" s="26">
        <f t="shared" si="54"/>
        <v>56304</v>
      </c>
      <c r="Q453" s="170">
        <v>42521</v>
      </c>
      <c r="R453" s="66">
        <v>42527</v>
      </c>
      <c r="S453" s="187">
        <f t="shared" si="49"/>
        <v>10</v>
      </c>
      <c r="T453" s="15">
        <v>15578941</v>
      </c>
    </row>
    <row r="454" spans="1:20" s="3" customFormat="1" hidden="1" x14ac:dyDescent="0.25">
      <c r="A454" s="55">
        <f>+closed!A406+1</f>
        <v>104</v>
      </c>
      <c r="B454" s="54">
        <v>42436</v>
      </c>
      <c r="C454" s="55">
        <v>103</v>
      </c>
      <c r="D454" s="55">
        <v>3000027769</v>
      </c>
      <c r="E454" s="55" t="s">
        <v>23</v>
      </c>
      <c r="F454" s="55">
        <v>2602046721</v>
      </c>
      <c r="G454" s="56">
        <v>42423</v>
      </c>
      <c r="H454" s="56"/>
      <c r="I454" s="56">
        <v>42426</v>
      </c>
      <c r="J454" s="55" t="s">
        <v>43</v>
      </c>
      <c r="K454" s="55">
        <v>25.82</v>
      </c>
      <c r="L454" s="55">
        <v>25.82</v>
      </c>
      <c r="M454" s="55">
        <f t="shared" si="52"/>
        <v>25.82</v>
      </c>
      <c r="N454" s="23"/>
      <c r="O454" s="55">
        <v>1360538</v>
      </c>
      <c r="P454" s="57">
        <f t="shared" si="54"/>
        <v>1360538</v>
      </c>
      <c r="Q454" s="174">
        <v>42522</v>
      </c>
      <c r="R454" s="23">
        <v>42522</v>
      </c>
    </row>
    <row r="455" spans="1:20" s="3" customFormat="1" hidden="1" x14ac:dyDescent="0.25">
      <c r="A455" s="55">
        <f>+closed!A454+1</f>
        <v>105</v>
      </c>
      <c r="B455" s="54">
        <v>42436</v>
      </c>
      <c r="C455" s="55">
        <v>103</v>
      </c>
      <c r="D455" s="55">
        <v>3000027769</v>
      </c>
      <c r="E455" s="55" t="s">
        <v>23</v>
      </c>
      <c r="F455" s="55">
        <v>2602046690</v>
      </c>
      <c r="G455" s="56">
        <v>42423</v>
      </c>
      <c r="H455" s="56"/>
      <c r="I455" s="56">
        <v>42425</v>
      </c>
      <c r="J455" s="55" t="s">
        <v>43</v>
      </c>
      <c r="K455" s="55">
        <v>25.12</v>
      </c>
      <c r="L455" s="55">
        <v>25.14</v>
      </c>
      <c r="M455" s="55">
        <f t="shared" si="52"/>
        <v>25.12</v>
      </c>
      <c r="N455" s="23"/>
      <c r="O455" s="55">
        <v>1323653</v>
      </c>
      <c r="P455" s="57">
        <f t="shared" si="54"/>
        <v>1323653</v>
      </c>
      <c r="Q455" s="174">
        <v>42522</v>
      </c>
      <c r="R455" s="23">
        <v>42522</v>
      </c>
    </row>
    <row r="456" spans="1:20" s="3" customFormat="1" hidden="1" x14ac:dyDescent="0.25">
      <c r="A456" s="55">
        <f>+closed!A455+1</f>
        <v>106</v>
      </c>
      <c r="B456" s="54">
        <v>42436</v>
      </c>
      <c r="C456" s="55">
        <v>103</v>
      </c>
      <c r="D456" s="55">
        <v>3000027769</v>
      </c>
      <c r="E456" s="55" t="s">
        <v>23</v>
      </c>
      <c r="F456" s="55">
        <v>2602046689</v>
      </c>
      <c r="G456" s="56">
        <v>42423</v>
      </c>
      <c r="H456" s="56"/>
      <c r="I456" s="56">
        <v>42425</v>
      </c>
      <c r="J456" s="55" t="s">
        <v>43</v>
      </c>
      <c r="K456" s="55">
        <v>25.89</v>
      </c>
      <c r="L456" s="55">
        <v>25.91</v>
      </c>
      <c r="M456" s="55">
        <f t="shared" si="52"/>
        <v>25.89</v>
      </c>
      <c r="N456" s="23"/>
      <c r="O456" s="55">
        <v>1364228</v>
      </c>
      <c r="P456" s="57">
        <f t="shared" si="54"/>
        <v>1364228</v>
      </c>
      <c r="Q456" s="174">
        <v>42522</v>
      </c>
      <c r="R456" s="23">
        <v>42522</v>
      </c>
    </row>
    <row r="457" spans="1:20" s="3" customFormat="1" hidden="1" x14ac:dyDescent="0.25">
      <c r="A457" s="55">
        <f>+closed!A456+1</f>
        <v>107</v>
      </c>
      <c r="B457" s="54">
        <v>42436</v>
      </c>
      <c r="C457" s="55">
        <v>103</v>
      </c>
      <c r="D457" s="55">
        <v>3000027769</v>
      </c>
      <c r="E457" s="55" t="s">
        <v>23</v>
      </c>
      <c r="F457" s="55">
        <v>2602046669</v>
      </c>
      <c r="G457" s="56">
        <v>42422</v>
      </c>
      <c r="H457" s="56"/>
      <c r="I457" s="56">
        <v>42424</v>
      </c>
      <c r="J457" s="55" t="s">
        <v>43</v>
      </c>
      <c r="K457" s="55">
        <v>25.48</v>
      </c>
      <c r="L457" s="55">
        <v>25.48</v>
      </c>
      <c r="M457" s="55">
        <f t="shared" si="52"/>
        <v>25.48</v>
      </c>
      <c r="N457" s="23"/>
      <c r="O457" s="55">
        <v>1342623</v>
      </c>
      <c r="P457" s="57">
        <f t="shared" si="54"/>
        <v>1342623</v>
      </c>
      <c r="Q457" s="174">
        <v>42522</v>
      </c>
      <c r="R457" s="23">
        <v>42522</v>
      </c>
    </row>
    <row r="458" spans="1:20" s="3" customFormat="1" hidden="1" x14ac:dyDescent="0.25">
      <c r="A458" s="55">
        <f>+closed!A457+1</f>
        <v>108</v>
      </c>
      <c r="B458" s="54">
        <v>42436</v>
      </c>
      <c r="C458" s="55">
        <v>103</v>
      </c>
      <c r="D458" s="55">
        <v>3000027769</v>
      </c>
      <c r="E458" s="55" t="s">
        <v>23</v>
      </c>
      <c r="F458" s="55">
        <v>2602046667</v>
      </c>
      <c r="G458" s="56">
        <v>42422</v>
      </c>
      <c r="H458" s="56"/>
      <c r="I458" s="56">
        <v>42424</v>
      </c>
      <c r="J458" s="55" t="s">
        <v>43</v>
      </c>
      <c r="K458" s="55">
        <v>25.49</v>
      </c>
      <c r="L458" s="55">
        <v>25.44</v>
      </c>
      <c r="M458" s="55">
        <f t="shared" si="52"/>
        <v>25.44</v>
      </c>
      <c r="N458" s="23"/>
      <c r="O458" s="55">
        <v>1343150</v>
      </c>
      <c r="P458" s="57">
        <f t="shared" si="54"/>
        <v>1340515.3393487644</v>
      </c>
      <c r="Q458" s="174">
        <v>42522</v>
      </c>
      <c r="R458" s="23">
        <v>42522</v>
      </c>
    </row>
    <row r="459" spans="1:20" s="3" customFormat="1" hidden="1" x14ac:dyDescent="0.25">
      <c r="A459" s="55">
        <f>+closed!A458+1</f>
        <v>109</v>
      </c>
      <c r="B459" s="54">
        <v>42436</v>
      </c>
      <c r="C459" s="55">
        <v>103</v>
      </c>
      <c r="D459" s="55">
        <v>3000027769</v>
      </c>
      <c r="E459" s="55" t="s">
        <v>23</v>
      </c>
      <c r="F459" s="55">
        <v>2602046666</v>
      </c>
      <c r="G459" s="56">
        <v>42422</v>
      </c>
      <c r="H459" s="56"/>
      <c r="I459" s="56">
        <v>42424</v>
      </c>
      <c r="J459" s="55" t="s">
        <v>43</v>
      </c>
      <c r="K459" s="55">
        <v>25.71</v>
      </c>
      <c r="L459" s="55">
        <v>25.72</v>
      </c>
      <c r="M459" s="55">
        <f t="shared" si="52"/>
        <v>25.71</v>
      </c>
      <c r="N459" s="23"/>
      <c r="O459" s="55">
        <v>1354742</v>
      </c>
      <c r="P459" s="57">
        <f t="shared" si="54"/>
        <v>1354742</v>
      </c>
      <c r="Q459" s="174">
        <v>42522</v>
      </c>
      <c r="R459" s="23">
        <v>42522</v>
      </c>
      <c r="T459" s="15">
        <v>8086299</v>
      </c>
    </row>
    <row r="460" spans="1:20" s="3" customFormat="1" hidden="1" x14ac:dyDescent="0.25">
      <c r="A460" s="84">
        <f>+closed!A352+1</f>
        <v>404</v>
      </c>
      <c r="B460" s="24">
        <v>42508</v>
      </c>
      <c r="C460" s="1">
        <v>114</v>
      </c>
      <c r="D460" s="1">
        <v>3000028664</v>
      </c>
      <c r="E460" s="1" t="s">
        <v>29</v>
      </c>
      <c r="F460" s="16">
        <v>25</v>
      </c>
      <c r="G460" s="25">
        <v>42478</v>
      </c>
      <c r="H460" s="25"/>
      <c r="I460" s="25">
        <v>115535</v>
      </c>
      <c r="J460" s="1" t="s">
        <v>8</v>
      </c>
      <c r="K460" s="1">
        <v>14.57</v>
      </c>
      <c r="L460" s="1">
        <v>14.61</v>
      </c>
      <c r="M460" s="1">
        <f t="shared" si="52"/>
        <v>14.57</v>
      </c>
      <c r="N460" s="7">
        <f t="shared" ref="N460:N478" si="55">+I460+15-1</f>
        <v>115549</v>
      </c>
      <c r="O460" s="1">
        <v>673134</v>
      </c>
      <c r="P460" s="38">
        <f t="shared" si="54"/>
        <v>673134</v>
      </c>
      <c r="Q460" s="170">
        <v>42527</v>
      </c>
      <c r="R460" s="66">
        <v>42528</v>
      </c>
      <c r="S460" s="187"/>
    </row>
    <row r="461" spans="1:20" s="3" customFormat="1" hidden="1" x14ac:dyDescent="0.25">
      <c r="A461" s="84">
        <f>+closed!A367+1</f>
        <v>433</v>
      </c>
      <c r="B461" s="24">
        <v>42514</v>
      </c>
      <c r="C461" s="1">
        <v>114</v>
      </c>
      <c r="D461" s="1">
        <v>3000028869</v>
      </c>
      <c r="E461" s="1" t="s">
        <v>29</v>
      </c>
      <c r="F461" s="1">
        <v>59</v>
      </c>
      <c r="G461" s="25">
        <v>42506</v>
      </c>
      <c r="H461" s="25"/>
      <c r="I461" s="25">
        <v>42509</v>
      </c>
      <c r="J461" s="1" t="s">
        <v>8</v>
      </c>
      <c r="K461" s="1">
        <v>23.58</v>
      </c>
      <c r="L461" s="1">
        <v>23.51</v>
      </c>
      <c r="M461" s="1">
        <f t="shared" si="52"/>
        <v>23.51</v>
      </c>
      <c r="N461" s="7">
        <f t="shared" si="55"/>
        <v>42523</v>
      </c>
      <c r="O461" s="1">
        <v>1072890</v>
      </c>
      <c r="P461" s="38">
        <f t="shared" si="54"/>
        <v>1069705</v>
      </c>
      <c r="Q461" s="170">
        <v>42527</v>
      </c>
      <c r="R461" s="66">
        <v>42528</v>
      </c>
      <c r="S461" s="187">
        <f t="shared" ref="S461:S492" si="56">R461-N461</f>
        <v>5</v>
      </c>
    </row>
    <row r="462" spans="1:20" s="3" customFormat="1" hidden="1" x14ac:dyDescent="0.25">
      <c r="A462" s="84">
        <f>+closed!A461+1</f>
        <v>434</v>
      </c>
      <c r="B462" s="24">
        <v>42514</v>
      </c>
      <c r="C462" s="1">
        <v>114</v>
      </c>
      <c r="D462" s="1">
        <v>3000029686</v>
      </c>
      <c r="E462" s="1" t="s">
        <v>29</v>
      </c>
      <c r="F462" s="16">
        <v>63</v>
      </c>
      <c r="G462" s="25">
        <v>42507</v>
      </c>
      <c r="H462" s="25"/>
      <c r="I462" s="25">
        <v>42510</v>
      </c>
      <c r="J462" s="1" t="s">
        <v>8</v>
      </c>
      <c r="K462" s="1">
        <v>12.9</v>
      </c>
      <c r="L462" s="1">
        <v>12.755000000000001</v>
      </c>
      <c r="M462" s="1">
        <f t="shared" si="52"/>
        <v>12.755000000000001</v>
      </c>
      <c r="N462" s="7">
        <f t="shared" si="55"/>
        <v>42524</v>
      </c>
      <c r="O462" s="1">
        <v>715950</v>
      </c>
      <c r="P462" s="38">
        <f t="shared" si="54"/>
        <v>707902.5</v>
      </c>
      <c r="Q462" s="170">
        <v>42527</v>
      </c>
      <c r="R462" s="66">
        <v>42528</v>
      </c>
      <c r="S462" s="187">
        <f t="shared" si="56"/>
        <v>4</v>
      </c>
    </row>
    <row r="463" spans="1:20" s="3" customFormat="1" hidden="1" x14ac:dyDescent="0.25">
      <c r="A463" s="84">
        <f>+closed!A462+1</f>
        <v>435</v>
      </c>
      <c r="B463" s="24">
        <v>42514</v>
      </c>
      <c r="C463" s="1">
        <v>114</v>
      </c>
      <c r="D463" s="1">
        <v>3000030055</v>
      </c>
      <c r="E463" s="1" t="s">
        <v>29</v>
      </c>
      <c r="F463" s="16">
        <v>64</v>
      </c>
      <c r="G463" s="25">
        <v>42507</v>
      </c>
      <c r="H463" s="25"/>
      <c r="I463" s="25">
        <v>42510</v>
      </c>
      <c r="J463" s="1" t="s">
        <v>8</v>
      </c>
      <c r="K463" s="1">
        <v>14.535</v>
      </c>
      <c r="L463" s="1">
        <v>14.535</v>
      </c>
      <c r="M463" s="1">
        <f t="shared" si="52"/>
        <v>14.535</v>
      </c>
      <c r="N463" s="7">
        <f t="shared" si="55"/>
        <v>42524</v>
      </c>
      <c r="O463" s="1">
        <v>792158</v>
      </c>
      <c r="P463" s="38">
        <f t="shared" si="54"/>
        <v>792158</v>
      </c>
      <c r="Q463" s="170">
        <v>42527</v>
      </c>
      <c r="R463" s="66">
        <v>42528</v>
      </c>
      <c r="S463" s="187">
        <f t="shared" si="56"/>
        <v>4</v>
      </c>
    </row>
    <row r="464" spans="1:20" s="3" customFormat="1" hidden="1" x14ac:dyDescent="0.25">
      <c r="A464" s="84">
        <f>+closed!A602+1</f>
        <v>499</v>
      </c>
      <c r="B464" s="24">
        <v>42521</v>
      </c>
      <c r="C464" s="1">
        <v>114</v>
      </c>
      <c r="D464" s="1">
        <v>3000028331</v>
      </c>
      <c r="E464" s="1" t="s">
        <v>15</v>
      </c>
      <c r="F464" s="39" t="s">
        <v>151</v>
      </c>
      <c r="G464" s="25">
        <v>42521</v>
      </c>
      <c r="H464" s="25"/>
      <c r="I464" s="25">
        <v>42494</v>
      </c>
      <c r="J464" s="1" t="s">
        <v>16</v>
      </c>
      <c r="K464" s="1"/>
      <c r="L464" s="1"/>
      <c r="M464" s="1">
        <f t="shared" si="52"/>
        <v>0</v>
      </c>
      <c r="N464" s="7">
        <f t="shared" si="55"/>
        <v>42508</v>
      </c>
      <c r="O464" s="1">
        <v>12882</v>
      </c>
      <c r="P464" s="38"/>
      <c r="Q464" s="170">
        <v>42527</v>
      </c>
      <c r="R464" s="66">
        <v>42528</v>
      </c>
      <c r="S464" s="187">
        <f t="shared" si="56"/>
        <v>20</v>
      </c>
    </row>
    <row r="465" spans="1:19" s="3" customFormat="1" hidden="1" x14ac:dyDescent="0.25">
      <c r="A465" s="84">
        <f>+closed!A464+1</f>
        <v>500</v>
      </c>
      <c r="B465" s="24">
        <v>42521</v>
      </c>
      <c r="C465" s="1">
        <v>114</v>
      </c>
      <c r="D465" s="1">
        <v>3000028331</v>
      </c>
      <c r="E465" s="1" t="s">
        <v>15</v>
      </c>
      <c r="F465" s="1">
        <v>3018</v>
      </c>
      <c r="G465" s="25">
        <v>42487</v>
      </c>
      <c r="H465" s="25"/>
      <c r="I465" s="25">
        <v>42494</v>
      </c>
      <c r="J465" s="1" t="s">
        <v>16</v>
      </c>
      <c r="K465" s="1">
        <v>17.164999999999999</v>
      </c>
      <c r="L465" s="1">
        <v>17.2</v>
      </c>
      <c r="M465" s="1">
        <f t="shared" si="52"/>
        <v>17.164999999999999</v>
      </c>
      <c r="N465" s="7">
        <f t="shared" si="55"/>
        <v>42508</v>
      </c>
      <c r="O465" s="1">
        <v>832503</v>
      </c>
      <c r="P465" s="38">
        <f>(+O465/K465*M465)-12882</f>
        <v>819621</v>
      </c>
      <c r="Q465" s="170">
        <v>42527</v>
      </c>
      <c r="R465" s="66">
        <v>42528</v>
      </c>
      <c r="S465" s="187">
        <f t="shared" si="56"/>
        <v>20</v>
      </c>
    </row>
    <row r="466" spans="1:19" s="3" customFormat="1" hidden="1" x14ac:dyDescent="0.25">
      <c r="A466" s="84">
        <f>+closed!A588+1</f>
        <v>418</v>
      </c>
      <c r="B466" s="24">
        <v>42509</v>
      </c>
      <c r="C466" s="1">
        <v>114</v>
      </c>
      <c r="D466" s="1">
        <v>3000028667</v>
      </c>
      <c r="E466" s="1" t="s">
        <v>15</v>
      </c>
      <c r="F466" s="1">
        <v>3035</v>
      </c>
      <c r="G466" s="25">
        <v>42500</v>
      </c>
      <c r="H466" s="25"/>
      <c r="I466" s="25">
        <v>42504</v>
      </c>
      <c r="J466" s="1" t="s">
        <v>8</v>
      </c>
      <c r="K466" s="1">
        <v>29.24</v>
      </c>
      <c r="L466" s="1">
        <v>29.36</v>
      </c>
      <c r="M466" s="1">
        <f t="shared" si="52"/>
        <v>29.24</v>
      </c>
      <c r="N466" s="7">
        <f t="shared" si="55"/>
        <v>42518</v>
      </c>
      <c r="O466" s="1">
        <v>1350888</v>
      </c>
      <c r="P466" s="38">
        <f t="shared" ref="P466:P473" si="57">(+O466/K466*M466)</f>
        <v>1350888</v>
      </c>
      <c r="Q466" s="170">
        <v>42527</v>
      </c>
      <c r="R466" s="66">
        <v>42528</v>
      </c>
      <c r="S466" s="187">
        <f t="shared" si="56"/>
        <v>10</v>
      </c>
    </row>
    <row r="467" spans="1:19" s="3" customFormat="1" hidden="1" x14ac:dyDescent="0.25">
      <c r="A467" s="84">
        <f>+closed!A466+1</f>
        <v>419</v>
      </c>
      <c r="B467" s="24">
        <v>42509</v>
      </c>
      <c r="C467" s="1">
        <v>114</v>
      </c>
      <c r="D467" s="1">
        <v>3000029688</v>
      </c>
      <c r="E467" s="1" t="s">
        <v>15</v>
      </c>
      <c r="F467" s="1">
        <v>3040</v>
      </c>
      <c r="G467" s="25">
        <v>42502</v>
      </c>
      <c r="H467" s="25"/>
      <c r="I467" s="25">
        <v>42504</v>
      </c>
      <c r="J467" s="1" t="s">
        <v>8</v>
      </c>
      <c r="K467" s="1">
        <v>28.79</v>
      </c>
      <c r="L467" s="1">
        <v>28.69</v>
      </c>
      <c r="M467" s="1">
        <f t="shared" si="52"/>
        <v>28.69</v>
      </c>
      <c r="N467" s="7">
        <f t="shared" si="55"/>
        <v>42518</v>
      </c>
      <c r="O467" s="1">
        <v>1597845</v>
      </c>
      <c r="P467" s="38">
        <f t="shared" si="57"/>
        <v>1592295</v>
      </c>
      <c r="Q467" s="170">
        <v>42527</v>
      </c>
      <c r="R467" s="66">
        <v>42528</v>
      </c>
      <c r="S467" s="187">
        <f t="shared" si="56"/>
        <v>10</v>
      </c>
    </row>
    <row r="468" spans="1:19" s="3" customFormat="1" hidden="1" x14ac:dyDescent="0.25">
      <c r="A468" s="84">
        <f>+closed!A438+1</f>
        <v>387</v>
      </c>
      <c r="B468" s="24">
        <v>42502</v>
      </c>
      <c r="C468" s="1">
        <v>114</v>
      </c>
      <c r="D468" s="1">
        <v>3000029754</v>
      </c>
      <c r="E468" s="1" t="s">
        <v>17</v>
      </c>
      <c r="F468" s="1">
        <v>35</v>
      </c>
      <c r="G468" s="25">
        <v>42497</v>
      </c>
      <c r="H468" s="25"/>
      <c r="I468" s="25">
        <v>42500</v>
      </c>
      <c r="J468" s="1" t="s">
        <v>8</v>
      </c>
      <c r="K468" s="1">
        <v>29.234999999999999</v>
      </c>
      <c r="L468" s="1">
        <v>29.17</v>
      </c>
      <c r="M468" s="1">
        <f t="shared" si="52"/>
        <v>29.17</v>
      </c>
      <c r="N468" s="7">
        <f t="shared" si="55"/>
        <v>42514</v>
      </c>
      <c r="O468" s="1">
        <v>1622543</v>
      </c>
      <c r="P468" s="38">
        <f t="shared" si="57"/>
        <v>1618935.4988883191</v>
      </c>
      <c r="Q468" s="170">
        <v>42527</v>
      </c>
      <c r="R468" s="66">
        <v>42528</v>
      </c>
      <c r="S468" s="187">
        <f t="shared" si="56"/>
        <v>14</v>
      </c>
    </row>
    <row r="469" spans="1:19" s="3" customFormat="1" hidden="1" x14ac:dyDescent="0.25">
      <c r="A469" s="84">
        <f>+closed!A467+1</f>
        <v>420</v>
      </c>
      <c r="B469" s="24">
        <v>42509</v>
      </c>
      <c r="C469" s="1">
        <v>114</v>
      </c>
      <c r="D469" s="1">
        <v>3000029897</v>
      </c>
      <c r="E469" s="1" t="s">
        <v>30</v>
      </c>
      <c r="F469" s="1">
        <v>88</v>
      </c>
      <c r="G469" s="25">
        <v>42500</v>
      </c>
      <c r="H469" s="25"/>
      <c r="I469" s="25">
        <v>42502</v>
      </c>
      <c r="J469" s="1" t="s">
        <v>31</v>
      </c>
      <c r="K469" s="1">
        <v>27.31</v>
      </c>
      <c r="L469" s="1">
        <v>27.22</v>
      </c>
      <c r="M469" s="1">
        <f t="shared" si="52"/>
        <v>27.22</v>
      </c>
      <c r="N469" s="7">
        <f t="shared" si="55"/>
        <v>42516</v>
      </c>
      <c r="O469" s="1">
        <v>1392810</v>
      </c>
      <c r="P469" s="38">
        <f t="shared" si="57"/>
        <v>1388220</v>
      </c>
      <c r="Q469" s="170">
        <v>42527</v>
      </c>
      <c r="R469" s="66">
        <v>42528</v>
      </c>
      <c r="S469" s="187">
        <f t="shared" si="56"/>
        <v>12</v>
      </c>
    </row>
    <row r="470" spans="1:19" s="3" customFormat="1" hidden="1" x14ac:dyDescent="0.25">
      <c r="A470" s="84">
        <f>+closed!A496+1</f>
        <v>412</v>
      </c>
      <c r="B470" s="24">
        <v>42509</v>
      </c>
      <c r="C470" s="1">
        <v>114</v>
      </c>
      <c r="D470" s="1">
        <v>3000030050</v>
      </c>
      <c r="E470" s="1" t="s">
        <v>44</v>
      </c>
      <c r="F470" s="16">
        <v>11</v>
      </c>
      <c r="G470" s="25">
        <v>42500</v>
      </c>
      <c r="H470" s="25"/>
      <c r="I470" s="25">
        <v>42504</v>
      </c>
      <c r="J470" s="1" t="s">
        <v>8</v>
      </c>
      <c r="K470" s="1">
        <v>18.34</v>
      </c>
      <c r="L470" s="1">
        <v>18.34</v>
      </c>
      <c r="M470" s="1">
        <f t="shared" si="52"/>
        <v>18.34</v>
      </c>
      <c r="N470" s="7">
        <f t="shared" si="55"/>
        <v>42518</v>
      </c>
      <c r="O470" s="1">
        <v>999530</v>
      </c>
      <c r="P470" s="38">
        <f t="shared" si="57"/>
        <v>999530</v>
      </c>
      <c r="Q470" s="170">
        <v>42527</v>
      </c>
      <c r="R470" s="66">
        <v>42528</v>
      </c>
      <c r="S470" s="187">
        <f t="shared" si="56"/>
        <v>10</v>
      </c>
    </row>
    <row r="471" spans="1:19" s="3" customFormat="1" hidden="1" x14ac:dyDescent="0.25">
      <c r="A471" s="84">
        <f>+closed!A470+1</f>
        <v>413</v>
      </c>
      <c r="B471" s="24">
        <v>42509</v>
      </c>
      <c r="C471" s="1">
        <v>114</v>
      </c>
      <c r="D471" s="1">
        <v>3000030302</v>
      </c>
      <c r="E471" s="1" t="s">
        <v>44</v>
      </c>
      <c r="F471" s="16">
        <v>11</v>
      </c>
      <c r="G471" s="25">
        <v>42500</v>
      </c>
      <c r="H471" s="25"/>
      <c r="I471" s="25">
        <v>42504</v>
      </c>
      <c r="J471" s="1" t="s">
        <v>8</v>
      </c>
      <c r="K471" s="1">
        <v>15</v>
      </c>
      <c r="L471" s="1">
        <v>15.14</v>
      </c>
      <c r="M471" s="1">
        <f t="shared" si="52"/>
        <v>15</v>
      </c>
      <c r="N471" s="7">
        <f t="shared" si="55"/>
        <v>42518</v>
      </c>
      <c r="O471" s="1">
        <v>837000</v>
      </c>
      <c r="P471" s="38">
        <f t="shared" si="57"/>
        <v>837000</v>
      </c>
      <c r="Q471" s="170">
        <v>42527</v>
      </c>
      <c r="R471" s="66">
        <v>42528</v>
      </c>
      <c r="S471" s="187">
        <f t="shared" si="56"/>
        <v>10</v>
      </c>
    </row>
    <row r="472" spans="1:19" s="3" customFormat="1" hidden="1" x14ac:dyDescent="0.25">
      <c r="A472" s="84">
        <f>+closed!A448+1</f>
        <v>416</v>
      </c>
      <c r="B472" s="24">
        <v>42509</v>
      </c>
      <c r="C472" s="1">
        <v>114</v>
      </c>
      <c r="D472" s="1">
        <v>3000030253</v>
      </c>
      <c r="E472" s="1" t="s">
        <v>55</v>
      </c>
      <c r="F472" s="1">
        <v>5</v>
      </c>
      <c r="G472" s="25">
        <v>42502</v>
      </c>
      <c r="H472" s="25"/>
      <c r="I472" s="25">
        <v>42504</v>
      </c>
      <c r="J472" s="1" t="s">
        <v>8</v>
      </c>
      <c r="K472" s="1">
        <v>29.41</v>
      </c>
      <c r="L472" s="1">
        <v>29.4</v>
      </c>
      <c r="M472" s="1">
        <f t="shared" si="52"/>
        <v>29.4</v>
      </c>
      <c r="N472" s="7">
        <f t="shared" si="55"/>
        <v>42518</v>
      </c>
      <c r="O472" s="1">
        <v>1646960</v>
      </c>
      <c r="P472" s="38">
        <f t="shared" si="57"/>
        <v>1646400</v>
      </c>
      <c r="Q472" s="170">
        <v>42527</v>
      </c>
      <c r="R472" s="66">
        <v>42528</v>
      </c>
      <c r="S472" s="187">
        <f t="shared" si="56"/>
        <v>10</v>
      </c>
    </row>
    <row r="473" spans="1:19" s="3" customFormat="1" hidden="1" x14ac:dyDescent="0.25">
      <c r="A473" s="84">
        <f>+closed!A500+1</f>
        <v>423</v>
      </c>
      <c r="B473" s="24">
        <v>42513</v>
      </c>
      <c r="C473" s="1">
        <v>114</v>
      </c>
      <c r="D473" s="1">
        <v>3000029689</v>
      </c>
      <c r="E473" s="1" t="s">
        <v>37</v>
      </c>
      <c r="F473" s="1">
        <v>28</v>
      </c>
      <c r="G473" s="25">
        <v>42503</v>
      </c>
      <c r="H473" s="25"/>
      <c r="I473" s="25">
        <v>42506</v>
      </c>
      <c r="J473" s="1" t="s">
        <v>8</v>
      </c>
      <c r="K473" s="1">
        <v>20.04</v>
      </c>
      <c r="L473" s="1">
        <v>20.100000000000001</v>
      </c>
      <c r="M473" s="1">
        <f t="shared" ref="M473:M504" si="58">IF(L473&gt;K473,K473,L473)</f>
        <v>20.04</v>
      </c>
      <c r="N473" s="7">
        <f t="shared" si="55"/>
        <v>42520</v>
      </c>
      <c r="O473" s="1">
        <v>1112220</v>
      </c>
      <c r="P473" s="38">
        <f t="shared" si="57"/>
        <v>1112220</v>
      </c>
      <c r="Q473" s="170">
        <v>42527</v>
      </c>
      <c r="R473" s="66">
        <v>42528</v>
      </c>
      <c r="S473" s="187">
        <f t="shared" si="56"/>
        <v>8</v>
      </c>
    </row>
    <row r="474" spans="1:19" s="3" customFormat="1" hidden="1" x14ac:dyDescent="0.25">
      <c r="A474" s="84">
        <f>+closed!A452+1</f>
        <v>443</v>
      </c>
      <c r="B474" s="24">
        <v>42514</v>
      </c>
      <c r="C474" s="1">
        <v>114</v>
      </c>
      <c r="D474" s="1" t="s">
        <v>141</v>
      </c>
      <c r="E474" s="1" t="s">
        <v>49</v>
      </c>
      <c r="F474" s="20" t="s">
        <v>142</v>
      </c>
      <c r="G474" s="25">
        <v>42513</v>
      </c>
      <c r="H474" s="25"/>
      <c r="I474" s="25">
        <v>42507</v>
      </c>
      <c r="J474" s="1" t="s">
        <v>16</v>
      </c>
      <c r="K474" s="1"/>
      <c r="L474" s="1"/>
      <c r="M474" s="1">
        <f t="shared" si="58"/>
        <v>0</v>
      </c>
      <c r="N474" s="7">
        <f t="shared" si="55"/>
        <v>42521</v>
      </c>
      <c r="O474" s="1">
        <v>20576</v>
      </c>
      <c r="P474" s="36"/>
      <c r="Q474" s="170">
        <v>42527</v>
      </c>
      <c r="R474" s="66">
        <v>42528</v>
      </c>
      <c r="S474" s="187">
        <f t="shared" si="56"/>
        <v>7</v>
      </c>
    </row>
    <row r="475" spans="1:19" s="3" customFormat="1" hidden="1" x14ac:dyDescent="0.25">
      <c r="A475" s="84">
        <f>+closed!A474+1</f>
        <v>444</v>
      </c>
      <c r="B475" s="24">
        <v>42514</v>
      </c>
      <c r="C475" s="1">
        <v>114</v>
      </c>
      <c r="D475" s="1">
        <v>3000028333</v>
      </c>
      <c r="E475" s="1" t="s">
        <v>49</v>
      </c>
      <c r="F475" s="16">
        <v>10</v>
      </c>
      <c r="G475" s="25">
        <v>42496</v>
      </c>
      <c r="H475" s="25"/>
      <c r="I475" s="25">
        <v>42507</v>
      </c>
      <c r="J475" s="1" t="s">
        <v>16</v>
      </c>
      <c r="K475" s="1">
        <v>23.44</v>
      </c>
      <c r="L475" s="1">
        <v>23.42</v>
      </c>
      <c r="M475" s="1">
        <f t="shared" si="58"/>
        <v>23.42</v>
      </c>
      <c r="N475" s="7">
        <f t="shared" si="55"/>
        <v>42521</v>
      </c>
      <c r="O475" s="1">
        <v>1136840</v>
      </c>
      <c r="P475" s="38">
        <f>(+O475/K475*M475)-20576</f>
        <v>1115294</v>
      </c>
      <c r="Q475" s="170">
        <v>42527</v>
      </c>
      <c r="R475" s="66">
        <v>42528</v>
      </c>
      <c r="S475" s="187">
        <f t="shared" si="56"/>
        <v>7</v>
      </c>
    </row>
    <row r="476" spans="1:19" s="3" customFormat="1" hidden="1" x14ac:dyDescent="0.25">
      <c r="A476" s="84">
        <f>+closed!A475+1</f>
        <v>445</v>
      </c>
      <c r="B476" s="24">
        <v>42514</v>
      </c>
      <c r="C476" s="1">
        <v>114</v>
      </c>
      <c r="D476" s="1">
        <v>3000028621</v>
      </c>
      <c r="E476" s="1" t="s">
        <v>49</v>
      </c>
      <c r="F476" s="16">
        <v>11</v>
      </c>
      <c r="G476" s="25">
        <v>42496</v>
      </c>
      <c r="H476" s="25"/>
      <c r="I476" s="25">
        <v>42507</v>
      </c>
      <c r="J476" s="1" t="s">
        <v>16</v>
      </c>
      <c r="K476" s="1">
        <v>7.02</v>
      </c>
      <c r="L476" s="1">
        <v>7.02</v>
      </c>
      <c r="M476" s="1">
        <f t="shared" si="58"/>
        <v>7.02</v>
      </c>
      <c r="N476" s="7">
        <f t="shared" si="55"/>
        <v>42521</v>
      </c>
      <c r="O476" s="1">
        <v>336960</v>
      </c>
      <c r="P476" s="38">
        <f t="shared" ref="P476:P496" si="59">(+O476/K476*M476)</f>
        <v>336960</v>
      </c>
      <c r="Q476" s="170">
        <v>42527</v>
      </c>
      <c r="R476" s="66">
        <v>42528</v>
      </c>
      <c r="S476" s="187">
        <f t="shared" si="56"/>
        <v>7</v>
      </c>
    </row>
    <row r="477" spans="1:19" s="3" customFormat="1" hidden="1" x14ac:dyDescent="0.25">
      <c r="A477" s="84">
        <f>+closed!A463+1</f>
        <v>436</v>
      </c>
      <c r="B477" s="24">
        <v>42514</v>
      </c>
      <c r="C477" s="1">
        <v>114</v>
      </c>
      <c r="D477" s="1">
        <v>3000030056</v>
      </c>
      <c r="E477" s="1" t="s">
        <v>138</v>
      </c>
      <c r="F477" s="1">
        <v>8958</v>
      </c>
      <c r="G477" s="25">
        <v>42508</v>
      </c>
      <c r="H477" s="25"/>
      <c r="I477" s="25">
        <v>42510</v>
      </c>
      <c r="J477" s="1" t="s">
        <v>8</v>
      </c>
      <c r="K477" s="1">
        <v>27.45</v>
      </c>
      <c r="L477" s="1">
        <v>27.4</v>
      </c>
      <c r="M477" s="1">
        <f t="shared" si="58"/>
        <v>27.4</v>
      </c>
      <c r="N477" s="7">
        <f t="shared" si="55"/>
        <v>42524</v>
      </c>
      <c r="O477" s="1">
        <v>1496025</v>
      </c>
      <c r="P477" s="38">
        <f t="shared" si="59"/>
        <v>1493300</v>
      </c>
      <c r="Q477" s="170">
        <v>42527</v>
      </c>
      <c r="R477" s="66">
        <v>42528</v>
      </c>
      <c r="S477" s="187">
        <f t="shared" si="56"/>
        <v>4</v>
      </c>
    </row>
    <row r="478" spans="1:19" s="3" customFormat="1" x14ac:dyDescent="0.25">
      <c r="A478" s="84">
        <f>+closed!A505+1</f>
        <v>448</v>
      </c>
      <c r="B478" s="24">
        <v>42515</v>
      </c>
      <c r="C478" s="1">
        <v>103</v>
      </c>
      <c r="D478" s="1">
        <v>3000029640</v>
      </c>
      <c r="E478" s="1" t="s">
        <v>144</v>
      </c>
      <c r="F478" s="5">
        <v>307</v>
      </c>
      <c r="G478" s="25">
        <v>42503</v>
      </c>
      <c r="H478" s="25"/>
      <c r="I478" s="25">
        <v>42511</v>
      </c>
      <c r="J478" s="1" t="s">
        <v>61</v>
      </c>
      <c r="K478" s="1">
        <v>19.53</v>
      </c>
      <c r="L478" s="1">
        <v>19.39</v>
      </c>
      <c r="M478" s="1">
        <f t="shared" si="58"/>
        <v>19.39</v>
      </c>
      <c r="N478" s="7">
        <f t="shared" si="55"/>
        <v>42525</v>
      </c>
      <c r="O478" s="1">
        <v>1581895</v>
      </c>
      <c r="P478" s="38">
        <f t="shared" si="59"/>
        <v>1570555.2508960573</v>
      </c>
      <c r="Q478" s="170">
        <v>42527</v>
      </c>
      <c r="R478" s="66">
        <v>42528</v>
      </c>
      <c r="S478" s="187">
        <f t="shared" si="56"/>
        <v>3</v>
      </c>
    </row>
    <row r="479" spans="1:19" s="3" customFormat="1" hidden="1" x14ac:dyDescent="0.25">
      <c r="A479" s="84">
        <f>+closed!A615+1</f>
        <v>478</v>
      </c>
      <c r="B479" s="24">
        <v>42520</v>
      </c>
      <c r="C479" s="1">
        <v>103</v>
      </c>
      <c r="D479" s="1">
        <v>3000029421</v>
      </c>
      <c r="E479" s="1" t="s">
        <v>77</v>
      </c>
      <c r="F479" s="1">
        <v>25</v>
      </c>
      <c r="G479" s="25">
        <v>42512</v>
      </c>
      <c r="H479" s="25"/>
      <c r="I479" s="25">
        <v>42517</v>
      </c>
      <c r="J479" s="1" t="s">
        <v>61</v>
      </c>
      <c r="K479" s="1">
        <v>20.49</v>
      </c>
      <c r="L479" s="1">
        <v>20.43</v>
      </c>
      <c r="M479" s="1">
        <f t="shared" si="58"/>
        <v>20.43</v>
      </c>
      <c r="N479" s="7">
        <f>+I479+7-1</f>
        <v>42523</v>
      </c>
      <c r="O479" s="1">
        <v>1618710</v>
      </c>
      <c r="P479" s="26">
        <f t="shared" si="59"/>
        <v>1613970</v>
      </c>
      <c r="Q479" s="170">
        <v>42527</v>
      </c>
      <c r="R479" s="66">
        <v>42527</v>
      </c>
      <c r="S479" s="187">
        <f t="shared" si="56"/>
        <v>4</v>
      </c>
    </row>
    <row r="480" spans="1:19" s="3" customFormat="1" hidden="1" x14ac:dyDescent="0.25">
      <c r="A480" s="84">
        <f>+closed!A554+1</f>
        <v>486</v>
      </c>
      <c r="B480" s="24">
        <v>42521</v>
      </c>
      <c r="C480" s="1">
        <v>103</v>
      </c>
      <c r="D480" s="1">
        <v>3000029421</v>
      </c>
      <c r="E480" s="1" t="s">
        <v>77</v>
      </c>
      <c r="F480" s="1">
        <v>26</v>
      </c>
      <c r="G480" s="25">
        <v>42514</v>
      </c>
      <c r="H480" s="25"/>
      <c r="I480" s="25">
        <v>42518</v>
      </c>
      <c r="J480" s="1" t="s">
        <v>61</v>
      </c>
      <c r="K480" s="1">
        <v>19.850000000000001</v>
      </c>
      <c r="L480" s="1">
        <v>19.809999999999999</v>
      </c>
      <c r="M480" s="1">
        <f t="shared" si="58"/>
        <v>19.809999999999999</v>
      </c>
      <c r="N480" s="7">
        <f>+I480+7-1</f>
        <v>42524</v>
      </c>
      <c r="O480" s="1">
        <v>1568150</v>
      </c>
      <c r="P480" s="26">
        <f t="shared" si="59"/>
        <v>1564990</v>
      </c>
      <c r="Q480" s="170">
        <v>42527</v>
      </c>
      <c r="R480" s="66">
        <v>42527</v>
      </c>
      <c r="S480" s="187">
        <f t="shared" si="56"/>
        <v>3</v>
      </c>
    </row>
    <row r="481" spans="1:34" s="3" customFormat="1" hidden="1" x14ac:dyDescent="0.25">
      <c r="A481" s="84">
        <f>+closed!A606+1</f>
        <v>503</v>
      </c>
      <c r="B481" s="24">
        <v>42522</v>
      </c>
      <c r="C481" s="1">
        <v>103</v>
      </c>
      <c r="D481" s="1">
        <v>3000029676</v>
      </c>
      <c r="E481" s="1" t="s">
        <v>77</v>
      </c>
      <c r="F481" s="1">
        <v>28</v>
      </c>
      <c r="G481" s="25">
        <v>42516</v>
      </c>
      <c r="H481" s="25"/>
      <c r="I481" s="25">
        <v>42521</v>
      </c>
      <c r="J481" s="1" t="s">
        <v>61</v>
      </c>
      <c r="K481" s="1">
        <v>24.3</v>
      </c>
      <c r="L481" s="1">
        <v>24.05</v>
      </c>
      <c r="M481" s="1">
        <f t="shared" si="58"/>
        <v>24.05</v>
      </c>
      <c r="N481" s="7">
        <f>+I481+7-1</f>
        <v>42527</v>
      </c>
      <c r="O481" s="1">
        <v>2089800</v>
      </c>
      <c r="P481" s="26">
        <f t="shared" si="59"/>
        <v>2068300</v>
      </c>
      <c r="Q481" s="170">
        <v>42527</v>
      </c>
      <c r="R481" s="66">
        <v>42527</v>
      </c>
      <c r="S481" s="187">
        <f t="shared" si="56"/>
        <v>0</v>
      </c>
      <c r="T481" s="15">
        <v>24371378</v>
      </c>
      <c r="U481" s="15"/>
    </row>
    <row r="482" spans="1:34" s="3" customFormat="1" hidden="1" x14ac:dyDescent="0.25">
      <c r="A482" s="97">
        <f>+closed!A701+1</f>
        <v>27</v>
      </c>
      <c r="B482" s="78">
        <v>42528</v>
      </c>
      <c r="C482" s="79">
        <v>103</v>
      </c>
      <c r="D482" s="79">
        <v>3000028903</v>
      </c>
      <c r="E482" s="79" t="s">
        <v>154</v>
      </c>
      <c r="F482" s="79">
        <v>115</v>
      </c>
      <c r="G482" s="80">
        <v>42494</v>
      </c>
      <c r="H482" s="80"/>
      <c r="I482" s="80">
        <v>42494</v>
      </c>
      <c r="J482" s="79" t="s">
        <v>155</v>
      </c>
      <c r="K482" s="79">
        <v>8</v>
      </c>
      <c r="L482" s="79">
        <v>8</v>
      </c>
      <c r="M482" s="79">
        <f t="shared" si="58"/>
        <v>8</v>
      </c>
      <c r="N482" s="81">
        <f t="shared" ref="N482:N514" si="60">+I482+15-1</f>
        <v>42508</v>
      </c>
      <c r="O482" s="79">
        <v>634400</v>
      </c>
      <c r="P482" s="82">
        <f t="shared" si="59"/>
        <v>634400</v>
      </c>
      <c r="Q482" s="176">
        <v>42529</v>
      </c>
      <c r="R482" s="66">
        <v>42530</v>
      </c>
      <c r="S482" s="187">
        <f t="shared" si="56"/>
        <v>22</v>
      </c>
    </row>
    <row r="483" spans="1:34" s="3" customFormat="1" hidden="1" x14ac:dyDescent="0.25">
      <c r="A483" s="97">
        <f>+closed!A482+1</f>
        <v>28</v>
      </c>
      <c r="B483" s="78">
        <v>42528</v>
      </c>
      <c r="C483" s="79">
        <v>103</v>
      </c>
      <c r="D483" s="79">
        <v>3000030384</v>
      </c>
      <c r="E483" s="79" t="s">
        <v>154</v>
      </c>
      <c r="F483" s="87">
        <v>116</v>
      </c>
      <c r="G483" s="80">
        <v>42494</v>
      </c>
      <c r="H483" s="80"/>
      <c r="I483" s="80">
        <v>42494</v>
      </c>
      <c r="J483" s="79" t="s">
        <v>155</v>
      </c>
      <c r="K483" s="79">
        <v>13.3</v>
      </c>
      <c r="L483" s="79">
        <v>13.19</v>
      </c>
      <c r="M483" s="79">
        <f t="shared" si="58"/>
        <v>13.19</v>
      </c>
      <c r="N483" s="81">
        <f t="shared" si="60"/>
        <v>42508</v>
      </c>
      <c r="O483" s="79">
        <v>1198330</v>
      </c>
      <c r="P483" s="82">
        <f t="shared" si="59"/>
        <v>1188419</v>
      </c>
      <c r="Q483" s="176">
        <v>42529</v>
      </c>
      <c r="R483" s="66">
        <v>42530</v>
      </c>
      <c r="S483" s="187">
        <f t="shared" si="56"/>
        <v>22</v>
      </c>
    </row>
    <row r="484" spans="1:34" s="3" customFormat="1" hidden="1" x14ac:dyDescent="0.25">
      <c r="A484" s="97">
        <f>+closed!A495+1</f>
        <v>30</v>
      </c>
      <c r="B484" s="78">
        <v>42528</v>
      </c>
      <c r="C484" s="79">
        <v>103</v>
      </c>
      <c r="D484" s="79">
        <v>3000030384</v>
      </c>
      <c r="E484" s="79" t="s">
        <v>154</v>
      </c>
      <c r="F484" s="87">
        <v>117</v>
      </c>
      <c r="G484" s="80">
        <v>42494</v>
      </c>
      <c r="H484" s="80"/>
      <c r="I484" s="80">
        <v>42494</v>
      </c>
      <c r="J484" s="79" t="s">
        <v>155</v>
      </c>
      <c r="K484" s="79">
        <v>19.77</v>
      </c>
      <c r="L484" s="79">
        <v>19.68</v>
      </c>
      <c r="M484" s="79">
        <f t="shared" si="58"/>
        <v>19.68</v>
      </c>
      <c r="N484" s="81">
        <f t="shared" si="60"/>
        <v>42508</v>
      </c>
      <c r="O484" s="79">
        <v>1781277</v>
      </c>
      <c r="P484" s="82">
        <f t="shared" si="59"/>
        <v>1773168</v>
      </c>
      <c r="Q484" s="176">
        <v>42529</v>
      </c>
      <c r="R484" s="66">
        <v>42530</v>
      </c>
      <c r="S484" s="187">
        <f t="shared" si="56"/>
        <v>22</v>
      </c>
    </row>
    <row r="485" spans="1:34" s="3" customFormat="1" hidden="1" x14ac:dyDescent="0.25">
      <c r="A485" s="97">
        <f>+closed!A484+1</f>
        <v>31</v>
      </c>
      <c r="B485" s="78">
        <v>42528</v>
      </c>
      <c r="C485" s="79">
        <v>103</v>
      </c>
      <c r="D485" s="79">
        <v>3000030384</v>
      </c>
      <c r="E485" s="79" t="s">
        <v>154</v>
      </c>
      <c r="F485" s="87">
        <v>123</v>
      </c>
      <c r="G485" s="80">
        <v>42495</v>
      </c>
      <c r="H485" s="80"/>
      <c r="I485" s="80">
        <v>42495</v>
      </c>
      <c r="J485" s="79" t="s">
        <v>155</v>
      </c>
      <c r="K485" s="79">
        <v>20.66</v>
      </c>
      <c r="L485" s="79">
        <v>20.57</v>
      </c>
      <c r="M485" s="79">
        <f t="shared" si="58"/>
        <v>20.57</v>
      </c>
      <c r="N485" s="81">
        <f t="shared" si="60"/>
        <v>42509</v>
      </c>
      <c r="O485" s="79">
        <v>1861466</v>
      </c>
      <c r="P485" s="82">
        <f t="shared" si="59"/>
        <v>1853357</v>
      </c>
      <c r="Q485" s="176">
        <v>42529</v>
      </c>
      <c r="R485" s="66">
        <v>42530</v>
      </c>
      <c r="S485" s="187">
        <f t="shared" si="56"/>
        <v>21</v>
      </c>
    </row>
    <row r="486" spans="1:34" s="3" customFormat="1" hidden="1" x14ac:dyDescent="0.25">
      <c r="A486" s="97">
        <f>+closed!A485+1</f>
        <v>32</v>
      </c>
      <c r="B486" s="78">
        <v>42528</v>
      </c>
      <c r="C486" s="79">
        <v>103</v>
      </c>
      <c r="D486" s="79">
        <v>3000030384</v>
      </c>
      <c r="E486" s="79" t="s">
        <v>154</v>
      </c>
      <c r="F486" s="87">
        <v>124</v>
      </c>
      <c r="G486" s="80">
        <v>42495</v>
      </c>
      <c r="H486" s="80"/>
      <c r="I486" s="80">
        <v>42495</v>
      </c>
      <c r="J486" s="79" t="s">
        <v>155</v>
      </c>
      <c r="K486" s="79">
        <v>20.53</v>
      </c>
      <c r="L486" s="79">
        <v>20.46</v>
      </c>
      <c r="M486" s="79">
        <f t="shared" si="58"/>
        <v>20.46</v>
      </c>
      <c r="N486" s="81">
        <f t="shared" si="60"/>
        <v>42509</v>
      </c>
      <c r="O486" s="79">
        <v>1849753</v>
      </c>
      <c r="P486" s="82">
        <f t="shared" si="59"/>
        <v>1843446</v>
      </c>
      <c r="Q486" s="176">
        <v>42529</v>
      </c>
      <c r="R486" s="66">
        <v>42530</v>
      </c>
      <c r="S486" s="187">
        <f t="shared" si="56"/>
        <v>21</v>
      </c>
    </row>
    <row r="487" spans="1:34" s="3" customFormat="1" hidden="1" x14ac:dyDescent="0.25">
      <c r="A487" s="97">
        <f>+closed!A486+1</f>
        <v>33</v>
      </c>
      <c r="B487" s="78">
        <v>42528</v>
      </c>
      <c r="C487" s="79">
        <v>103</v>
      </c>
      <c r="D487" s="79">
        <v>3000030384</v>
      </c>
      <c r="E487" s="79" t="s">
        <v>154</v>
      </c>
      <c r="F487" s="87">
        <v>125</v>
      </c>
      <c r="G487" s="80">
        <v>42495</v>
      </c>
      <c r="H487" s="80"/>
      <c r="I487" s="80">
        <v>42495</v>
      </c>
      <c r="J487" s="79" t="s">
        <v>155</v>
      </c>
      <c r="K487" s="79">
        <v>19.559999999999999</v>
      </c>
      <c r="L487" s="79">
        <v>19.5</v>
      </c>
      <c r="M487" s="79">
        <f t="shared" si="58"/>
        <v>19.5</v>
      </c>
      <c r="N487" s="81">
        <f t="shared" si="60"/>
        <v>42509</v>
      </c>
      <c r="O487" s="79">
        <v>1762356</v>
      </c>
      <c r="P487" s="82">
        <f t="shared" si="59"/>
        <v>1756950</v>
      </c>
      <c r="Q487" s="176">
        <v>42529</v>
      </c>
      <c r="R487" s="66">
        <v>42530</v>
      </c>
      <c r="S487" s="187">
        <f t="shared" si="56"/>
        <v>21</v>
      </c>
    </row>
    <row r="488" spans="1:34" s="83" customFormat="1" hidden="1" x14ac:dyDescent="0.25">
      <c r="A488" s="97">
        <f>+closed!A487+1</f>
        <v>34</v>
      </c>
      <c r="B488" s="78">
        <v>42528</v>
      </c>
      <c r="C488" s="79">
        <v>103</v>
      </c>
      <c r="D488" s="79">
        <v>3000030384</v>
      </c>
      <c r="E488" s="79" t="s">
        <v>154</v>
      </c>
      <c r="F488" s="79">
        <v>132</v>
      </c>
      <c r="G488" s="80">
        <v>42495</v>
      </c>
      <c r="H488" s="80"/>
      <c r="I488" s="80">
        <v>42495</v>
      </c>
      <c r="J488" s="79" t="s">
        <v>155</v>
      </c>
      <c r="K488" s="79">
        <v>20.07</v>
      </c>
      <c r="L488" s="79">
        <v>19.98</v>
      </c>
      <c r="M488" s="79">
        <f t="shared" si="58"/>
        <v>19.98</v>
      </c>
      <c r="N488" s="81">
        <f t="shared" si="60"/>
        <v>42509</v>
      </c>
      <c r="O488" s="79">
        <v>1808307</v>
      </c>
      <c r="P488" s="89">
        <f t="shared" si="59"/>
        <v>1800198</v>
      </c>
      <c r="Q488" s="176">
        <v>42530</v>
      </c>
      <c r="R488" s="66">
        <v>42530</v>
      </c>
      <c r="S488" s="187">
        <f t="shared" si="56"/>
        <v>21</v>
      </c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</row>
    <row r="489" spans="1:34" s="3" customFormat="1" hidden="1" x14ac:dyDescent="0.25">
      <c r="A489" s="97">
        <f>+closed!A488+1</f>
        <v>35</v>
      </c>
      <c r="B489" s="78">
        <v>42528</v>
      </c>
      <c r="C489" s="79">
        <v>103</v>
      </c>
      <c r="D489" s="79">
        <v>3000030384</v>
      </c>
      <c r="E489" s="79" t="s">
        <v>154</v>
      </c>
      <c r="F489" s="79">
        <v>133</v>
      </c>
      <c r="G489" s="80">
        <v>42495</v>
      </c>
      <c r="H489" s="80"/>
      <c r="I489" s="80">
        <v>42495</v>
      </c>
      <c r="J489" s="79" t="s">
        <v>155</v>
      </c>
      <c r="K489" s="79">
        <v>20.23</v>
      </c>
      <c r="L489" s="79">
        <v>20.16</v>
      </c>
      <c r="M489" s="79">
        <f t="shared" si="58"/>
        <v>20.16</v>
      </c>
      <c r="N489" s="81">
        <f t="shared" si="60"/>
        <v>42509</v>
      </c>
      <c r="O489" s="79">
        <v>1822723</v>
      </c>
      <c r="P489" s="82">
        <f t="shared" si="59"/>
        <v>1816416</v>
      </c>
      <c r="Q489" s="176">
        <v>42529</v>
      </c>
      <c r="R489" s="66">
        <v>42530</v>
      </c>
      <c r="S489" s="187">
        <f t="shared" si="56"/>
        <v>21</v>
      </c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</row>
    <row r="490" spans="1:34" s="83" customFormat="1" hidden="1" x14ac:dyDescent="0.25">
      <c r="A490" s="97">
        <f>+closed!A489+1</f>
        <v>36</v>
      </c>
      <c r="B490" s="78">
        <v>42528</v>
      </c>
      <c r="C490" s="79">
        <v>103</v>
      </c>
      <c r="D490" s="79">
        <v>3000030384</v>
      </c>
      <c r="E490" s="79" t="s">
        <v>154</v>
      </c>
      <c r="F490" s="79">
        <v>139</v>
      </c>
      <c r="G490" s="80">
        <v>42496</v>
      </c>
      <c r="H490" s="80"/>
      <c r="I490" s="80">
        <v>42496</v>
      </c>
      <c r="J490" s="79" t="s">
        <v>155</v>
      </c>
      <c r="K490" s="79">
        <v>19.39</v>
      </c>
      <c r="L490" s="79">
        <v>19.22</v>
      </c>
      <c r="M490" s="79">
        <f t="shared" si="58"/>
        <v>19.22</v>
      </c>
      <c r="N490" s="81">
        <f t="shared" si="60"/>
        <v>42510</v>
      </c>
      <c r="O490" s="79">
        <v>1747039</v>
      </c>
      <c r="P490" s="89">
        <f t="shared" si="59"/>
        <v>1731722</v>
      </c>
      <c r="Q490" s="176">
        <v>42530</v>
      </c>
      <c r="R490" s="66">
        <v>42530</v>
      </c>
      <c r="S490" s="187">
        <f t="shared" si="56"/>
        <v>20</v>
      </c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</row>
    <row r="491" spans="1:34" s="3" customFormat="1" hidden="1" x14ac:dyDescent="0.25">
      <c r="A491" s="97">
        <f>+closed!A490+1</f>
        <v>37</v>
      </c>
      <c r="B491" s="78">
        <v>42528</v>
      </c>
      <c r="C491" s="79">
        <v>103</v>
      </c>
      <c r="D491" s="79">
        <v>3000030384</v>
      </c>
      <c r="E491" s="79" t="s">
        <v>154</v>
      </c>
      <c r="F491" s="79">
        <v>145</v>
      </c>
      <c r="G491" s="80">
        <v>42496</v>
      </c>
      <c r="H491" s="80"/>
      <c r="I491" s="80">
        <v>42496</v>
      </c>
      <c r="J491" s="79" t="s">
        <v>155</v>
      </c>
      <c r="K491" s="79">
        <v>20.66</v>
      </c>
      <c r="L491" s="79">
        <v>20.57</v>
      </c>
      <c r="M491" s="79">
        <f t="shared" si="58"/>
        <v>20.57</v>
      </c>
      <c r="N491" s="81">
        <f t="shared" si="60"/>
        <v>42510</v>
      </c>
      <c r="O491" s="79">
        <v>1861466</v>
      </c>
      <c r="P491" s="82">
        <f t="shared" si="59"/>
        <v>1853357</v>
      </c>
      <c r="Q491" s="176">
        <v>42529</v>
      </c>
      <c r="R491" s="66">
        <v>42530</v>
      </c>
      <c r="S491" s="187">
        <f t="shared" si="56"/>
        <v>20</v>
      </c>
      <c r="T491" s="86">
        <v>12719513</v>
      </c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</row>
    <row r="492" spans="1:34" s="83" customFormat="1" hidden="1" x14ac:dyDescent="0.25">
      <c r="A492" s="97">
        <f>+closed!A491+1</f>
        <v>38</v>
      </c>
      <c r="B492" s="78">
        <v>42528</v>
      </c>
      <c r="C492" s="79">
        <v>103</v>
      </c>
      <c r="D492" s="79">
        <v>3000030384</v>
      </c>
      <c r="E492" s="79" t="s">
        <v>154</v>
      </c>
      <c r="F492" s="79">
        <v>148</v>
      </c>
      <c r="G492" s="80">
        <v>42497</v>
      </c>
      <c r="H492" s="80"/>
      <c r="I492" s="80">
        <v>42497</v>
      </c>
      <c r="J492" s="79" t="s">
        <v>155</v>
      </c>
      <c r="K492" s="79">
        <v>20.010000000000002</v>
      </c>
      <c r="L492" s="79">
        <v>19.920000000000002</v>
      </c>
      <c r="M492" s="79">
        <f t="shared" si="58"/>
        <v>19.920000000000002</v>
      </c>
      <c r="N492" s="81">
        <f t="shared" si="60"/>
        <v>42511</v>
      </c>
      <c r="O492" s="79">
        <v>1802895</v>
      </c>
      <c r="P492" s="89">
        <f t="shared" si="59"/>
        <v>1794786.0269865068</v>
      </c>
      <c r="Q492" s="176">
        <v>42530</v>
      </c>
      <c r="R492" s="66">
        <v>42530</v>
      </c>
      <c r="S492" s="187">
        <f t="shared" si="56"/>
        <v>19</v>
      </c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</row>
    <row r="493" spans="1:34" s="83" customFormat="1" hidden="1" x14ac:dyDescent="0.25">
      <c r="A493" s="97">
        <f>+closed!A492+1</f>
        <v>39</v>
      </c>
      <c r="B493" s="78">
        <v>42528</v>
      </c>
      <c r="C493" s="79">
        <v>103</v>
      </c>
      <c r="D493" s="79">
        <v>3000030384</v>
      </c>
      <c r="E493" s="79" t="s">
        <v>154</v>
      </c>
      <c r="F493" s="79">
        <v>149</v>
      </c>
      <c r="G493" s="80">
        <v>42497</v>
      </c>
      <c r="H493" s="80"/>
      <c r="I493" s="80">
        <v>42497</v>
      </c>
      <c r="J493" s="79" t="s">
        <v>155</v>
      </c>
      <c r="K493" s="79">
        <v>19.399999999999999</v>
      </c>
      <c r="L493" s="79">
        <v>19.3</v>
      </c>
      <c r="M493" s="79">
        <f t="shared" si="58"/>
        <v>19.3</v>
      </c>
      <c r="N493" s="81">
        <f t="shared" si="60"/>
        <v>42511</v>
      </c>
      <c r="O493" s="79">
        <v>1747934</v>
      </c>
      <c r="P493" s="89">
        <f t="shared" si="59"/>
        <v>1738924.0309278353</v>
      </c>
      <c r="Q493" s="176">
        <v>42530</v>
      </c>
      <c r="R493" s="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</row>
    <row r="494" spans="1:34" s="83" customFormat="1" hidden="1" x14ac:dyDescent="0.25">
      <c r="A494" s="97">
        <f>+closed!A493+1</f>
        <v>40</v>
      </c>
      <c r="B494" s="78">
        <v>42528</v>
      </c>
      <c r="C494" s="79">
        <v>103</v>
      </c>
      <c r="D494" s="79">
        <v>3000030384</v>
      </c>
      <c r="E494" s="79" t="s">
        <v>154</v>
      </c>
      <c r="F494" s="79">
        <v>152</v>
      </c>
      <c r="G494" s="80">
        <v>42497</v>
      </c>
      <c r="H494" s="80"/>
      <c r="I494" s="80">
        <v>42497</v>
      </c>
      <c r="J494" s="79" t="s">
        <v>155</v>
      </c>
      <c r="K494" s="79">
        <v>25.33</v>
      </c>
      <c r="L494" s="79">
        <v>25.18</v>
      </c>
      <c r="M494" s="79">
        <f t="shared" si="58"/>
        <v>25.18</v>
      </c>
      <c r="N494" s="81">
        <f t="shared" si="60"/>
        <v>42511</v>
      </c>
      <c r="O494" s="79">
        <v>2282233</v>
      </c>
      <c r="P494" s="89">
        <f t="shared" si="59"/>
        <v>2268718</v>
      </c>
      <c r="Q494" s="176">
        <v>42530</v>
      </c>
      <c r="R494" s="5"/>
      <c r="S494" s="187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spans="1:34" s="83" customFormat="1" hidden="1" x14ac:dyDescent="0.25">
      <c r="A495" s="97">
        <f>+closed!A483+1</f>
        <v>29</v>
      </c>
      <c r="B495" s="78">
        <v>42528</v>
      </c>
      <c r="C495" s="79">
        <v>103</v>
      </c>
      <c r="D495" s="79">
        <v>3000030384</v>
      </c>
      <c r="E495" s="79" t="s">
        <v>154</v>
      </c>
      <c r="F495" s="87">
        <v>160</v>
      </c>
      <c r="G495" s="80">
        <v>42498</v>
      </c>
      <c r="H495" s="80"/>
      <c r="I495" s="80">
        <v>42498</v>
      </c>
      <c r="J495" s="79" t="s">
        <v>155</v>
      </c>
      <c r="K495" s="79">
        <v>13.43</v>
      </c>
      <c r="L495" s="79">
        <v>13.33</v>
      </c>
      <c r="M495" s="79">
        <f t="shared" si="58"/>
        <v>13.33</v>
      </c>
      <c r="N495" s="81">
        <f t="shared" si="60"/>
        <v>42512</v>
      </c>
      <c r="O495" s="79">
        <v>1210039</v>
      </c>
      <c r="P495" s="89">
        <f t="shared" si="59"/>
        <v>1201029.0297840657</v>
      </c>
      <c r="Q495" s="176">
        <v>42530</v>
      </c>
      <c r="R495" s="5"/>
      <c r="S495" s="187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spans="1:34" s="3" customFormat="1" hidden="1" x14ac:dyDescent="0.25">
      <c r="A496" s="84">
        <f>+closed!A447+1</f>
        <v>411</v>
      </c>
      <c r="B496" s="24">
        <v>42509</v>
      </c>
      <c r="C496" s="1">
        <v>114</v>
      </c>
      <c r="D496" s="1">
        <v>3000030302</v>
      </c>
      <c r="E496" s="1" t="s">
        <v>44</v>
      </c>
      <c r="F496" s="1">
        <v>12</v>
      </c>
      <c r="G496" s="25">
        <v>42501</v>
      </c>
      <c r="H496" s="25"/>
      <c r="I496" s="25">
        <v>42505</v>
      </c>
      <c r="J496" s="1" t="s">
        <v>8</v>
      </c>
      <c r="K496" s="1">
        <v>27.06</v>
      </c>
      <c r="L496" s="1">
        <v>27.03</v>
      </c>
      <c r="M496" s="1">
        <f t="shared" si="58"/>
        <v>27.03</v>
      </c>
      <c r="N496" s="7">
        <f t="shared" si="60"/>
        <v>42519</v>
      </c>
      <c r="O496" s="1">
        <v>1509948</v>
      </c>
      <c r="P496" s="36">
        <f t="shared" si="59"/>
        <v>1508274</v>
      </c>
      <c r="Q496" s="170">
        <v>42530</v>
      </c>
      <c r="R496" s="66">
        <v>42530</v>
      </c>
      <c r="S496" s="187">
        <f t="shared" ref="S496:S516" si="61">R496-N496</f>
        <v>11</v>
      </c>
    </row>
    <row r="497" spans="1:19" s="3" customFormat="1" hidden="1" x14ac:dyDescent="0.25">
      <c r="A497" s="84">
        <f>+closed!A511+1</f>
        <v>491</v>
      </c>
      <c r="B497" s="24">
        <v>42521</v>
      </c>
      <c r="C497" s="1">
        <v>114</v>
      </c>
      <c r="D497" s="1" t="s">
        <v>148</v>
      </c>
      <c r="E497" s="1" t="s">
        <v>44</v>
      </c>
      <c r="F497" s="20" t="s">
        <v>149</v>
      </c>
      <c r="G497" s="25">
        <v>42521</v>
      </c>
      <c r="H497" s="25"/>
      <c r="I497" s="25">
        <v>42508</v>
      </c>
      <c r="J497" s="1" t="s">
        <v>8</v>
      </c>
      <c r="K497" s="1"/>
      <c r="L497" s="1"/>
      <c r="M497" s="1">
        <f t="shared" si="58"/>
        <v>0</v>
      </c>
      <c r="N497" s="7">
        <f t="shared" si="60"/>
        <v>42522</v>
      </c>
      <c r="O497" s="1">
        <v>9503</v>
      </c>
      <c r="P497" s="36"/>
      <c r="Q497" s="170">
        <v>42530</v>
      </c>
      <c r="R497" s="66">
        <v>42530</v>
      </c>
      <c r="S497" s="187">
        <f t="shared" si="61"/>
        <v>8</v>
      </c>
    </row>
    <row r="498" spans="1:19" s="3" customFormat="1" hidden="1" x14ac:dyDescent="0.25">
      <c r="A498" s="84">
        <f>+closed!A497+1</f>
        <v>492</v>
      </c>
      <c r="B498" s="24">
        <v>42521</v>
      </c>
      <c r="C498" s="1">
        <v>114</v>
      </c>
      <c r="D498" s="1">
        <v>3000030302</v>
      </c>
      <c r="E498" s="1" t="s">
        <v>44</v>
      </c>
      <c r="F498" s="16">
        <v>17</v>
      </c>
      <c r="G498" s="25">
        <v>42503</v>
      </c>
      <c r="H498" s="25"/>
      <c r="I498" s="25">
        <v>42508</v>
      </c>
      <c r="J498" s="1" t="s">
        <v>8</v>
      </c>
      <c r="K498" s="1">
        <v>22.94</v>
      </c>
      <c r="L498" s="1">
        <v>22.94</v>
      </c>
      <c r="M498" s="1">
        <f t="shared" si="58"/>
        <v>22.94</v>
      </c>
      <c r="N498" s="7">
        <f t="shared" si="60"/>
        <v>42522</v>
      </c>
      <c r="O498" s="1">
        <v>1280052</v>
      </c>
      <c r="P498" s="36">
        <f>(+O498/K498*M498)-9503</f>
        <v>1270549</v>
      </c>
      <c r="Q498" s="170">
        <v>42530</v>
      </c>
      <c r="R498" s="66">
        <v>42530</v>
      </c>
      <c r="S498" s="187">
        <f t="shared" si="61"/>
        <v>8</v>
      </c>
    </row>
    <row r="499" spans="1:19" s="3" customFormat="1" hidden="1" x14ac:dyDescent="0.25">
      <c r="A499" s="84">
        <f>+closed!A498+1</f>
        <v>493</v>
      </c>
      <c r="B499" s="24">
        <v>42521</v>
      </c>
      <c r="C499" s="1">
        <v>114</v>
      </c>
      <c r="D499" s="1">
        <v>3000030727</v>
      </c>
      <c r="E499" s="1" t="s">
        <v>44</v>
      </c>
      <c r="F499" s="16">
        <v>17</v>
      </c>
      <c r="G499" s="25" t="s">
        <v>150</v>
      </c>
      <c r="H499" s="25"/>
      <c r="I499" s="25">
        <v>42508</v>
      </c>
      <c r="J499" s="1" t="s">
        <v>8</v>
      </c>
      <c r="K499" s="1">
        <v>7.31</v>
      </c>
      <c r="L499" s="1">
        <v>7.42</v>
      </c>
      <c r="M499" s="1">
        <f t="shared" si="58"/>
        <v>7.31</v>
      </c>
      <c r="N499" s="7">
        <f t="shared" si="60"/>
        <v>42522</v>
      </c>
      <c r="O499" s="1">
        <v>407898</v>
      </c>
      <c r="P499" s="36">
        <f>(+O499/K499*M499)</f>
        <v>407898</v>
      </c>
      <c r="Q499" s="170">
        <v>42530</v>
      </c>
      <c r="R499" s="66">
        <v>42530</v>
      </c>
      <c r="S499" s="187">
        <f t="shared" si="61"/>
        <v>8</v>
      </c>
    </row>
    <row r="500" spans="1:19" s="3" customFormat="1" hidden="1" x14ac:dyDescent="0.25">
      <c r="A500" s="84">
        <f>+closed!A503+1</f>
        <v>422</v>
      </c>
      <c r="B500" s="24">
        <v>42513</v>
      </c>
      <c r="C500" s="1">
        <v>114</v>
      </c>
      <c r="D500" s="1">
        <v>3000028710</v>
      </c>
      <c r="E500" s="1" t="s">
        <v>39</v>
      </c>
      <c r="F500" s="1">
        <v>13</v>
      </c>
      <c r="G500" s="25">
        <v>42502</v>
      </c>
      <c r="H500" s="25"/>
      <c r="I500" s="25">
        <v>42506</v>
      </c>
      <c r="J500" s="1" t="s">
        <v>8</v>
      </c>
      <c r="K500" s="1">
        <v>31.5</v>
      </c>
      <c r="L500" s="1">
        <v>31.35</v>
      </c>
      <c r="M500" s="1">
        <f t="shared" si="58"/>
        <v>31.35</v>
      </c>
      <c r="N500" s="7">
        <f t="shared" si="60"/>
        <v>42520</v>
      </c>
      <c r="O500" s="1">
        <v>1439550</v>
      </c>
      <c r="P500" s="36">
        <f>(+O500/K500*M500)</f>
        <v>1432695</v>
      </c>
      <c r="Q500" s="170">
        <v>42530</v>
      </c>
      <c r="R500" s="66">
        <v>42530</v>
      </c>
      <c r="S500" s="187">
        <f t="shared" si="61"/>
        <v>10</v>
      </c>
    </row>
    <row r="501" spans="1:19" s="3" customFormat="1" hidden="1" x14ac:dyDescent="0.25">
      <c r="A501" s="84">
        <f>+closed!A473+1</f>
        <v>424</v>
      </c>
      <c r="B501" s="24">
        <v>42513</v>
      </c>
      <c r="C501" s="1">
        <v>114</v>
      </c>
      <c r="D501" s="1">
        <v>3000029689</v>
      </c>
      <c r="E501" s="1" t="s">
        <v>37</v>
      </c>
      <c r="F501" s="16">
        <v>29</v>
      </c>
      <c r="G501" s="25">
        <v>42503</v>
      </c>
      <c r="H501" s="25"/>
      <c r="I501" s="25">
        <v>42506</v>
      </c>
      <c r="J501" s="1" t="s">
        <v>8</v>
      </c>
      <c r="K501" s="1">
        <v>2.96</v>
      </c>
      <c r="L501" s="1">
        <v>2.94</v>
      </c>
      <c r="M501" s="1">
        <f t="shared" si="58"/>
        <v>2.94</v>
      </c>
      <c r="N501" s="7">
        <f t="shared" si="60"/>
        <v>42520</v>
      </c>
      <c r="O501" s="1">
        <v>164280</v>
      </c>
      <c r="P501" s="36">
        <f>(+O501/K501*M501)</f>
        <v>163170</v>
      </c>
      <c r="Q501" s="170">
        <v>42530</v>
      </c>
      <c r="R501" s="66">
        <v>42530</v>
      </c>
      <c r="S501" s="187">
        <f t="shared" si="61"/>
        <v>10</v>
      </c>
    </row>
    <row r="502" spans="1:19" s="3" customFormat="1" hidden="1" x14ac:dyDescent="0.25">
      <c r="A502" s="84">
        <f>+closed!A501+1</f>
        <v>425</v>
      </c>
      <c r="B502" s="24">
        <v>42513</v>
      </c>
      <c r="C502" s="1">
        <v>114</v>
      </c>
      <c r="D502" s="1">
        <v>3000030439</v>
      </c>
      <c r="E502" s="1" t="s">
        <v>37</v>
      </c>
      <c r="F502" s="16">
        <v>29</v>
      </c>
      <c r="G502" s="25">
        <v>42503</v>
      </c>
      <c r="H502" s="25"/>
      <c r="I502" s="25">
        <v>42506</v>
      </c>
      <c r="J502" s="1" t="s">
        <v>8</v>
      </c>
      <c r="K502" s="1">
        <v>16.75</v>
      </c>
      <c r="L502" s="1">
        <v>16.75</v>
      </c>
      <c r="M502" s="1">
        <f t="shared" si="58"/>
        <v>16.75</v>
      </c>
      <c r="N502" s="7">
        <f t="shared" si="60"/>
        <v>42520</v>
      </c>
      <c r="O502" s="1">
        <v>914550</v>
      </c>
      <c r="P502" s="36">
        <f>(+O502/K502*M502)</f>
        <v>914550</v>
      </c>
      <c r="Q502" s="170">
        <v>42530</v>
      </c>
      <c r="R502" s="66">
        <v>42530</v>
      </c>
      <c r="S502" s="187">
        <f t="shared" si="61"/>
        <v>10</v>
      </c>
    </row>
    <row r="503" spans="1:19" s="3" customFormat="1" hidden="1" x14ac:dyDescent="0.25">
      <c r="A503" s="84">
        <f>+closed!A469+1</f>
        <v>421</v>
      </c>
      <c r="B503" s="24">
        <v>42513</v>
      </c>
      <c r="C503" s="1">
        <v>114</v>
      </c>
      <c r="D503" s="1">
        <v>3000030418</v>
      </c>
      <c r="E503" s="1" t="s">
        <v>18</v>
      </c>
      <c r="F503" s="1">
        <v>16</v>
      </c>
      <c r="G503" s="25">
        <v>42503</v>
      </c>
      <c r="H503" s="25"/>
      <c r="I503" s="25">
        <v>42507</v>
      </c>
      <c r="J503" s="1" t="s">
        <v>8</v>
      </c>
      <c r="K503" s="1">
        <v>27.81</v>
      </c>
      <c r="L503" s="1">
        <v>27.83</v>
      </c>
      <c r="M503" s="1">
        <f t="shared" si="58"/>
        <v>27.81</v>
      </c>
      <c r="N503" s="7">
        <f t="shared" si="60"/>
        <v>42521</v>
      </c>
      <c r="O503" s="1">
        <v>1518426</v>
      </c>
      <c r="P503" s="36">
        <f>(+O503/K503*M503)</f>
        <v>1518426</v>
      </c>
      <c r="Q503" s="170">
        <v>42530</v>
      </c>
      <c r="R503" s="66">
        <v>42530</v>
      </c>
      <c r="S503" s="187">
        <f t="shared" si="61"/>
        <v>9</v>
      </c>
    </row>
    <row r="504" spans="1:19" s="3" customFormat="1" hidden="1" x14ac:dyDescent="0.25">
      <c r="A504" s="84">
        <f>+closed!A476+1</f>
        <v>446</v>
      </c>
      <c r="B504" s="24">
        <v>42514</v>
      </c>
      <c r="C504" s="1">
        <v>114</v>
      </c>
      <c r="D504" s="1">
        <v>3000028621</v>
      </c>
      <c r="E504" s="1" t="s">
        <v>49</v>
      </c>
      <c r="F504" s="20" t="s">
        <v>143</v>
      </c>
      <c r="G504" s="25">
        <v>42513</v>
      </c>
      <c r="H504" s="25"/>
      <c r="I504" s="25">
        <v>42508</v>
      </c>
      <c r="J504" s="1" t="s">
        <v>16</v>
      </c>
      <c r="K504" s="1"/>
      <c r="L504" s="1"/>
      <c r="M504" s="1">
        <f t="shared" si="58"/>
        <v>0</v>
      </c>
      <c r="N504" s="7">
        <f t="shared" si="60"/>
        <v>42522</v>
      </c>
      <c r="O504" s="1">
        <v>18445</v>
      </c>
      <c r="P504" s="36"/>
      <c r="Q504" s="170">
        <v>42530</v>
      </c>
      <c r="R504" s="66">
        <v>42530</v>
      </c>
      <c r="S504" s="187">
        <f t="shared" si="61"/>
        <v>8</v>
      </c>
    </row>
    <row r="505" spans="1:19" s="3" customFormat="1" hidden="1" x14ac:dyDescent="0.25">
      <c r="A505" s="84">
        <f>+closed!A504+1</f>
        <v>447</v>
      </c>
      <c r="B505" s="24">
        <v>42514</v>
      </c>
      <c r="C505" s="1">
        <v>114</v>
      </c>
      <c r="D505" s="1">
        <v>3000028621</v>
      </c>
      <c r="E505" s="1" t="s">
        <v>49</v>
      </c>
      <c r="F505" s="16">
        <v>14</v>
      </c>
      <c r="G505" s="25">
        <v>42501</v>
      </c>
      <c r="H505" s="25"/>
      <c r="I505" s="25">
        <v>42508</v>
      </c>
      <c r="J505" s="1" t="s">
        <v>16</v>
      </c>
      <c r="K505" s="1">
        <v>28.38</v>
      </c>
      <c r="L505" s="1">
        <v>28.29</v>
      </c>
      <c r="M505" s="1">
        <f t="shared" ref="M505:M536" si="62">IF(L505&gt;K505,K505,L505)</f>
        <v>28.29</v>
      </c>
      <c r="N505" s="7">
        <f t="shared" si="60"/>
        <v>42522</v>
      </c>
      <c r="O505" s="1">
        <v>1362240</v>
      </c>
      <c r="P505" s="36">
        <f>(+O505/K505*M505)-18445</f>
        <v>1339475</v>
      </c>
      <c r="Q505" s="170">
        <v>42530</v>
      </c>
      <c r="R505" s="66">
        <v>42530</v>
      </c>
      <c r="S505" s="187">
        <f t="shared" si="61"/>
        <v>8</v>
      </c>
    </row>
    <row r="506" spans="1:19" s="3" customFormat="1" hidden="1" x14ac:dyDescent="0.25">
      <c r="A506" s="84">
        <f>+closed!A477+1</f>
        <v>437</v>
      </c>
      <c r="B506" s="24">
        <v>42514</v>
      </c>
      <c r="C506" s="1">
        <v>114</v>
      </c>
      <c r="D506" s="1">
        <v>3000030056</v>
      </c>
      <c r="E506" s="1" t="s">
        <v>138</v>
      </c>
      <c r="F506" s="16">
        <v>8959</v>
      </c>
      <c r="G506" s="25">
        <v>42509</v>
      </c>
      <c r="H506" s="25"/>
      <c r="I506" s="25">
        <v>42511</v>
      </c>
      <c r="J506" s="1" t="s">
        <v>8</v>
      </c>
      <c r="K506" s="1">
        <v>9.5</v>
      </c>
      <c r="L506" s="1">
        <v>9.5</v>
      </c>
      <c r="M506" s="1">
        <f t="shared" si="62"/>
        <v>9.5</v>
      </c>
      <c r="N506" s="7">
        <f t="shared" si="60"/>
        <v>42525</v>
      </c>
      <c r="O506" s="1">
        <v>517750</v>
      </c>
      <c r="P506" s="36">
        <f>(+O506/K506*M506)</f>
        <v>517750</v>
      </c>
      <c r="Q506" s="170">
        <v>42530</v>
      </c>
      <c r="R506" s="66">
        <v>42530</v>
      </c>
      <c r="S506" s="187">
        <f t="shared" si="61"/>
        <v>5</v>
      </c>
    </row>
    <row r="507" spans="1:19" s="3" customFormat="1" hidden="1" x14ac:dyDescent="0.25">
      <c r="A507" s="84">
        <f>+closed!A506+1</f>
        <v>438</v>
      </c>
      <c r="B507" s="24">
        <v>42514</v>
      </c>
      <c r="C507" s="1">
        <v>114</v>
      </c>
      <c r="D507" s="1">
        <v>3000030304</v>
      </c>
      <c r="E507" s="1" t="s">
        <v>138</v>
      </c>
      <c r="F507" s="16">
        <v>8960</v>
      </c>
      <c r="G507" s="25">
        <v>42509</v>
      </c>
      <c r="H507" s="25"/>
      <c r="I507" s="25">
        <v>42511</v>
      </c>
      <c r="J507" s="1" t="s">
        <v>8</v>
      </c>
      <c r="K507" s="1">
        <v>17.010000000000002</v>
      </c>
      <c r="L507" s="1">
        <v>16.95</v>
      </c>
      <c r="M507" s="1">
        <f t="shared" si="62"/>
        <v>16.95</v>
      </c>
      <c r="N507" s="7">
        <f t="shared" si="60"/>
        <v>42525</v>
      </c>
      <c r="O507" s="1">
        <v>949158</v>
      </c>
      <c r="P507" s="36">
        <f>(+O507/K507*M507)</f>
        <v>945809.99999999988</v>
      </c>
      <c r="Q507" s="170">
        <v>42530</v>
      </c>
      <c r="R507" s="66">
        <v>42530</v>
      </c>
      <c r="S507" s="187">
        <f t="shared" si="61"/>
        <v>5</v>
      </c>
    </row>
    <row r="508" spans="1:19" s="3" customFormat="1" hidden="1" x14ac:dyDescent="0.25">
      <c r="A508" s="84">
        <f>+closed!A507+1</f>
        <v>439</v>
      </c>
      <c r="B508" s="24">
        <v>42514</v>
      </c>
      <c r="C508" s="1">
        <v>114</v>
      </c>
      <c r="D508" s="1">
        <v>3000030304</v>
      </c>
      <c r="E508" s="1" t="s">
        <v>138</v>
      </c>
      <c r="F508" s="1">
        <v>8961</v>
      </c>
      <c r="G508" s="25">
        <v>42509</v>
      </c>
      <c r="H508" s="25"/>
      <c r="I508" s="25">
        <v>42511</v>
      </c>
      <c r="J508" s="1" t="s">
        <v>8</v>
      </c>
      <c r="K508" s="1">
        <v>27.01</v>
      </c>
      <c r="L508" s="1">
        <v>26.97</v>
      </c>
      <c r="M508" s="1">
        <f t="shared" si="62"/>
        <v>26.97</v>
      </c>
      <c r="N508" s="7">
        <f t="shared" si="60"/>
        <v>42525</v>
      </c>
      <c r="O508" s="1">
        <v>1507158</v>
      </c>
      <c r="P508" s="36">
        <f>(+O508/K508*M508)</f>
        <v>1504926</v>
      </c>
      <c r="Q508" s="170">
        <v>42530</v>
      </c>
      <c r="R508" s="66">
        <v>42530</v>
      </c>
      <c r="S508" s="187">
        <f t="shared" si="61"/>
        <v>5</v>
      </c>
    </row>
    <row r="509" spans="1:19" s="3" customFormat="1" hidden="1" x14ac:dyDescent="0.25">
      <c r="A509" s="84">
        <f>+closed!A512+1</f>
        <v>459</v>
      </c>
      <c r="B509" s="24">
        <v>42516</v>
      </c>
      <c r="C509" s="1">
        <v>114</v>
      </c>
      <c r="D509" s="1">
        <v>3000029686</v>
      </c>
      <c r="E509" s="1" t="s">
        <v>29</v>
      </c>
      <c r="F509" s="1">
        <v>62</v>
      </c>
      <c r="G509" s="25">
        <v>42507</v>
      </c>
      <c r="H509" s="25"/>
      <c r="I509" s="25">
        <v>42511</v>
      </c>
      <c r="J509" s="1" t="s">
        <v>8</v>
      </c>
      <c r="K509" s="1">
        <v>27.1</v>
      </c>
      <c r="L509" s="1">
        <v>27.03</v>
      </c>
      <c r="M509" s="1">
        <f t="shared" si="62"/>
        <v>27.03</v>
      </c>
      <c r="N509" s="7">
        <f t="shared" si="60"/>
        <v>42525</v>
      </c>
      <c r="O509" s="1">
        <v>1504050</v>
      </c>
      <c r="P509" s="36">
        <f>(+O509/K509*M509)</f>
        <v>1500165</v>
      </c>
      <c r="Q509" s="170">
        <v>42530</v>
      </c>
      <c r="R509" s="66">
        <v>42530</v>
      </c>
      <c r="S509" s="187">
        <f t="shared" si="61"/>
        <v>5</v>
      </c>
    </row>
    <row r="510" spans="1:19" s="3" customFormat="1" hidden="1" x14ac:dyDescent="0.25">
      <c r="A510" s="84">
        <f>+closed!A595+1</f>
        <v>489</v>
      </c>
      <c r="B510" s="24">
        <v>42521</v>
      </c>
      <c r="C510" s="1">
        <v>114</v>
      </c>
      <c r="D510" s="1">
        <v>3000030056</v>
      </c>
      <c r="E510" s="1" t="s">
        <v>138</v>
      </c>
      <c r="F510" s="20" t="s">
        <v>147</v>
      </c>
      <c r="G510" s="25">
        <v>42516</v>
      </c>
      <c r="H510" s="25"/>
      <c r="I510" s="25">
        <v>42511</v>
      </c>
      <c r="J510" s="1" t="s">
        <v>8</v>
      </c>
      <c r="K510" s="1"/>
      <c r="L510" s="1"/>
      <c r="M510" s="1">
        <f t="shared" si="62"/>
        <v>0</v>
      </c>
      <c r="N510" s="7">
        <f t="shared" si="60"/>
        <v>42525</v>
      </c>
      <c r="O510" s="1">
        <v>16030</v>
      </c>
      <c r="P510" s="38"/>
      <c r="Q510" s="170">
        <v>42530</v>
      </c>
      <c r="R510" s="66">
        <v>42530</v>
      </c>
      <c r="S510" s="187">
        <f t="shared" si="61"/>
        <v>5</v>
      </c>
    </row>
    <row r="511" spans="1:19" s="3" customFormat="1" hidden="1" x14ac:dyDescent="0.25">
      <c r="A511" s="84">
        <f>+closed!A510+1</f>
        <v>490</v>
      </c>
      <c r="B511" s="24">
        <v>42521</v>
      </c>
      <c r="C511" s="1">
        <v>114</v>
      </c>
      <c r="D511" s="1">
        <v>3000030056</v>
      </c>
      <c r="E511" s="1" t="s">
        <v>138</v>
      </c>
      <c r="F511" s="16">
        <v>8957</v>
      </c>
      <c r="G511" s="25">
        <v>42507</v>
      </c>
      <c r="H511" s="25"/>
      <c r="I511" s="25">
        <v>42511</v>
      </c>
      <c r="J511" s="1" t="s">
        <v>8</v>
      </c>
      <c r="K511" s="1">
        <v>22.95</v>
      </c>
      <c r="L511" s="1">
        <v>22.9</v>
      </c>
      <c r="M511" s="1">
        <f t="shared" si="62"/>
        <v>22.9</v>
      </c>
      <c r="N511" s="7">
        <f t="shared" si="60"/>
        <v>42525</v>
      </c>
      <c r="O511" s="1">
        <v>1250775</v>
      </c>
      <c r="P511" s="36">
        <f>(+O511/K511*M511)-16030</f>
        <v>1232020</v>
      </c>
      <c r="Q511" s="170">
        <v>42530</v>
      </c>
      <c r="R511" s="66">
        <v>42530</v>
      </c>
      <c r="S511" s="187">
        <f t="shared" si="61"/>
        <v>5</v>
      </c>
    </row>
    <row r="512" spans="1:19" s="3" customFormat="1" hidden="1" x14ac:dyDescent="0.25">
      <c r="A512" s="84">
        <f>+closed!A556+1</f>
        <v>458</v>
      </c>
      <c r="B512" s="24">
        <v>42516</v>
      </c>
      <c r="C512" s="1">
        <v>114</v>
      </c>
      <c r="D512" s="1">
        <v>3000028624</v>
      </c>
      <c r="E512" s="1" t="s">
        <v>15</v>
      </c>
      <c r="F512" s="1">
        <v>3050</v>
      </c>
      <c r="G512" s="25">
        <v>42511</v>
      </c>
      <c r="H512" s="25"/>
      <c r="I512" s="25">
        <v>42513</v>
      </c>
      <c r="J512" s="1" t="s">
        <v>16</v>
      </c>
      <c r="K512" s="1">
        <v>27.815000000000001</v>
      </c>
      <c r="L512" s="1">
        <v>27.51</v>
      </c>
      <c r="M512" s="1">
        <f t="shared" si="62"/>
        <v>27.51</v>
      </c>
      <c r="N512" s="7">
        <f t="shared" si="60"/>
        <v>42527</v>
      </c>
      <c r="O512" s="1">
        <v>1335120</v>
      </c>
      <c r="P512" s="36">
        <f t="shared" ref="P512:P543" si="63">(+O512/K512*M512)</f>
        <v>1320480</v>
      </c>
      <c r="Q512" s="170">
        <v>42530</v>
      </c>
      <c r="R512" s="66">
        <v>42530</v>
      </c>
      <c r="S512" s="187">
        <f t="shared" si="61"/>
        <v>3</v>
      </c>
    </row>
    <row r="513" spans="1:20" s="3" customFormat="1" hidden="1" x14ac:dyDescent="0.25">
      <c r="A513" s="84">
        <f>+closed!A657+1</f>
        <v>481</v>
      </c>
      <c r="B513" s="24">
        <v>42521</v>
      </c>
      <c r="C513" s="1">
        <v>114</v>
      </c>
      <c r="D513" s="1">
        <v>3000029688</v>
      </c>
      <c r="E513" s="1" t="s">
        <v>15</v>
      </c>
      <c r="F513" s="16">
        <v>3052</v>
      </c>
      <c r="G513" s="25">
        <v>42514</v>
      </c>
      <c r="H513" s="25"/>
      <c r="I513" s="25">
        <v>42517</v>
      </c>
      <c r="J513" s="1" t="s">
        <v>8</v>
      </c>
      <c r="K513" s="1">
        <v>11.11</v>
      </c>
      <c r="L513" s="1">
        <v>11.04</v>
      </c>
      <c r="M513" s="1">
        <f t="shared" si="62"/>
        <v>11.04</v>
      </c>
      <c r="N513" s="7">
        <f t="shared" si="60"/>
        <v>42531</v>
      </c>
      <c r="O513" s="1">
        <v>616605</v>
      </c>
      <c r="P513" s="36">
        <f t="shared" si="63"/>
        <v>612720</v>
      </c>
      <c r="Q513" s="170">
        <v>42530</v>
      </c>
      <c r="R513" s="66">
        <v>42530</v>
      </c>
      <c r="S513" s="187">
        <f t="shared" si="61"/>
        <v>-1</v>
      </c>
    </row>
    <row r="514" spans="1:20" s="3" customFormat="1" hidden="1" x14ac:dyDescent="0.25">
      <c r="A514" s="84">
        <f>+closed!A513+1</f>
        <v>482</v>
      </c>
      <c r="B514" s="24">
        <v>42521</v>
      </c>
      <c r="C514" s="1">
        <v>114</v>
      </c>
      <c r="D514" s="1">
        <v>3000030052</v>
      </c>
      <c r="E514" s="1" t="s">
        <v>15</v>
      </c>
      <c r="F514" s="16">
        <v>3052</v>
      </c>
      <c r="G514" s="25">
        <v>42514</v>
      </c>
      <c r="H514" s="25"/>
      <c r="I514" s="25">
        <v>42517</v>
      </c>
      <c r="J514" s="1" t="s">
        <v>8</v>
      </c>
      <c r="K514" s="1">
        <v>17</v>
      </c>
      <c r="L514" s="1">
        <v>17</v>
      </c>
      <c r="M514" s="1">
        <f t="shared" si="62"/>
        <v>17</v>
      </c>
      <c r="N514" s="7">
        <f t="shared" si="60"/>
        <v>42531</v>
      </c>
      <c r="O514" s="1">
        <v>926500</v>
      </c>
      <c r="P514" s="36">
        <f t="shared" si="63"/>
        <v>926500</v>
      </c>
      <c r="Q514" s="170">
        <v>42530</v>
      </c>
      <c r="R514" s="66">
        <v>42530</v>
      </c>
      <c r="S514" s="187">
        <f t="shared" si="61"/>
        <v>-1</v>
      </c>
    </row>
    <row r="515" spans="1:20" s="3" customFormat="1" hidden="1" x14ac:dyDescent="0.25">
      <c r="A515" s="84">
        <f>+closed!A427+1</f>
        <v>450</v>
      </c>
      <c r="B515" s="24">
        <v>42515</v>
      </c>
      <c r="C515" s="1">
        <v>103</v>
      </c>
      <c r="D515" s="1">
        <v>3000030713</v>
      </c>
      <c r="E515" s="1" t="s">
        <v>60</v>
      </c>
      <c r="F515" s="1">
        <v>147</v>
      </c>
      <c r="G515" s="25">
        <v>42507</v>
      </c>
      <c r="H515" s="25"/>
      <c r="I515" s="25">
        <v>42511</v>
      </c>
      <c r="J515" s="1" t="s">
        <v>61</v>
      </c>
      <c r="K515" s="1">
        <v>20.58</v>
      </c>
      <c r="L515" s="1">
        <v>20.46</v>
      </c>
      <c r="M515" s="1">
        <f t="shared" si="62"/>
        <v>20.46</v>
      </c>
      <c r="N515" s="7">
        <f>+I515+20-1</f>
        <v>42530</v>
      </c>
      <c r="O515" s="1">
        <v>1708087</v>
      </c>
      <c r="P515" s="36">
        <f t="shared" si="63"/>
        <v>1698127.309037901</v>
      </c>
      <c r="Q515" s="170">
        <v>42530</v>
      </c>
      <c r="R515" s="66">
        <v>42530</v>
      </c>
      <c r="S515" s="187">
        <f t="shared" si="61"/>
        <v>0</v>
      </c>
    </row>
    <row r="516" spans="1:20" s="3" customFormat="1" hidden="1" x14ac:dyDescent="0.25">
      <c r="A516" s="84">
        <f>+closed!A552+1</f>
        <v>452</v>
      </c>
      <c r="B516" s="24">
        <v>42515</v>
      </c>
      <c r="C516" s="1">
        <v>103</v>
      </c>
      <c r="D516" s="1">
        <v>3000030713</v>
      </c>
      <c r="E516" s="1" t="s">
        <v>60</v>
      </c>
      <c r="F516" s="1">
        <v>148</v>
      </c>
      <c r="G516" s="25">
        <v>42507</v>
      </c>
      <c r="H516" s="25"/>
      <c r="I516" s="25">
        <v>42511</v>
      </c>
      <c r="J516" s="1" t="s">
        <v>61</v>
      </c>
      <c r="K516" s="1">
        <v>20.440000000000001</v>
      </c>
      <c r="L516" s="1">
        <v>20.36</v>
      </c>
      <c r="M516" s="1">
        <f t="shared" si="62"/>
        <v>20.36</v>
      </c>
      <c r="N516" s="7">
        <f>+I516+20-1</f>
        <v>42530</v>
      </c>
      <c r="O516" s="1">
        <v>1696467</v>
      </c>
      <c r="P516" s="36">
        <f t="shared" si="63"/>
        <v>1689827.2074363991</v>
      </c>
      <c r="Q516" s="170">
        <v>42530</v>
      </c>
      <c r="R516" s="66">
        <v>42530</v>
      </c>
      <c r="S516" s="187">
        <f t="shared" si="61"/>
        <v>0</v>
      </c>
      <c r="T516" s="15">
        <v>31038740</v>
      </c>
    </row>
    <row r="517" spans="1:20" s="3" customFormat="1" hidden="1" x14ac:dyDescent="0.25">
      <c r="A517" s="55">
        <f>+closed!A459+1</f>
        <v>110</v>
      </c>
      <c r="B517" s="54">
        <v>42436</v>
      </c>
      <c r="C517" s="55">
        <v>103</v>
      </c>
      <c r="D517" s="55">
        <v>3000027769</v>
      </c>
      <c r="E517" s="55" t="s">
        <v>23</v>
      </c>
      <c r="F517" s="55">
        <v>2602046635</v>
      </c>
      <c r="G517" s="56">
        <v>42420</v>
      </c>
      <c r="H517" s="56"/>
      <c r="I517" s="56">
        <v>42422</v>
      </c>
      <c r="J517" s="55" t="s">
        <v>43</v>
      </c>
      <c r="K517" s="55">
        <v>25.83</v>
      </c>
      <c r="L517" s="55">
        <v>25.84</v>
      </c>
      <c r="M517" s="55">
        <f t="shared" si="62"/>
        <v>25.83</v>
      </c>
      <c r="N517" s="23"/>
      <c r="O517" s="55">
        <v>1361066</v>
      </c>
      <c r="P517" s="57">
        <f t="shared" si="63"/>
        <v>1361066</v>
      </c>
      <c r="Q517" s="174">
        <v>42529</v>
      </c>
      <c r="R517" s="23">
        <v>42530</v>
      </c>
    </row>
    <row r="518" spans="1:20" s="3" customFormat="1" hidden="1" x14ac:dyDescent="0.25">
      <c r="A518" s="55">
        <f>+closed!A517+1</f>
        <v>111</v>
      </c>
      <c r="B518" s="54">
        <v>42436</v>
      </c>
      <c r="C518" s="55">
        <v>103</v>
      </c>
      <c r="D518" s="55">
        <v>3000027769</v>
      </c>
      <c r="E518" s="55" t="s">
        <v>23</v>
      </c>
      <c r="F518" s="55">
        <v>2602046610</v>
      </c>
      <c r="G518" s="56">
        <v>42419</v>
      </c>
      <c r="H518" s="56"/>
      <c r="I518" s="56">
        <v>42421</v>
      </c>
      <c r="J518" s="55" t="s">
        <v>43</v>
      </c>
      <c r="K518" s="55">
        <v>25.92</v>
      </c>
      <c r="L518" s="55">
        <v>25.93</v>
      </c>
      <c r="M518" s="55">
        <f t="shared" si="62"/>
        <v>25.92</v>
      </c>
      <c r="N518" s="23"/>
      <c r="O518" s="55">
        <v>1365808</v>
      </c>
      <c r="P518" s="57">
        <f t="shared" si="63"/>
        <v>1365808</v>
      </c>
      <c r="Q518" s="174">
        <v>42529</v>
      </c>
      <c r="R518" s="23">
        <v>42530</v>
      </c>
    </row>
    <row r="519" spans="1:20" s="3" customFormat="1" hidden="1" x14ac:dyDescent="0.25">
      <c r="A519" s="55">
        <f>+closed!A518+1</f>
        <v>112</v>
      </c>
      <c r="B519" s="54">
        <v>42436</v>
      </c>
      <c r="C519" s="55">
        <v>103</v>
      </c>
      <c r="D519" s="55">
        <v>3000027769</v>
      </c>
      <c r="E519" s="55" t="s">
        <v>23</v>
      </c>
      <c r="F519" s="55">
        <v>2602046609</v>
      </c>
      <c r="G519" s="56">
        <v>42419</v>
      </c>
      <c r="H519" s="56"/>
      <c r="I519" s="56">
        <v>42420</v>
      </c>
      <c r="J519" s="55" t="s">
        <v>43</v>
      </c>
      <c r="K519" s="55">
        <v>24.94</v>
      </c>
      <c r="L519" s="55">
        <v>24.94</v>
      </c>
      <c r="M519" s="55">
        <f t="shared" si="62"/>
        <v>24.94</v>
      </c>
      <c r="N519" s="23"/>
      <c r="O519" s="55">
        <v>1314169</v>
      </c>
      <c r="P519" s="57">
        <f t="shared" si="63"/>
        <v>1314169</v>
      </c>
      <c r="Q519" s="174">
        <v>42529</v>
      </c>
      <c r="R519" s="23">
        <v>42530</v>
      </c>
    </row>
    <row r="520" spans="1:20" s="3" customFormat="1" hidden="1" x14ac:dyDescent="0.25">
      <c r="A520" s="55">
        <f>+closed!A519+1</f>
        <v>113</v>
      </c>
      <c r="B520" s="54">
        <v>42436</v>
      </c>
      <c r="C520" s="55">
        <v>103</v>
      </c>
      <c r="D520" s="55">
        <v>3000027769</v>
      </c>
      <c r="E520" s="55" t="s">
        <v>23</v>
      </c>
      <c r="F520" s="55">
        <v>2602046633</v>
      </c>
      <c r="G520" s="56">
        <v>42419</v>
      </c>
      <c r="H520" s="56"/>
      <c r="I520" s="56">
        <v>42422</v>
      </c>
      <c r="J520" s="55" t="s">
        <v>43</v>
      </c>
      <c r="K520" s="55">
        <v>24.97</v>
      </c>
      <c r="L520" s="55">
        <v>24.98</v>
      </c>
      <c r="M520" s="55">
        <f t="shared" si="62"/>
        <v>24.97</v>
      </c>
      <c r="N520" s="23"/>
      <c r="O520" s="55">
        <v>1315749</v>
      </c>
      <c r="P520" s="57">
        <f t="shared" si="63"/>
        <v>1315749</v>
      </c>
      <c r="Q520" s="174">
        <v>42529</v>
      </c>
      <c r="R520" s="23">
        <v>42530</v>
      </c>
    </row>
    <row r="521" spans="1:20" s="3" customFormat="1" hidden="1" x14ac:dyDescent="0.25">
      <c r="A521" s="55">
        <f>+closed!A520+1</f>
        <v>114</v>
      </c>
      <c r="B521" s="54">
        <v>42436</v>
      </c>
      <c r="C521" s="55">
        <v>103</v>
      </c>
      <c r="D521" s="55">
        <v>3000027769</v>
      </c>
      <c r="E521" s="55" t="s">
        <v>23</v>
      </c>
      <c r="F521" s="55">
        <v>2602046573</v>
      </c>
      <c r="G521" s="56">
        <v>42418</v>
      </c>
      <c r="H521" s="56"/>
      <c r="I521" s="56">
        <v>42419</v>
      </c>
      <c r="J521" s="55" t="s">
        <v>43</v>
      </c>
      <c r="K521" s="55">
        <v>19.96</v>
      </c>
      <c r="L521" s="55">
        <v>19.96</v>
      </c>
      <c r="M521" s="55">
        <f t="shared" si="62"/>
        <v>19.96</v>
      </c>
      <c r="N521" s="23"/>
      <c r="O521" s="55">
        <v>1051756</v>
      </c>
      <c r="P521" s="57">
        <f t="shared" si="63"/>
        <v>1051756</v>
      </c>
      <c r="Q521" s="174">
        <v>42529</v>
      </c>
      <c r="R521" s="23">
        <v>42530</v>
      </c>
    </row>
    <row r="522" spans="1:20" s="3" customFormat="1" hidden="1" x14ac:dyDescent="0.25">
      <c r="A522" s="55">
        <f>+closed!A521+1</f>
        <v>115</v>
      </c>
      <c r="B522" s="54">
        <v>42436</v>
      </c>
      <c r="C522" s="55">
        <v>103</v>
      </c>
      <c r="D522" s="55">
        <v>3000027769</v>
      </c>
      <c r="E522" s="55" t="s">
        <v>23</v>
      </c>
      <c r="F522" s="55">
        <v>2602046549</v>
      </c>
      <c r="G522" s="56">
        <v>42417</v>
      </c>
      <c r="H522" s="56"/>
      <c r="I522" s="56">
        <v>42419</v>
      </c>
      <c r="J522" s="55" t="s">
        <v>43</v>
      </c>
      <c r="K522" s="55">
        <v>26.12</v>
      </c>
      <c r="L522" s="55">
        <v>26.12</v>
      </c>
      <c r="M522" s="55">
        <f t="shared" si="62"/>
        <v>26.12</v>
      </c>
      <c r="N522" s="23"/>
      <c r="O522" s="55">
        <v>1376346</v>
      </c>
      <c r="P522" s="57">
        <f t="shared" si="63"/>
        <v>1376346</v>
      </c>
      <c r="Q522" s="174">
        <v>42529</v>
      </c>
      <c r="R522" s="23">
        <v>42530</v>
      </c>
    </row>
    <row r="523" spans="1:20" s="3" customFormat="1" hidden="1" x14ac:dyDescent="0.25">
      <c r="A523" s="55">
        <f>+closed!A522+1</f>
        <v>116</v>
      </c>
      <c r="B523" s="54">
        <v>42436</v>
      </c>
      <c r="C523" s="55">
        <v>103</v>
      </c>
      <c r="D523" s="55">
        <v>3000027769</v>
      </c>
      <c r="E523" s="55" t="s">
        <v>23</v>
      </c>
      <c r="F523" s="55">
        <v>2602046502</v>
      </c>
      <c r="G523" s="56">
        <v>42415</v>
      </c>
      <c r="H523" s="56"/>
      <c r="I523" s="56">
        <v>42417</v>
      </c>
      <c r="J523" s="55" t="s">
        <v>43</v>
      </c>
      <c r="K523" s="55">
        <v>25.88</v>
      </c>
      <c r="L523" s="55">
        <v>25.9</v>
      </c>
      <c r="M523" s="55">
        <f t="shared" si="62"/>
        <v>25.88</v>
      </c>
      <c r="N523" s="23"/>
      <c r="O523" s="55">
        <v>1363700</v>
      </c>
      <c r="P523" s="57">
        <f t="shared" si="63"/>
        <v>1363700</v>
      </c>
      <c r="Q523" s="174">
        <v>42529</v>
      </c>
      <c r="R523" s="23">
        <v>42530</v>
      </c>
    </row>
    <row r="524" spans="1:20" s="3" customFormat="1" hidden="1" x14ac:dyDescent="0.25">
      <c r="A524" s="55">
        <f>+closed!A523+1</f>
        <v>117</v>
      </c>
      <c r="B524" s="54">
        <v>42407</v>
      </c>
      <c r="C524" s="55">
        <v>103</v>
      </c>
      <c r="D524" s="55">
        <v>3000027769</v>
      </c>
      <c r="E524" s="55" t="s">
        <v>23</v>
      </c>
      <c r="F524" s="55">
        <v>2602046530</v>
      </c>
      <c r="G524" s="56">
        <v>42416</v>
      </c>
      <c r="H524" s="56"/>
      <c r="I524" s="56">
        <v>42419</v>
      </c>
      <c r="J524" s="55" t="s">
        <v>43</v>
      </c>
      <c r="K524" s="55">
        <v>25.48</v>
      </c>
      <c r="L524" s="55">
        <v>25.5</v>
      </c>
      <c r="M524" s="55">
        <f t="shared" si="62"/>
        <v>25.48</v>
      </c>
      <c r="N524" s="23"/>
      <c r="O524" s="55">
        <v>1342623</v>
      </c>
      <c r="P524" s="57">
        <f t="shared" si="63"/>
        <v>1342623</v>
      </c>
      <c r="Q524" s="174">
        <v>42529</v>
      </c>
      <c r="R524" s="23">
        <v>42530</v>
      </c>
    </row>
    <row r="525" spans="1:20" s="3" customFormat="1" hidden="1" x14ac:dyDescent="0.25">
      <c r="A525" s="55">
        <f>+closed!A524+1</f>
        <v>118</v>
      </c>
      <c r="B525" s="54">
        <v>42436</v>
      </c>
      <c r="C525" s="55">
        <v>103</v>
      </c>
      <c r="D525" s="55">
        <v>3000027769</v>
      </c>
      <c r="E525" s="55" t="s">
        <v>23</v>
      </c>
      <c r="F525" s="55">
        <v>2602046501</v>
      </c>
      <c r="G525" s="56">
        <v>42415</v>
      </c>
      <c r="H525" s="56"/>
      <c r="I525" s="56">
        <v>42417</v>
      </c>
      <c r="J525" s="55" t="s">
        <v>43</v>
      </c>
      <c r="K525" s="55">
        <v>26.09</v>
      </c>
      <c r="L525" s="55">
        <v>26.11</v>
      </c>
      <c r="M525" s="55">
        <f t="shared" si="62"/>
        <v>26.09</v>
      </c>
      <c r="N525" s="23"/>
      <c r="O525" s="55">
        <v>1374766</v>
      </c>
      <c r="P525" s="57">
        <f t="shared" si="63"/>
        <v>1374766</v>
      </c>
      <c r="Q525" s="174">
        <v>42529</v>
      </c>
      <c r="R525" s="23">
        <v>42530</v>
      </c>
    </row>
    <row r="526" spans="1:20" s="3" customFormat="1" hidden="1" x14ac:dyDescent="0.25">
      <c r="A526" s="55">
        <f>+closed!A525+1</f>
        <v>119</v>
      </c>
      <c r="B526" s="54">
        <v>42436</v>
      </c>
      <c r="C526" s="55">
        <v>103</v>
      </c>
      <c r="D526" s="55">
        <v>3000027769</v>
      </c>
      <c r="E526" s="55" t="s">
        <v>23</v>
      </c>
      <c r="F526" s="55">
        <v>2602046531</v>
      </c>
      <c r="G526" s="56">
        <v>42416</v>
      </c>
      <c r="H526" s="56"/>
      <c r="I526" s="56">
        <v>42419</v>
      </c>
      <c r="J526" s="55" t="s">
        <v>43</v>
      </c>
      <c r="K526" s="55">
        <v>25.92</v>
      </c>
      <c r="L526" s="55">
        <v>25.94</v>
      </c>
      <c r="M526" s="55">
        <f t="shared" si="62"/>
        <v>25.92</v>
      </c>
      <c r="N526" s="23"/>
      <c r="O526" s="55">
        <v>1365808</v>
      </c>
      <c r="P526" s="57">
        <f t="shared" si="63"/>
        <v>1365808</v>
      </c>
      <c r="Q526" s="174">
        <v>42529</v>
      </c>
      <c r="R526" s="23">
        <v>42530</v>
      </c>
    </row>
    <row r="527" spans="1:20" s="3" customFormat="1" hidden="1" x14ac:dyDescent="0.25">
      <c r="A527" s="55">
        <f>+closed!A295+1</f>
        <v>135</v>
      </c>
      <c r="B527" s="54">
        <v>42444</v>
      </c>
      <c r="C527" s="55">
        <v>103</v>
      </c>
      <c r="D527" s="55">
        <v>3000027769</v>
      </c>
      <c r="E527" s="55" t="s">
        <v>23</v>
      </c>
      <c r="F527" s="55">
        <v>2602046859</v>
      </c>
      <c r="G527" s="56">
        <v>42429</v>
      </c>
      <c r="H527" s="56"/>
      <c r="I527" s="56">
        <v>42430</v>
      </c>
      <c r="J527" s="55" t="s">
        <v>43</v>
      </c>
      <c r="K527" s="55">
        <v>25.54</v>
      </c>
      <c r="L527" s="55">
        <v>25.55</v>
      </c>
      <c r="M527" s="55">
        <f t="shared" si="62"/>
        <v>25.54</v>
      </c>
      <c r="N527" s="23"/>
      <c r="O527" s="55">
        <v>1345785</v>
      </c>
      <c r="P527" s="57">
        <f t="shared" si="63"/>
        <v>1345785</v>
      </c>
      <c r="Q527" s="174">
        <v>42529</v>
      </c>
      <c r="R527" s="23">
        <v>42530</v>
      </c>
    </row>
    <row r="528" spans="1:20" s="3" customFormat="1" hidden="1" x14ac:dyDescent="0.25">
      <c r="A528" s="55">
        <f>+closed!A527+1</f>
        <v>136</v>
      </c>
      <c r="B528" s="54">
        <v>42444</v>
      </c>
      <c r="C528" s="55">
        <v>103</v>
      </c>
      <c r="D528" s="55">
        <v>3000027769</v>
      </c>
      <c r="E528" s="55" t="s">
        <v>23</v>
      </c>
      <c r="F528" s="55">
        <v>2602046888</v>
      </c>
      <c r="G528" s="56">
        <v>42429</v>
      </c>
      <c r="H528" s="56"/>
      <c r="I528" s="56">
        <v>42432</v>
      </c>
      <c r="J528" s="55" t="s">
        <v>43</v>
      </c>
      <c r="K528" s="55">
        <v>26.19</v>
      </c>
      <c r="L528" s="55">
        <v>26.2</v>
      </c>
      <c r="M528" s="55">
        <f t="shared" si="62"/>
        <v>26.19</v>
      </c>
      <c r="N528" s="23"/>
      <c r="O528" s="55">
        <v>1380036</v>
      </c>
      <c r="P528" s="57">
        <f t="shared" si="63"/>
        <v>1380036</v>
      </c>
      <c r="Q528" s="174">
        <v>42529</v>
      </c>
      <c r="R528" s="23">
        <v>42530</v>
      </c>
    </row>
    <row r="529" spans="1:20" s="3" customFormat="1" hidden="1" x14ac:dyDescent="0.25">
      <c r="A529" s="55">
        <f>+closed!A528+1</f>
        <v>137</v>
      </c>
      <c r="B529" s="54">
        <v>42444</v>
      </c>
      <c r="C529" s="55">
        <v>103</v>
      </c>
      <c r="D529" s="55">
        <v>3000027769</v>
      </c>
      <c r="E529" s="55" t="s">
        <v>23</v>
      </c>
      <c r="F529" s="55">
        <v>2602046889</v>
      </c>
      <c r="G529" s="56">
        <v>42429</v>
      </c>
      <c r="H529" s="56"/>
      <c r="I529" s="56">
        <v>42432</v>
      </c>
      <c r="J529" s="55" t="s">
        <v>43</v>
      </c>
      <c r="K529" s="55">
        <v>26.13</v>
      </c>
      <c r="L529" s="55">
        <v>26.15</v>
      </c>
      <c r="M529" s="55">
        <f t="shared" si="62"/>
        <v>26.13</v>
      </c>
      <c r="N529" s="23"/>
      <c r="O529" s="55">
        <v>1376874</v>
      </c>
      <c r="P529" s="57">
        <f t="shared" si="63"/>
        <v>1376874</v>
      </c>
      <c r="Q529" s="174">
        <v>42529</v>
      </c>
      <c r="R529" s="23">
        <v>42530</v>
      </c>
    </row>
    <row r="530" spans="1:20" s="3" customFormat="1" hidden="1" x14ac:dyDescent="0.25">
      <c r="A530" s="55">
        <f>+closed!A529+1</f>
        <v>138</v>
      </c>
      <c r="B530" s="54">
        <v>42444</v>
      </c>
      <c r="C530" s="55">
        <v>103</v>
      </c>
      <c r="D530" s="55">
        <v>3000027769</v>
      </c>
      <c r="E530" s="55" t="s">
        <v>23</v>
      </c>
      <c r="F530" s="55">
        <v>2602046891</v>
      </c>
      <c r="G530" s="56">
        <v>42430</v>
      </c>
      <c r="H530" s="56"/>
      <c r="I530" s="56">
        <v>42433</v>
      </c>
      <c r="J530" s="55" t="s">
        <v>43</v>
      </c>
      <c r="K530" s="55">
        <v>25.41</v>
      </c>
      <c r="L530" s="55">
        <v>25.42</v>
      </c>
      <c r="M530" s="55">
        <f t="shared" si="62"/>
        <v>25.41</v>
      </c>
      <c r="N530" s="23"/>
      <c r="O530" s="55">
        <v>1338934</v>
      </c>
      <c r="P530" s="57">
        <f t="shared" si="63"/>
        <v>1338934</v>
      </c>
      <c r="Q530" s="174">
        <v>42529</v>
      </c>
      <c r="R530" s="23">
        <v>42530</v>
      </c>
    </row>
    <row r="531" spans="1:20" s="3" customFormat="1" hidden="1" x14ac:dyDescent="0.25">
      <c r="A531" s="55">
        <f>+closed!A530+1</f>
        <v>139</v>
      </c>
      <c r="B531" s="54">
        <v>42444</v>
      </c>
      <c r="C531" s="55">
        <v>103</v>
      </c>
      <c r="D531" s="55">
        <v>3000027769</v>
      </c>
      <c r="E531" s="55" t="s">
        <v>23</v>
      </c>
      <c r="F531" s="55">
        <v>2602046903</v>
      </c>
      <c r="G531" s="56">
        <v>42431</v>
      </c>
      <c r="H531" s="56"/>
      <c r="I531" s="56">
        <v>42433</v>
      </c>
      <c r="J531" s="55" t="s">
        <v>43</v>
      </c>
      <c r="K531" s="55">
        <v>26.02</v>
      </c>
      <c r="L531" s="55">
        <v>25.99</v>
      </c>
      <c r="M531" s="55">
        <f t="shared" si="62"/>
        <v>25.99</v>
      </c>
      <c r="N531" s="23"/>
      <c r="O531" s="55">
        <v>1371077</v>
      </c>
      <c r="P531" s="57">
        <f t="shared" si="63"/>
        <v>1369496.2040737893</v>
      </c>
      <c r="Q531" s="174">
        <v>42529</v>
      </c>
      <c r="R531" s="23">
        <v>42530</v>
      </c>
    </row>
    <row r="532" spans="1:20" s="3" customFormat="1" hidden="1" x14ac:dyDescent="0.25">
      <c r="A532" s="55">
        <f>+closed!A531+1</f>
        <v>140</v>
      </c>
      <c r="B532" s="54">
        <v>42444</v>
      </c>
      <c r="C532" s="55">
        <v>103</v>
      </c>
      <c r="D532" s="55">
        <v>3000027769</v>
      </c>
      <c r="E532" s="55" t="s">
        <v>23</v>
      </c>
      <c r="F532" s="55">
        <v>2602046914</v>
      </c>
      <c r="G532" s="56">
        <v>42432</v>
      </c>
      <c r="H532" s="56"/>
      <c r="I532" s="56">
        <v>42433</v>
      </c>
      <c r="J532" s="55" t="s">
        <v>43</v>
      </c>
      <c r="K532" s="55">
        <v>25.71</v>
      </c>
      <c r="L532" s="55">
        <v>25.7</v>
      </c>
      <c r="M532" s="55">
        <f t="shared" si="62"/>
        <v>25.7</v>
      </c>
      <c r="N532" s="23"/>
      <c r="O532" s="55">
        <v>1354742</v>
      </c>
      <c r="P532" s="57">
        <f t="shared" si="63"/>
        <v>1354215.0680668999</v>
      </c>
      <c r="Q532" s="174">
        <v>42529</v>
      </c>
      <c r="R532" s="23">
        <v>42530</v>
      </c>
    </row>
    <row r="533" spans="1:20" s="3" customFormat="1" hidden="1" x14ac:dyDescent="0.25">
      <c r="A533" s="55">
        <f>+closed!A532+1</f>
        <v>141</v>
      </c>
      <c r="B533" s="54">
        <v>42444</v>
      </c>
      <c r="C533" s="55">
        <v>103</v>
      </c>
      <c r="D533" s="55">
        <v>3000027769</v>
      </c>
      <c r="E533" s="55" t="s">
        <v>23</v>
      </c>
      <c r="F533" s="55">
        <v>2602046932</v>
      </c>
      <c r="G533" s="56">
        <v>42433</v>
      </c>
      <c r="H533" s="56"/>
      <c r="I533" s="56">
        <v>42435</v>
      </c>
      <c r="J533" s="55" t="s">
        <v>43</v>
      </c>
      <c r="K533" s="55">
        <v>25.4</v>
      </c>
      <c r="L533" s="55">
        <v>25.41</v>
      </c>
      <c r="M533" s="55">
        <f t="shared" si="62"/>
        <v>25.4</v>
      </c>
      <c r="N533" s="23"/>
      <c r="O533" s="55">
        <v>1338407</v>
      </c>
      <c r="P533" s="57">
        <f t="shared" si="63"/>
        <v>1338407</v>
      </c>
      <c r="Q533" s="174">
        <v>42529</v>
      </c>
      <c r="R533" s="23">
        <v>42530</v>
      </c>
    </row>
    <row r="534" spans="1:20" s="3" customFormat="1" hidden="1" x14ac:dyDescent="0.25">
      <c r="A534" s="55">
        <f>+closed!A533+1</f>
        <v>142</v>
      </c>
      <c r="B534" s="54">
        <v>42444</v>
      </c>
      <c r="C534" s="55">
        <v>103</v>
      </c>
      <c r="D534" s="55">
        <v>3000027769</v>
      </c>
      <c r="E534" s="55" t="s">
        <v>23</v>
      </c>
      <c r="F534" s="55">
        <v>2602046954</v>
      </c>
      <c r="G534" s="56">
        <v>42434</v>
      </c>
      <c r="H534" s="56"/>
      <c r="I534" s="56">
        <v>42435</v>
      </c>
      <c r="J534" s="55" t="s">
        <v>43</v>
      </c>
      <c r="K534" s="55">
        <v>20.079999999999998</v>
      </c>
      <c r="L534" s="55">
        <v>20.11</v>
      </c>
      <c r="M534" s="55">
        <f t="shared" si="62"/>
        <v>20.079999999999998</v>
      </c>
      <c r="N534" s="23"/>
      <c r="O534" s="55">
        <v>1058080</v>
      </c>
      <c r="P534" s="57">
        <f t="shared" si="63"/>
        <v>1058080</v>
      </c>
      <c r="Q534" s="174">
        <v>42529</v>
      </c>
      <c r="R534" s="23">
        <v>42530</v>
      </c>
    </row>
    <row r="535" spans="1:20" s="3" customFormat="1" hidden="1" x14ac:dyDescent="0.25">
      <c r="A535" s="55">
        <f>+closed!A534+1</f>
        <v>143</v>
      </c>
      <c r="B535" s="54">
        <v>42444</v>
      </c>
      <c r="C535" s="55">
        <v>103</v>
      </c>
      <c r="D535" s="55">
        <v>3000027769</v>
      </c>
      <c r="E535" s="55" t="s">
        <v>23</v>
      </c>
      <c r="F535" s="55">
        <v>2602046981</v>
      </c>
      <c r="G535" s="56">
        <v>42435</v>
      </c>
      <c r="H535" s="56"/>
      <c r="I535" s="56">
        <v>42437</v>
      </c>
      <c r="J535" s="55" t="s">
        <v>43</v>
      </c>
      <c r="K535" s="55">
        <v>25.71</v>
      </c>
      <c r="L535" s="55">
        <v>25.72</v>
      </c>
      <c r="M535" s="55">
        <f t="shared" si="62"/>
        <v>25.71</v>
      </c>
      <c r="N535" s="23"/>
      <c r="O535" s="55">
        <v>1354742</v>
      </c>
      <c r="P535" s="57">
        <f t="shared" si="63"/>
        <v>1354742</v>
      </c>
      <c r="Q535" s="174">
        <v>42529</v>
      </c>
      <c r="R535" s="23">
        <v>42530</v>
      </c>
    </row>
    <row r="536" spans="1:20" s="3" customFormat="1" hidden="1" x14ac:dyDescent="0.25">
      <c r="A536" s="55">
        <f>+closed!A535+1</f>
        <v>144</v>
      </c>
      <c r="B536" s="54">
        <v>42444</v>
      </c>
      <c r="C536" s="55">
        <v>103</v>
      </c>
      <c r="D536" s="55">
        <v>3000027769</v>
      </c>
      <c r="E536" s="55" t="s">
        <v>23</v>
      </c>
      <c r="F536" s="55">
        <v>2602046982</v>
      </c>
      <c r="G536" s="56">
        <v>42435</v>
      </c>
      <c r="H536" s="56"/>
      <c r="I536" s="56">
        <v>42438</v>
      </c>
      <c r="J536" s="55" t="s">
        <v>43</v>
      </c>
      <c r="K536" s="55">
        <v>25.18</v>
      </c>
      <c r="L536" s="55">
        <v>25.19</v>
      </c>
      <c r="M536" s="55">
        <f t="shared" si="62"/>
        <v>25.18</v>
      </c>
      <c r="N536" s="23"/>
      <c r="O536" s="55">
        <v>1326815</v>
      </c>
      <c r="P536" s="57">
        <f t="shared" si="63"/>
        <v>1326815</v>
      </c>
      <c r="Q536" s="174">
        <v>42529</v>
      </c>
      <c r="R536" s="23">
        <v>42530</v>
      </c>
    </row>
    <row r="537" spans="1:20" s="3" customFormat="1" hidden="1" x14ac:dyDescent="0.25">
      <c r="A537" s="55">
        <f>+closed!A536+1</f>
        <v>145</v>
      </c>
      <c r="B537" s="54">
        <v>42444</v>
      </c>
      <c r="C537" s="55">
        <v>103</v>
      </c>
      <c r="D537" s="55">
        <v>3000027769</v>
      </c>
      <c r="E537" s="55" t="s">
        <v>23</v>
      </c>
      <c r="F537" s="55">
        <v>2602046988</v>
      </c>
      <c r="G537" s="56">
        <v>42437</v>
      </c>
      <c r="H537" s="56"/>
      <c r="I537" s="56">
        <v>42438</v>
      </c>
      <c r="J537" s="55" t="s">
        <v>43</v>
      </c>
      <c r="K537" s="55">
        <v>26.51</v>
      </c>
      <c r="L537" s="55">
        <v>26.52</v>
      </c>
      <c r="M537" s="55">
        <f t="shared" ref="M537:M568" si="64">IF(L537&gt;K537,K537,L537)</f>
        <v>26.51</v>
      </c>
      <c r="N537" s="23"/>
      <c r="O537" s="55">
        <v>1396896</v>
      </c>
      <c r="P537" s="57">
        <f t="shared" si="63"/>
        <v>1396896</v>
      </c>
      <c r="Q537" s="174">
        <v>42529</v>
      </c>
      <c r="R537" s="23">
        <v>42530</v>
      </c>
      <c r="T537" s="15"/>
    </row>
    <row r="538" spans="1:20" s="15" customFormat="1" hidden="1" x14ac:dyDescent="0.25">
      <c r="A538" s="102">
        <f>+closed!A723+1</f>
        <v>117</v>
      </c>
      <c r="B538" s="103">
        <v>42535</v>
      </c>
      <c r="C538" s="8">
        <v>103</v>
      </c>
      <c r="D538" s="8">
        <v>3000027769</v>
      </c>
      <c r="E538" s="8" t="s">
        <v>23</v>
      </c>
      <c r="F538" s="8">
        <v>2602047078</v>
      </c>
      <c r="G538" s="104">
        <v>42441</v>
      </c>
      <c r="H538" s="105"/>
      <c r="I538" s="105">
        <v>42441</v>
      </c>
      <c r="J538" s="8" t="s">
        <v>43</v>
      </c>
      <c r="K538" s="106">
        <v>26.23</v>
      </c>
      <c r="L538" s="8">
        <v>26.28</v>
      </c>
      <c r="M538" s="8">
        <f t="shared" si="64"/>
        <v>26.23</v>
      </c>
      <c r="N538" s="11"/>
      <c r="O538" s="8">
        <v>1382143</v>
      </c>
      <c r="P538" s="57">
        <f t="shared" si="63"/>
        <v>1382143</v>
      </c>
      <c r="Q538" s="174">
        <v>42529</v>
      </c>
      <c r="R538" s="23">
        <v>42535</v>
      </c>
      <c r="T538" s="15">
        <v>29254214</v>
      </c>
    </row>
    <row r="539" spans="1:20" s="3" customFormat="1" hidden="1" x14ac:dyDescent="0.25">
      <c r="A539" s="98">
        <f>+closed!A704+1</f>
        <v>78</v>
      </c>
      <c r="B539" s="32">
        <v>42534</v>
      </c>
      <c r="C539" s="17">
        <v>103</v>
      </c>
      <c r="D539" s="17">
        <v>3000029308</v>
      </c>
      <c r="E539" s="17" t="s">
        <v>26</v>
      </c>
      <c r="F539" s="17">
        <v>15</v>
      </c>
      <c r="G539" s="34">
        <v>42464</v>
      </c>
      <c r="H539" s="34"/>
      <c r="I539" s="34">
        <v>42464</v>
      </c>
      <c r="J539" s="17" t="s">
        <v>156</v>
      </c>
      <c r="K539" s="17">
        <v>26.56</v>
      </c>
      <c r="L539" s="17">
        <v>26.56</v>
      </c>
      <c r="M539" s="17">
        <f t="shared" si="64"/>
        <v>26.56</v>
      </c>
      <c r="N539" s="33"/>
      <c r="O539" s="17">
        <v>1984322</v>
      </c>
      <c r="P539" s="35">
        <f t="shared" si="63"/>
        <v>1984322</v>
      </c>
      <c r="Q539" s="177">
        <v>42530</v>
      </c>
      <c r="R539" s="69">
        <v>42534</v>
      </c>
    </row>
    <row r="540" spans="1:20" s="3" customFormat="1" hidden="1" x14ac:dyDescent="0.25">
      <c r="A540" s="98">
        <f>+closed!A539+1</f>
        <v>79</v>
      </c>
      <c r="B540" s="32">
        <v>42534</v>
      </c>
      <c r="C540" s="17">
        <v>103</v>
      </c>
      <c r="D540" s="17">
        <v>3000029308</v>
      </c>
      <c r="E540" s="17" t="s">
        <v>26</v>
      </c>
      <c r="F540" s="17">
        <v>16</v>
      </c>
      <c r="G540" s="34">
        <v>42465</v>
      </c>
      <c r="H540" s="34"/>
      <c r="I540" s="34">
        <v>42465</v>
      </c>
      <c r="J540" s="17" t="s">
        <v>156</v>
      </c>
      <c r="K540" s="17">
        <v>27.3</v>
      </c>
      <c r="L540" s="17">
        <v>27.3</v>
      </c>
      <c r="M540" s="17">
        <f t="shared" si="64"/>
        <v>27.3</v>
      </c>
      <c r="N540" s="33"/>
      <c r="O540" s="17">
        <v>2039608</v>
      </c>
      <c r="P540" s="35">
        <f t="shared" si="63"/>
        <v>2039608</v>
      </c>
      <c r="Q540" s="177">
        <v>42530</v>
      </c>
      <c r="R540" s="69">
        <v>42534</v>
      </c>
    </row>
    <row r="541" spans="1:20" s="3" customFormat="1" hidden="1" x14ac:dyDescent="0.25">
      <c r="A541" s="98">
        <f>+closed!A540+1</f>
        <v>80</v>
      </c>
      <c r="B541" s="32">
        <v>42534</v>
      </c>
      <c r="C541" s="17">
        <v>103</v>
      </c>
      <c r="D541" s="17">
        <v>3000029491</v>
      </c>
      <c r="E541" s="17" t="s">
        <v>26</v>
      </c>
      <c r="F541" s="17">
        <v>18</v>
      </c>
      <c r="G541" s="34">
        <v>42465</v>
      </c>
      <c r="H541" s="34"/>
      <c r="I541" s="34">
        <v>42465</v>
      </c>
      <c r="J541" s="17" t="s">
        <v>156</v>
      </c>
      <c r="K541" s="17">
        <v>19.934999999999999</v>
      </c>
      <c r="L541" s="17">
        <v>19.934999999999999</v>
      </c>
      <c r="M541" s="17">
        <f t="shared" si="64"/>
        <v>19.934999999999999</v>
      </c>
      <c r="N541" s="33"/>
      <c r="O541" s="17">
        <v>1498289</v>
      </c>
      <c r="P541" s="35">
        <f t="shared" si="63"/>
        <v>1498289</v>
      </c>
      <c r="Q541" s="177">
        <v>42530</v>
      </c>
      <c r="R541" s="69">
        <v>42534</v>
      </c>
    </row>
    <row r="542" spans="1:20" s="3" customFormat="1" hidden="1" x14ac:dyDescent="0.25">
      <c r="A542" s="98">
        <f>+closed!A541+1</f>
        <v>81</v>
      </c>
      <c r="B542" s="32">
        <v>42534</v>
      </c>
      <c r="C542" s="17">
        <v>103</v>
      </c>
      <c r="D542" s="17">
        <v>3000029491</v>
      </c>
      <c r="E542" s="17" t="s">
        <v>26</v>
      </c>
      <c r="F542" s="17">
        <v>19</v>
      </c>
      <c r="G542" s="34">
        <v>42465</v>
      </c>
      <c r="H542" s="34"/>
      <c r="I542" s="34">
        <v>42465</v>
      </c>
      <c r="J542" s="17" t="s">
        <v>156</v>
      </c>
      <c r="K542" s="17">
        <v>27.05</v>
      </c>
      <c r="L542" s="17">
        <v>27.05</v>
      </c>
      <c r="M542" s="17">
        <f t="shared" si="64"/>
        <v>27.05</v>
      </c>
      <c r="N542" s="33"/>
      <c r="O542" s="17">
        <v>2033043</v>
      </c>
      <c r="P542" s="35">
        <f t="shared" si="63"/>
        <v>2033043</v>
      </c>
      <c r="Q542" s="177">
        <v>42530</v>
      </c>
      <c r="R542" s="69">
        <v>42534</v>
      </c>
    </row>
    <row r="543" spans="1:20" s="3" customFormat="1" hidden="1" x14ac:dyDescent="0.25">
      <c r="A543" s="98">
        <f>+closed!A542+1</f>
        <v>82</v>
      </c>
      <c r="B543" s="32">
        <v>42534</v>
      </c>
      <c r="C543" s="17">
        <v>103</v>
      </c>
      <c r="D543" s="17">
        <v>3000029491</v>
      </c>
      <c r="E543" s="17" t="s">
        <v>26</v>
      </c>
      <c r="F543" s="17">
        <v>20</v>
      </c>
      <c r="G543" s="34">
        <v>42465</v>
      </c>
      <c r="H543" s="34"/>
      <c r="I543" s="34">
        <v>42465</v>
      </c>
      <c r="J543" s="17" t="s">
        <v>156</v>
      </c>
      <c r="K543" s="17">
        <v>26.87</v>
      </c>
      <c r="L543" s="17">
        <v>26.87</v>
      </c>
      <c r="M543" s="17">
        <f t="shared" si="64"/>
        <v>26.87</v>
      </c>
      <c r="N543" s="33"/>
      <c r="O543" s="17">
        <v>2019514</v>
      </c>
      <c r="P543" s="35">
        <f t="shared" si="63"/>
        <v>2019514</v>
      </c>
      <c r="Q543" s="177">
        <v>42530</v>
      </c>
      <c r="R543" s="69">
        <v>42534</v>
      </c>
    </row>
    <row r="544" spans="1:20" s="3" customFormat="1" hidden="1" x14ac:dyDescent="0.25">
      <c r="A544" s="98">
        <f>+closed!A543+1</f>
        <v>83</v>
      </c>
      <c r="B544" s="32">
        <v>42534</v>
      </c>
      <c r="C544" s="17">
        <v>103</v>
      </c>
      <c r="D544" s="17">
        <v>3000029491</v>
      </c>
      <c r="E544" s="17" t="s">
        <v>26</v>
      </c>
      <c r="F544" s="17">
        <v>21</v>
      </c>
      <c r="G544" s="34">
        <v>42465</v>
      </c>
      <c r="H544" s="34"/>
      <c r="I544" s="34">
        <v>42465</v>
      </c>
      <c r="J544" s="17" t="s">
        <v>156</v>
      </c>
      <c r="K544" s="17">
        <v>24.75</v>
      </c>
      <c r="L544" s="17">
        <v>24.75</v>
      </c>
      <c r="M544" s="17">
        <f t="shared" si="64"/>
        <v>24.75</v>
      </c>
      <c r="N544" s="33"/>
      <c r="O544" s="17">
        <v>1860178</v>
      </c>
      <c r="P544" s="35">
        <f t="shared" ref="P544:P575" si="65">(+O544/K544*M544)</f>
        <v>1860178</v>
      </c>
      <c r="Q544" s="177">
        <v>42530</v>
      </c>
      <c r="R544" s="69">
        <v>42534</v>
      </c>
    </row>
    <row r="545" spans="1:22" s="3" customFormat="1" hidden="1" x14ac:dyDescent="0.25">
      <c r="A545" s="98">
        <f>+closed!A544+1</f>
        <v>84</v>
      </c>
      <c r="B545" s="32">
        <v>42534</v>
      </c>
      <c r="C545" s="17">
        <v>103</v>
      </c>
      <c r="D545" s="17">
        <v>3000029491</v>
      </c>
      <c r="E545" s="17" t="s">
        <v>26</v>
      </c>
      <c r="F545" s="17">
        <v>22</v>
      </c>
      <c r="G545" s="34">
        <v>42466</v>
      </c>
      <c r="H545" s="34"/>
      <c r="I545" s="34">
        <v>42466</v>
      </c>
      <c r="J545" s="17" t="s">
        <v>156</v>
      </c>
      <c r="K545" s="17">
        <v>32.11</v>
      </c>
      <c r="L545" s="17">
        <v>32.11</v>
      </c>
      <c r="M545" s="17">
        <f t="shared" si="64"/>
        <v>32.11</v>
      </c>
      <c r="N545" s="33"/>
      <c r="O545" s="17">
        <v>2413346</v>
      </c>
      <c r="P545" s="35">
        <f t="shared" si="65"/>
        <v>2413346</v>
      </c>
      <c r="Q545" s="177">
        <v>42530</v>
      </c>
      <c r="R545" s="69">
        <v>42534</v>
      </c>
    </row>
    <row r="546" spans="1:22" s="3" customFormat="1" hidden="1" x14ac:dyDescent="0.25">
      <c r="A546" s="98">
        <f>+closed!A545+1</f>
        <v>85</v>
      </c>
      <c r="B546" s="32">
        <v>42534</v>
      </c>
      <c r="C546" s="17">
        <v>103</v>
      </c>
      <c r="D546" s="17">
        <v>3000029491</v>
      </c>
      <c r="E546" s="17" t="s">
        <v>26</v>
      </c>
      <c r="F546" s="17">
        <v>23</v>
      </c>
      <c r="G546" s="34">
        <v>42466</v>
      </c>
      <c r="H546" s="34"/>
      <c r="I546" s="34">
        <v>42466</v>
      </c>
      <c r="J546" s="17" t="s">
        <v>156</v>
      </c>
      <c r="K546" s="17">
        <v>26.95</v>
      </c>
      <c r="L546" s="17">
        <v>26.95</v>
      </c>
      <c r="M546" s="17">
        <f t="shared" si="64"/>
        <v>26.95</v>
      </c>
      <c r="N546" s="33"/>
      <c r="O546" s="17">
        <v>2025527</v>
      </c>
      <c r="P546" s="35">
        <f t="shared" si="65"/>
        <v>2025527</v>
      </c>
      <c r="Q546" s="177">
        <v>42530</v>
      </c>
      <c r="R546" s="69">
        <v>42534</v>
      </c>
    </row>
    <row r="547" spans="1:22" s="3" customFormat="1" hidden="1" x14ac:dyDescent="0.25">
      <c r="A547" s="98">
        <f>+closed!A546+1</f>
        <v>86</v>
      </c>
      <c r="B547" s="32">
        <v>42534</v>
      </c>
      <c r="C547" s="17">
        <v>103</v>
      </c>
      <c r="D547" s="17">
        <v>3000029491</v>
      </c>
      <c r="E547" s="17" t="s">
        <v>26</v>
      </c>
      <c r="F547" s="17">
        <v>24</v>
      </c>
      <c r="G547" s="34">
        <v>42466</v>
      </c>
      <c r="H547" s="34"/>
      <c r="I547" s="34">
        <v>42466</v>
      </c>
      <c r="J547" s="17" t="s">
        <v>156</v>
      </c>
      <c r="K547" s="17">
        <v>27.17</v>
      </c>
      <c r="L547" s="17">
        <v>27.17</v>
      </c>
      <c r="M547" s="17">
        <f t="shared" si="64"/>
        <v>27.17</v>
      </c>
      <c r="N547" s="33"/>
      <c r="O547" s="17">
        <v>2042062</v>
      </c>
      <c r="P547" s="35">
        <f t="shared" si="65"/>
        <v>2042061.9999999998</v>
      </c>
      <c r="Q547" s="177">
        <v>42530</v>
      </c>
      <c r="R547" s="69">
        <v>42534</v>
      </c>
    </row>
    <row r="548" spans="1:22" s="3" customFormat="1" hidden="1" x14ac:dyDescent="0.25">
      <c r="A548" s="98">
        <f>+closed!A547+1</f>
        <v>87</v>
      </c>
      <c r="B548" s="32">
        <v>42534</v>
      </c>
      <c r="C548" s="17">
        <v>103</v>
      </c>
      <c r="D548" s="17">
        <v>3000029491</v>
      </c>
      <c r="E548" s="17" t="s">
        <v>26</v>
      </c>
      <c r="F548" s="17">
        <v>25</v>
      </c>
      <c r="G548" s="34">
        <v>42466</v>
      </c>
      <c r="H548" s="34"/>
      <c r="I548" s="34">
        <v>42466</v>
      </c>
      <c r="J548" s="17" t="s">
        <v>156</v>
      </c>
      <c r="K548" s="17">
        <v>26.58</v>
      </c>
      <c r="L548" s="17">
        <v>26.58</v>
      </c>
      <c r="M548" s="17">
        <f t="shared" si="64"/>
        <v>26.58</v>
      </c>
      <c r="N548" s="33"/>
      <c r="O548" s="17">
        <v>1997718</v>
      </c>
      <c r="P548" s="35">
        <f t="shared" si="65"/>
        <v>1997718</v>
      </c>
      <c r="Q548" s="177">
        <v>42530</v>
      </c>
      <c r="R548" s="69">
        <v>42534</v>
      </c>
      <c r="T548" s="15">
        <v>19913607</v>
      </c>
    </row>
    <row r="549" spans="1:22" s="3" customFormat="1" hidden="1" x14ac:dyDescent="0.25">
      <c r="A549" s="84">
        <f>+closed!A645+1</f>
        <v>464</v>
      </c>
      <c r="B549" s="24">
        <v>42516</v>
      </c>
      <c r="C549" s="1">
        <v>103</v>
      </c>
      <c r="D549" s="1">
        <v>3000030713</v>
      </c>
      <c r="E549" s="1" t="s">
        <v>60</v>
      </c>
      <c r="F549" s="1">
        <v>149</v>
      </c>
      <c r="G549" s="25">
        <v>42508</v>
      </c>
      <c r="H549" s="25"/>
      <c r="I549" s="25">
        <v>42515</v>
      </c>
      <c r="J549" s="1" t="s">
        <v>61</v>
      </c>
      <c r="K549" s="1">
        <v>20.079999999999998</v>
      </c>
      <c r="L549" s="1">
        <v>20.03</v>
      </c>
      <c r="M549" s="1">
        <f t="shared" si="64"/>
        <v>20.03</v>
      </c>
      <c r="N549" s="7">
        <f t="shared" ref="N549:N555" si="66">+I549+20-1</f>
        <v>42534</v>
      </c>
      <c r="O549" s="1">
        <v>1666588</v>
      </c>
      <c r="P549" s="36">
        <f t="shared" si="65"/>
        <v>1662438.1294820718</v>
      </c>
      <c r="Q549" s="170">
        <v>42534</v>
      </c>
      <c r="R549" s="66">
        <v>42534</v>
      </c>
      <c r="S549" s="187">
        <f t="shared" ref="S549:S569" si="67">R549-N549</f>
        <v>0</v>
      </c>
    </row>
    <row r="550" spans="1:22" s="3" customFormat="1" hidden="1" x14ac:dyDescent="0.25">
      <c r="A550" s="84">
        <f>+closed!A565+1</f>
        <v>466</v>
      </c>
      <c r="B550" s="24">
        <v>42517</v>
      </c>
      <c r="C550" s="1">
        <v>103</v>
      </c>
      <c r="D550" s="1">
        <v>3000030713</v>
      </c>
      <c r="E550" s="1" t="s">
        <v>60</v>
      </c>
      <c r="F550" s="1">
        <v>151</v>
      </c>
      <c r="G550" s="25">
        <v>42510</v>
      </c>
      <c r="H550" s="25"/>
      <c r="I550" s="25">
        <v>42515</v>
      </c>
      <c r="J550" s="1" t="s">
        <v>61</v>
      </c>
      <c r="K550" s="1">
        <v>16.12</v>
      </c>
      <c r="L550" s="1">
        <v>16.09</v>
      </c>
      <c r="M550" s="1">
        <f t="shared" si="64"/>
        <v>16.09</v>
      </c>
      <c r="N550" s="7">
        <f t="shared" si="66"/>
        <v>42534</v>
      </c>
      <c r="O550" s="1">
        <v>1337918</v>
      </c>
      <c r="P550" s="36">
        <f t="shared" si="65"/>
        <v>1335428.0781637717</v>
      </c>
      <c r="Q550" s="170">
        <v>42534</v>
      </c>
      <c r="R550" s="66">
        <v>42534</v>
      </c>
      <c r="S550" s="187">
        <f t="shared" si="67"/>
        <v>0</v>
      </c>
    </row>
    <row r="551" spans="1:22" s="3" customFormat="1" hidden="1" x14ac:dyDescent="0.25">
      <c r="A551" s="84">
        <f>+closed!A516+1</f>
        <v>453</v>
      </c>
      <c r="B551" s="24">
        <v>42515</v>
      </c>
      <c r="C551" s="1">
        <v>103</v>
      </c>
      <c r="D551" s="1">
        <v>3000030713</v>
      </c>
      <c r="E551" s="1" t="s">
        <v>60</v>
      </c>
      <c r="F551" s="1">
        <v>152</v>
      </c>
      <c r="G551" s="25">
        <v>42510</v>
      </c>
      <c r="H551" s="25"/>
      <c r="I551" s="25">
        <v>42514</v>
      </c>
      <c r="J551" s="1" t="s">
        <v>61</v>
      </c>
      <c r="K551" s="1">
        <v>16.29</v>
      </c>
      <c r="L551" s="1">
        <v>16.21</v>
      </c>
      <c r="M551" s="1">
        <f t="shared" si="64"/>
        <v>16.21</v>
      </c>
      <c r="N551" s="7">
        <f t="shared" si="66"/>
        <v>42533</v>
      </c>
      <c r="O551" s="1">
        <v>1352027</v>
      </c>
      <c r="P551" s="36">
        <f t="shared" si="65"/>
        <v>1345387.2111724988</v>
      </c>
      <c r="Q551" s="170">
        <v>42534</v>
      </c>
      <c r="R551" s="66">
        <v>42534</v>
      </c>
      <c r="S551" s="187">
        <f t="shared" si="67"/>
        <v>1</v>
      </c>
    </row>
    <row r="552" spans="1:22" s="3" customFormat="1" hidden="1" x14ac:dyDescent="0.25">
      <c r="A552" s="84">
        <f>+closed!A515+1</f>
        <v>451</v>
      </c>
      <c r="B552" s="24">
        <v>42515</v>
      </c>
      <c r="C552" s="1">
        <v>103</v>
      </c>
      <c r="D552" s="1">
        <v>3000030713</v>
      </c>
      <c r="E552" s="1" t="s">
        <v>60</v>
      </c>
      <c r="F552" s="1">
        <v>153</v>
      </c>
      <c r="G552" s="25">
        <v>42510</v>
      </c>
      <c r="H552" s="25"/>
      <c r="I552" s="25">
        <v>42514</v>
      </c>
      <c r="J552" s="1" t="s">
        <v>61</v>
      </c>
      <c r="K552" s="1">
        <v>20.78</v>
      </c>
      <c r="L552" s="1">
        <v>20.68</v>
      </c>
      <c r="M552" s="1">
        <f t="shared" si="64"/>
        <v>20.68</v>
      </c>
      <c r="N552" s="7">
        <f t="shared" si="66"/>
        <v>42533</v>
      </c>
      <c r="O552" s="1">
        <v>1724686</v>
      </c>
      <c r="P552" s="36">
        <f t="shared" si="65"/>
        <v>1716386.2598652551</v>
      </c>
      <c r="Q552" s="170">
        <v>42534</v>
      </c>
      <c r="R552" s="66">
        <v>42534</v>
      </c>
      <c r="S552" s="187">
        <f t="shared" si="67"/>
        <v>1</v>
      </c>
    </row>
    <row r="553" spans="1:22" s="3" customFormat="1" hidden="1" x14ac:dyDescent="0.25">
      <c r="A553" s="84">
        <f>+closed!A550+1</f>
        <v>467</v>
      </c>
      <c r="B553" s="24">
        <v>42517</v>
      </c>
      <c r="C553" s="1">
        <v>103</v>
      </c>
      <c r="D553" s="1">
        <v>3000029588</v>
      </c>
      <c r="E553" s="1" t="s">
        <v>60</v>
      </c>
      <c r="F553" s="1">
        <v>154</v>
      </c>
      <c r="G553" s="25">
        <v>42511</v>
      </c>
      <c r="H553" s="25"/>
      <c r="I553" s="25">
        <v>42515</v>
      </c>
      <c r="J553" s="1" t="s">
        <v>61</v>
      </c>
      <c r="K553" s="1">
        <v>20.239999999999998</v>
      </c>
      <c r="L553" s="1">
        <v>20.21</v>
      </c>
      <c r="M553" s="1">
        <f t="shared" si="64"/>
        <v>20.21</v>
      </c>
      <c r="N553" s="7">
        <f t="shared" si="66"/>
        <v>42534</v>
      </c>
      <c r="O553" s="1">
        <v>1659636</v>
      </c>
      <c r="P553" s="36">
        <f t="shared" si="65"/>
        <v>1657176.0652173916</v>
      </c>
      <c r="Q553" s="170">
        <v>42534</v>
      </c>
      <c r="R553" s="66">
        <v>42534</v>
      </c>
      <c r="S553" s="187">
        <f t="shared" si="67"/>
        <v>0</v>
      </c>
    </row>
    <row r="554" spans="1:22" s="3" customFormat="1" x14ac:dyDescent="0.25">
      <c r="A554" s="84">
        <f>+closed!A564+1</f>
        <v>485</v>
      </c>
      <c r="B554" s="24">
        <v>42521</v>
      </c>
      <c r="C554" s="1">
        <v>103</v>
      </c>
      <c r="D554" s="1">
        <v>3000029945</v>
      </c>
      <c r="E554" s="1" t="s">
        <v>144</v>
      </c>
      <c r="F554" s="1">
        <v>346</v>
      </c>
      <c r="G554" s="25">
        <v>42513</v>
      </c>
      <c r="H554" s="25"/>
      <c r="I554" s="25">
        <v>42517</v>
      </c>
      <c r="J554" s="1" t="s">
        <v>61</v>
      </c>
      <c r="K554" s="1">
        <v>20.16</v>
      </c>
      <c r="L554" s="1">
        <v>20.02</v>
      </c>
      <c r="M554" s="1">
        <f t="shared" si="64"/>
        <v>20.02</v>
      </c>
      <c r="N554" s="7">
        <f t="shared" si="66"/>
        <v>42536</v>
      </c>
      <c r="O554" s="1">
        <v>1653076</v>
      </c>
      <c r="P554" s="36">
        <f t="shared" si="65"/>
        <v>1641596.3055555555</v>
      </c>
      <c r="Q554" s="170">
        <v>42534</v>
      </c>
      <c r="R554" s="66">
        <v>42534</v>
      </c>
      <c r="S554" s="187">
        <f t="shared" si="67"/>
        <v>-2</v>
      </c>
    </row>
    <row r="555" spans="1:22" s="3" customFormat="1" x14ac:dyDescent="0.25">
      <c r="A555" s="84">
        <f>+closed!A465+1</f>
        <v>501</v>
      </c>
      <c r="B555" s="24">
        <v>42522</v>
      </c>
      <c r="C555" s="1">
        <v>103</v>
      </c>
      <c r="D555" s="1">
        <v>3000029946</v>
      </c>
      <c r="E555" s="1" t="s">
        <v>144</v>
      </c>
      <c r="F555" s="1">
        <v>363</v>
      </c>
      <c r="G555" s="25">
        <v>42516</v>
      </c>
      <c r="H555" s="25"/>
      <c r="I555" s="25">
        <v>42520</v>
      </c>
      <c r="J555" s="1" t="s">
        <v>61</v>
      </c>
      <c r="K555" s="1">
        <v>20.100000000000001</v>
      </c>
      <c r="L555" s="1">
        <v>19.96</v>
      </c>
      <c r="M555" s="1">
        <f t="shared" si="64"/>
        <v>19.96</v>
      </c>
      <c r="N555" s="7">
        <f t="shared" si="66"/>
        <v>42539</v>
      </c>
      <c r="O555" s="1">
        <v>1738775</v>
      </c>
      <c r="P555" s="36">
        <f t="shared" si="65"/>
        <v>1726664.1293532338</v>
      </c>
      <c r="Q555" s="170">
        <v>42534</v>
      </c>
      <c r="R555" s="66">
        <v>42534</v>
      </c>
      <c r="S555" s="187">
        <f t="shared" si="67"/>
        <v>-5</v>
      </c>
      <c r="T555" s="15" t="s">
        <v>157</v>
      </c>
      <c r="U555" s="15"/>
      <c r="V555" s="15"/>
    </row>
    <row r="556" spans="1:22" s="3" customFormat="1" hidden="1" x14ac:dyDescent="0.25">
      <c r="A556" s="84">
        <f>+closed!A590+1</f>
        <v>457</v>
      </c>
      <c r="B556" s="24">
        <v>42516</v>
      </c>
      <c r="C556" s="1">
        <v>114</v>
      </c>
      <c r="D556" s="1">
        <v>3000028662</v>
      </c>
      <c r="E556" s="39" t="s">
        <v>36</v>
      </c>
      <c r="F556" s="1">
        <v>1139</v>
      </c>
      <c r="G556" s="25">
        <v>42505</v>
      </c>
      <c r="H556" s="25"/>
      <c r="I556" s="25">
        <v>42514</v>
      </c>
      <c r="J556" s="1" t="s">
        <v>16</v>
      </c>
      <c r="K556" s="1">
        <v>25.96</v>
      </c>
      <c r="L556" s="1">
        <v>26.06</v>
      </c>
      <c r="M556" s="1">
        <f t="shared" si="64"/>
        <v>25.96</v>
      </c>
      <c r="N556" s="7">
        <f>+I556+15-1</f>
        <v>42528</v>
      </c>
      <c r="O556" s="1">
        <v>1246080</v>
      </c>
      <c r="P556" s="107">
        <f t="shared" si="65"/>
        <v>1246080</v>
      </c>
      <c r="Q556" s="170">
        <v>42535</v>
      </c>
      <c r="R556" s="66">
        <v>42535</v>
      </c>
      <c r="S556" s="187">
        <f t="shared" si="67"/>
        <v>7</v>
      </c>
    </row>
    <row r="557" spans="1:22" s="3" customFormat="1" hidden="1" x14ac:dyDescent="0.25">
      <c r="A557" s="84">
        <f>+closed!A674+1</f>
        <v>5</v>
      </c>
      <c r="B557" s="24">
        <v>42527</v>
      </c>
      <c r="C557" s="1">
        <v>114</v>
      </c>
      <c r="D557" s="1">
        <v>3000030841</v>
      </c>
      <c r="E557" s="39" t="s">
        <v>36</v>
      </c>
      <c r="F557" s="1">
        <v>1144</v>
      </c>
      <c r="G557" s="25">
        <v>42516</v>
      </c>
      <c r="H557" s="25"/>
      <c r="I557" s="25">
        <v>42521</v>
      </c>
      <c r="J557" s="1" t="s">
        <v>16</v>
      </c>
      <c r="K557" s="1">
        <v>19.71</v>
      </c>
      <c r="L557" s="1">
        <v>19.760000000000002</v>
      </c>
      <c r="M557" s="1">
        <f t="shared" si="64"/>
        <v>19.71</v>
      </c>
      <c r="N557" s="7">
        <f>+I557+15-1</f>
        <v>42535</v>
      </c>
      <c r="O557" s="1">
        <v>1005210</v>
      </c>
      <c r="P557" s="107">
        <f t="shared" si="65"/>
        <v>1005210</v>
      </c>
      <c r="Q557" s="170">
        <v>42535</v>
      </c>
      <c r="R557" s="66">
        <v>42535</v>
      </c>
      <c r="S557" s="187">
        <f t="shared" si="67"/>
        <v>0</v>
      </c>
    </row>
    <row r="558" spans="1:22" s="3" customFormat="1" hidden="1" x14ac:dyDescent="0.25">
      <c r="A558" s="84">
        <f>+closed!A557+1</f>
        <v>6</v>
      </c>
      <c r="B558" s="24">
        <v>42527</v>
      </c>
      <c r="C558" s="1">
        <v>114</v>
      </c>
      <c r="D558" s="1">
        <v>3000030841</v>
      </c>
      <c r="E558" s="1" t="s">
        <v>36</v>
      </c>
      <c r="F558" s="1">
        <v>1145</v>
      </c>
      <c r="G558" s="25">
        <v>42516</v>
      </c>
      <c r="H558" s="25"/>
      <c r="I558" s="25">
        <v>42521</v>
      </c>
      <c r="J558" s="1" t="s">
        <v>16</v>
      </c>
      <c r="K558" s="1">
        <v>19.61</v>
      </c>
      <c r="L558" s="1">
        <v>19.649999999999999</v>
      </c>
      <c r="M558" s="1">
        <f t="shared" si="64"/>
        <v>19.61</v>
      </c>
      <c r="N558" s="7">
        <f>+I558+15-1</f>
        <v>42535</v>
      </c>
      <c r="O558" s="1">
        <v>1000110</v>
      </c>
      <c r="P558" s="107">
        <f t="shared" si="65"/>
        <v>1000110</v>
      </c>
      <c r="Q558" s="170">
        <v>42535</v>
      </c>
      <c r="R558" s="66">
        <v>42535</v>
      </c>
      <c r="S558" s="187">
        <f t="shared" si="67"/>
        <v>0</v>
      </c>
    </row>
    <row r="559" spans="1:22" s="3" customFormat="1" hidden="1" x14ac:dyDescent="0.25">
      <c r="A559" s="84">
        <f>+closed!A514+1</f>
        <v>483</v>
      </c>
      <c r="B559" s="24">
        <v>42521</v>
      </c>
      <c r="C559" s="1">
        <v>114</v>
      </c>
      <c r="D559" s="1">
        <v>3000028331</v>
      </c>
      <c r="E559" s="1" t="s">
        <v>15</v>
      </c>
      <c r="F559" s="1">
        <v>3054</v>
      </c>
      <c r="G559" s="25">
        <v>42515</v>
      </c>
      <c r="H559" s="25"/>
      <c r="I559" s="25">
        <v>42517</v>
      </c>
      <c r="J559" s="1" t="s">
        <v>16</v>
      </c>
      <c r="K559" s="1">
        <v>23.92</v>
      </c>
      <c r="L559" s="1">
        <v>23.81</v>
      </c>
      <c r="M559" s="1">
        <f t="shared" si="64"/>
        <v>23.81</v>
      </c>
      <c r="N559" s="7">
        <f>+I559+15-1</f>
        <v>42531</v>
      </c>
      <c r="O559" s="1">
        <v>1160120</v>
      </c>
      <c r="P559" s="107">
        <f t="shared" si="65"/>
        <v>1154785</v>
      </c>
      <c r="Q559" s="170">
        <v>42535</v>
      </c>
      <c r="R559" s="66">
        <v>42535</v>
      </c>
      <c r="S559" s="187">
        <f t="shared" si="67"/>
        <v>4</v>
      </c>
    </row>
    <row r="560" spans="1:22" s="3" customFormat="1" hidden="1" x14ac:dyDescent="0.25">
      <c r="A560" s="84">
        <f>+closed!A569+1</f>
        <v>472</v>
      </c>
      <c r="B560" s="24">
        <v>42520</v>
      </c>
      <c r="C560" s="1">
        <v>114</v>
      </c>
      <c r="D560" s="1">
        <v>3000029753</v>
      </c>
      <c r="E560" s="1" t="s">
        <v>24</v>
      </c>
      <c r="F560" s="16">
        <v>21</v>
      </c>
      <c r="G560" s="25">
        <v>42511</v>
      </c>
      <c r="H560" s="25"/>
      <c r="I560" s="25">
        <v>42515</v>
      </c>
      <c r="J560" s="1" t="s">
        <v>16</v>
      </c>
      <c r="K560" s="1">
        <v>25.27</v>
      </c>
      <c r="L560" s="1">
        <v>25.215</v>
      </c>
      <c r="M560" s="1">
        <f t="shared" si="64"/>
        <v>25.215</v>
      </c>
      <c r="N560" s="7">
        <f>+I560+20-1</f>
        <v>42534</v>
      </c>
      <c r="O560" s="1">
        <v>1389850</v>
      </c>
      <c r="P560" s="107">
        <f t="shared" si="65"/>
        <v>1386825</v>
      </c>
      <c r="Q560" s="170">
        <v>42535</v>
      </c>
      <c r="R560" s="66">
        <v>42535</v>
      </c>
      <c r="S560" s="187">
        <f t="shared" si="67"/>
        <v>1</v>
      </c>
    </row>
    <row r="561" spans="1:22" s="3" customFormat="1" hidden="1" x14ac:dyDescent="0.25">
      <c r="A561" s="84">
        <f>+closed!A560+1</f>
        <v>473</v>
      </c>
      <c r="B561" s="24">
        <v>42520</v>
      </c>
      <c r="C561" s="1">
        <v>114</v>
      </c>
      <c r="D561" s="1">
        <v>3000030114</v>
      </c>
      <c r="E561" s="1" t="s">
        <v>24</v>
      </c>
      <c r="F561" s="16">
        <v>22</v>
      </c>
      <c r="G561" s="25">
        <v>42511</v>
      </c>
      <c r="H561" s="25"/>
      <c r="I561" s="25">
        <v>42515</v>
      </c>
      <c r="J561" s="1" t="s">
        <v>16</v>
      </c>
      <c r="K561" s="1">
        <v>3.11</v>
      </c>
      <c r="L561" s="1">
        <v>3.11</v>
      </c>
      <c r="M561" s="1">
        <f t="shared" si="64"/>
        <v>3.11</v>
      </c>
      <c r="N561" s="7">
        <f>+I561+20-1</f>
        <v>42534</v>
      </c>
      <c r="O561" s="1">
        <v>171050</v>
      </c>
      <c r="P561" s="107">
        <f t="shared" si="65"/>
        <v>171050</v>
      </c>
      <c r="Q561" s="170">
        <v>42535</v>
      </c>
      <c r="R561" s="66">
        <v>42535</v>
      </c>
      <c r="S561" s="187">
        <f t="shared" si="67"/>
        <v>1</v>
      </c>
    </row>
    <row r="562" spans="1:22" s="3" customFormat="1" hidden="1" x14ac:dyDescent="0.25">
      <c r="A562" s="84">
        <f>+closed!A561+1</f>
        <v>474</v>
      </c>
      <c r="B562" s="24">
        <v>42520</v>
      </c>
      <c r="C562" s="1">
        <v>114</v>
      </c>
      <c r="D562" s="1">
        <v>3000030886</v>
      </c>
      <c r="E562" s="1" t="s">
        <v>24</v>
      </c>
      <c r="F562" s="16">
        <v>23</v>
      </c>
      <c r="G562" s="25">
        <v>42511</v>
      </c>
      <c r="H562" s="25"/>
      <c r="I562" s="25">
        <v>42515</v>
      </c>
      <c r="J562" s="1" t="s">
        <v>16</v>
      </c>
      <c r="K562" s="1">
        <v>1.075</v>
      </c>
      <c r="L562" s="1">
        <v>1.075</v>
      </c>
      <c r="M562" s="1">
        <f t="shared" si="64"/>
        <v>1.075</v>
      </c>
      <c r="N562" s="7">
        <f>+I562+20-1</f>
        <v>42534</v>
      </c>
      <c r="O562" s="1">
        <v>55363</v>
      </c>
      <c r="P562" s="107">
        <f t="shared" si="65"/>
        <v>55363</v>
      </c>
      <c r="Q562" s="170">
        <v>42535</v>
      </c>
      <c r="R562" s="66">
        <v>42535</v>
      </c>
      <c r="S562" s="187">
        <f t="shared" si="67"/>
        <v>1</v>
      </c>
    </row>
    <row r="563" spans="1:22" s="3" customFormat="1" hidden="1" x14ac:dyDescent="0.25">
      <c r="A563" s="84">
        <f>+closed!A562+1</f>
        <v>475</v>
      </c>
      <c r="B563" s="24">
        <v>42520</v>
      </c>
      <c r="C563" s="1">
        <v>114</v>
      </c>
      <c r="D563" s="1">
        <v>3000030886</v>
      </c>
      <c r="E563" s="1" t="s">
        <v>24</v>
      </c>
      <c r="F563" s="1">
        <v>24</v>
      </c>
      <c r="G563" s="25">
        <v>42511</v>
      </c>
      <c r="H563" s="25"/>
      <c r="I563" s="25">
        <v>42515</v>
      </c>
      <c r="J563" s="1" t="s">
        <v>16</v>
      </c>
      <c r="K563" s="1">
        <v>29.605</v>
      </c>
      <c r="L563" s="1">
        <v>29.54</v>
      </c>
      <c r="M563" s="1">
        <f t="shared" si="64"/>
        <v>29.54</v>
      </c>
      <c r="N563" s="7">
        <f>+I563+20-1</f>
        <v>42534</v>
      </c>
      <c r="O563" s="1">
        <v>1524658</v>
      </c>
      <c r="P563" s="107">
        <f t="shared" si="65"/>
        <v>1521310.4989022124</v>
      </c>
      <c r="Q563" s="170">
        <v>42535</v>
      </c>
      <c r="R563" s="66">
        <v>42535</v>
      </c>
      <c r="S563" s="187">
        <f t="shared" si="67"/>
        <v>1</v>
      </c>
    </row>
    <row r="564" spans="1:22" s="3" customFormat="1" hidden="1" x14ac:dyDescent="0.25">
      <c r="A564" s="84">
        <f>+closed!A559+1</f>
        <v>484</v>
      </c>
      <c r="B564" s="24">
        <v>42521</v>
      </c>
      <c r="C564" s="1">
        <v>114</v>
      </c>
      <c r="D564" s="1">
        <v>3000031000</v>
      </c>
      <c r="E564" s="1" t="s">
        <v>24</v>
      </c>
      <c r="F564" s="1">
        <v>25</v>
      </c>
      <c r="G564" s="25">
        <v>42514</v>
      </c>
      <c r="H564" s="25"/>
      <c r="I564" s="25">
        <v>42518</v>
      </c>
      <c r="J564" s="1" t="s">
        <v>16</v>
      </c>
      <c r="K564" s="1">
        <v>29.905000000000001</v>
      </c>
      <c r="L564" s="1">
        <v>29.83</v>
      </c>
      <c r="M564" s="1">
        <f t="shared" si="64"/>
        <v>29.83</v>
      </c>
      <c r="N564" s="7">
        <f>+I564+15-1</f>
        <v>42532</v>
      </c>
      <c r="O564" s="1">
        <v>1540108</v>
      </c>
      <c r="P564" s="107">
        <f t="shared" si="65"/>
        <v>1536245.4987460289</v>
      </c>
      <c r="Q564" s="170">
        <v>42535</v>
      </c>
      <c r="R564" s="66">
        <v>42535</v>
      </c>
      <c r="S564" s="187">
        <f t="shared" si="67"/>
        <v>3</v>
      </c>
    </row>
    <row r="565" spans="1:22" s="3" customFormat="1" hidden="1" x14ac:dyDescent="0.25">
      <c r="A565" s="84">
        <f>+closed!A549+1</f>
        <v>465</v>
      </c>
      <c r="B565" s="24">
        <v>42517</v>
      </c>
      <c r="C565" s="1">
        <v>103</v>
      </c>
      <c r="D565" s="1">
        <v>3000030936</v>
      </c>
      <c r="E565" s="1" t="s">
        <v>145</v>
      </c>
      <c r="F565" s="1">
        <v>13</v>
      </c>
      <c r="G565" s="25">
        <v>42511</v>
      </c>
      <c r="H565" s="25"/>
      <c r="I565" s="25">
        <v>42516</v>
      </c>
      <c r="J565" s="1" t="s">
        <v>61</v>
      </c>
      <c r="K565" s="1">
        <v>19.885000000000002</v>
      </c>
      <c r="L565" s="1">
        <v>19.86</v>
      </c>
      <c r="M565" s="1">
        <f t="shared" si="64"/>
        <v>19.86</v>
      </c>
      <c r="N565" s="7">
        <f>+I565+20-1</f>
        <v>42535</v>
      </c>
      <c r="O565" s="1">
        <v>1670281</v>
      </c>
      <c r="P565" s="107">
        <f t="shared" si="65"/>
        <v>1668181.074176515</v>
      </c>
      <c r="Q565" s="170">
        <v>42535</v>
      </c>
      <c r="R565" s="66">
        <v>42536</v>
      </c>
      <c r="S565" s="187">
        <f t="shared" si="67"/>
        <v>1</v>
      </c>
    </row>
    <row r="566" spans="1:22" s="3" customFormat="1" hidden="1" x14ac:dyDescent="0.25">
      <c r="A566" s="84">
        <f>+closed!A553+1</f>
        <v>468</v>
      </c>
      <c r="B566" s="24">
        <v>42517</v>
      </c>
      <c r="C566" s="1">
        <v>103</v>
      </c>
      <c r="D566" s="1">
        <v>3000030713</v>
      </c>
      <c r="E566" s="1" t="s">
        <v>60</v>
      </c>
      <c r="F566" s="1">
        <v>157</v>
      </c>
      <c r="G566" s="25">
        <v>42512</v>
      </c>
      <c r="H566" s="25"/>
      <c r="I566" s="25">
        <v>42516</v>
      </c>
      <c r="J566" s="1" t="s">
        <v>61</v>
      </c>
      <c r="K566" s="1">
        <v>20.02</v>
      </c>
      <c r="L566" s="1">
        <v>19.96</v>
      </c>
      <c r="M566" s="1">
        <f t="shared" si="64"/>
        <v>19.96</v>
      </c>
      <c r="N566" s="7">
        <f>+I566+20-1</f>
        <v>42535</v>
      </c>
      <c r="O566" s="1">
        <v>1661608</v>
      </c>
      <c r="P566" s="36">
        <f t="shared" si="65"/>
        <v>1656628.1558441559</v>
      </c>
      <c r="Q566" s="170">
        <v>42535</v>
      </c>
      <c r="R566" s="66">
        <v>42535</v>
      </c>
      <c r="S566" s="187">
        <f t="shared" si="67"/>
        <v>0</v>
      </c>
    </row>
    <row r="567" spans="1:22" s="3" customFormat="1" hidden="1" x14ac:dyDescent="0.25">
      <c r="A567" s="84">
        <f>+closed!A566+1</f>
        <v>469</v>
      </c>
      <c r="B567" s="24">
        <v>42517</v>
      </c>
      <c r="C567" s="1">
        <v>103</v>
      </c>
      <c r="D567" s="1">
        <v>3000030713</v>
      </c>
      <c r="E567" s="1" t="s">
        <v>60</v>
      </c>
      <c r="F567" s="1">
        <v>160</v>
      </c>
      <c r="G567" s="25">
        <v>42512</v>
      </c>
      <c r="H567" s="25"/>
      <c r="I567" s="25">
        <v>42516</v>
      </c>
      <c r="J567" s="1" t="s">
        <v>61</v>
      </c>
      <c r="K567" s="1">
        <v>20.350000000000001</v>
      </c>
      <c r="L567" s="1">
        <v>20.29</v>
      </c>
      <c r="M567" s="1">
        <f t="shared" si="64"/>
        <v>20.29</v>
      </c>
      <c r="N567" s="7">
        <f>+I567+20-1</f>
        <v>42535</v>
      </c>
      <c r="O567" s="1">
        <v>1688998</v>
      </c>
      <c r="P567" s="36">
        <f t="shared" si="65"/>
        <v>1684018.1533169532</v>
      </c>
      <c r="Q567" s="170">
        <v>42535</v>
      </c>
      <c r="R567" s="66">
        <v>42535</v>
      </c>
      <c r="S567" s="187">
        <f t="shared" si="67"/>
        <v>0</v>
      </c>
    </row>
    <row r="568" spans="1:22" s="3" customFormat="1" hidden="1" x14ac:dyDescent="0.25">
      <c r="A568" s="84">
        <f>+closed!A567+1</f>
        <v>470</v>
      </c>
      <c r="B568" s="24">
        <v>42517</v>
      </c>
      <c r="C568" s="1">
        <v>103</v>
      </c>
      <c r="D568" s="1">
        <v>3000030713</v>
      </c>
      <c r="E568" s="1" t="s">
        <v>60</v>
      </c>
      <c r="F568" s="1">
        <v>166</v>
      </c>
      <c r="G568" s="25">
        <v>42513</v>
      </c>
      <c r="H568" s="25"/>
      <c r="I568" s="25">
        <v>42516</v>
      </c>
      <c r="J568" s="1" t="s">
        <v>61</v>
      </c>
      <c r="K568" s="1">
        <v>20.25</v>
      </c>
      <c r="L568" s="1">
        <v>20.18</v>
      </c>
      <c r="M568" s="1">
        <f t="shared" si="64"/>
        <v>20.18</v>
      </c>
      <c r="N568" s="7">
        <f>+I568+20-1</f>
        <v>42535</v>
      </c>
      <c r="O568" s="1">
        <v>1680698</v>
      </c>
      <c r="P568" s="36">
        <f t="shared" si="65"/>
        <v>1674888.1797530865</v>
      </c>
      <c r="Q568" s="170">
        <v>42535</v>
      </c>
      <c r="R568" s="66">
        <v>42535</v>
      </c>
      <c r="S568" s="187">
        <f t="shared" si="67"/>
        <v>0</v>
      </c>
    </row>
    <row r="569" spans="1:22" s="3" customFormat="1" hidden="1" x14ac:dyDescent="0.25">
      <c r="A569" s="84">
        <f>+closed!A568+1</f>
        <v>471</v>
      </c>
      <c r="B569" s="24">
        <v>42520</v>
      </c>
      <c r="C569" s="1">
        <v>114</v>
      </c>
      <c r="D569" s="1">
        <v>3000030896</v>
      </c>
      <c r="E569" s="1" t="s">
        <v>29</v>
      </c>
      <c r="F569" s="1">
        <v>70</v>
      </c>
      <c r="G569" s="25">
        <v>42513</v>
      </c>
      <c r="H569" s="25"/>
      <c r="I569" s="25">
        <v>42516</v>
      </c>
      <c r="J569" s="1" t="s">
        <v>16</v>
      </c>
      <c r="K569" s="1">
        <v>22.3</v>
      </c>
      <c r="L569" s="1">
        <v>22.25</v>
      </c>
      <c r="M569" s="1">
        <f t="shared" ref="M569:M600" si="68">IF(L569&gt;K569,K569,L569)</f>
        <v>22.25</v>
      </c>
      <c r="N569" s="7">
        <f>+I569+20-1</f>
        <v>42535</v>
      </c>
      <c r="O569" s="1">
        <v>1121690</v>
      </c>
      <c r="P569" s="107">
        <f t="shared" si="65"/>
        <v>1119175</v>
      </c>
      <c r="Q569" s="178">
        <v>42535</v>
      </c>
      <c r="R569" s="66">
        <v>42535</v>
      </c>
      <c r="S569" s="187">
        <f t="shared" si="67"/>
        <v>0</v>
      </c>
      <c r="T569" s="15">
        <v>16879869</v>
      </c>
      <c r="U569" s="15" t="s">
        <v>162</v>
      </c>
      <c r="V569" s="15"/>
    </row>
    <row r="570" spans="1:22" hidden="1" x14ac:dyDescent="0.25">
      <c r="A570" s="84">
        <f>+closed!A569+1</f>
        <v>472</v>
      </c>
      <c r="B570" s="24">
        <v>42536</v>
      </c>
      <c r="C570" s="1">
        <v>116</v>
      </c>
      <c r="D570" s="1">
        <v>3000031072</v>
      </c>
      <c r="E570" s="1" t="s">
        <v>163</v>
      </c>
      <c r="F570" s="1">
        <v>9211605695</v>
      </c>
      <c r="G570" s="25">
        <v>42521</v>
      </c>
      <c r="H570" s="25"/>
      <c r="I570" s="25">
        <v>42521</v>
      </c>
      <c r="J570" s="1" t="s">
        <v>16</v>
      </c>
      <c r="K570" s="1">
        <v>19.16</v>
      </c>
      <c r="L570" s="1">
        <v>19.16</v>
      </c>
      <c r="M570" s="1">
        <f t="shared" si="68"/>
        <v>19.16</v>
      </c>
      <c r="N570" s="1" t="s">
        <v>164</v>
      </c>
      <c r="O570" s="1">
        <v>961892</v>
      </c>
      <c r="P570" s="26">
        <f t="shared" si="65"/>
        <v>961892</v>
      </c>
      <c r="Q570" s="75"/>
      <c r="S570" s="3"/>
    </row>
    <row r="571" spans="1:22" hidden="1" x14ac:dyDescent="0.25">
      <c r="A571" s="84">
        <f>+closed!A570+1</f>
        <v>473</v>
      </c>
      <c r="B571" s="24">
        <v>42536</v>
      </c>
      <c r="C571" s="1">
        <v>116</v>
      </c>
      <c r="D571" s="1">
        <v>3000031072</v>
      </c>
      <c r="E571" s="1" t="s">
        <v>163</v>
      </c>
      <c r="F571" s="1">
        <v>9211605767</v>
      </c>
      <c r="G571" s="25">
        <v>42521</v>
      </c>
      <c r="H571" s="25"/>
      <c r="I571" s="25">
        <v>42521</v>
      </c>
      <c r="J571" s="1" t="s">
        <v>16</v>
      </c>
      <c r="K571" s="1">
        <v>19.46</v>
      </c>
      <c r="L571" s="1">
        <v>19.46</v>
      </c>
      <c r="M571" s="1">
        <f t="shared" si="68"/>
        <v>19.46</v>
      </c>
      <c r="N571" s="1" t="s">
        <v>164</v>
      </c>
      <c r="O571" s="1">
        <v>976953</v>
      </c>
      <c r="P571" s="26">
        <f t="shared" si="65"/>
        <v>976953</v>
      </c>
      <c r="Q571" s="75"/>
      <c r="S571" s="3"/>
    </row>
    <row r="572" spans="1:22" hidden="1" x14ac:dyDescent="0.25">
      <c r="A572" s="84">
        <f>+closed!A571+1</f>
        <v>474</v>
      </c>
      <c r="B572" s="24">
        <v>42536</v>
      </c>
      <c r="C572" s="1">
        <v>116</v>
      </c>
      <c r="D572" s="1">
        <v>3000031072</v>
      </c>
      <c r="E572" s="1" t="s">
        <v>163</v>
      </c>
      <c r="F572" s="1">
        <v>9211605789</v>
      </c>
      <c r="G572" s="25">
        <v>42522</v>
      </c>
      <c r="H572" s="25"/>
      <c r="I572" s="25">
        <v>42522</v>
      </c>
      <c r="J572" s="1" t="s">
        <v>16</v>
      </c>
      <c r="K572" s="1">
        <v>19.5</v>
      </c>
      <c r="L572" s="1">
        <v>19.5</v>
      </c>
      <c r="M572" s="1">
        <f t="shared" si="68"/>
        <v>19.5</v>
      </c>
      <c r="N572" s="1" t="s">
        <v>164</v>
      </c>
      <c r="O572" s="1">
        <v>978961</v>
      </c>
      <c r="P572" s="26">
        <f t="shared" si="65"/>
        <v>978961</v>
      </c>
      <c r="Q572" s="75"/>
      <c r="S572" s="3"/>
    </row>
    <row r="573" spans="1:22" hidden="1" x14ac:dyDescent="0.25">
      <c r="A573" s="84">
        <f>+closed!A572+1</f>
        <v>475</v>
      </c>
      <c r="B573" s="24">
        <v>42536</v>
      </c>
      <c r="C573" s="1">
        <v>116</v>
      </c>
      <c r="D573" s="1">
        <v>3000031072</v>
      </c>
      <c r="E573" s="1" t="s">
        <v>163</v>
      </c>
      <c r="F573" s="1">
        <v>9211605790</v>
      </c>
      <c r="G573" s="25">
        <v>42522</v>
      </c>
      <c r="H573" s="25"/>
      <c r="I573" s="25">
        <v>42522</v>
      </c>
      <c r="J573" s="1" t="s">
        <v>16</v>
      </c>
      <c r="K573" s="1">
        <v>18.71</v>
      </c>
      <c r="L573" s="1">
        <v>18.71</v>
      </c>
      <c r="M573" s="1">
        <f t="shared" si="68"/>
        <v>18.71</v>
      </c>
      <c r="N573" s="1" t="s">
        <v>164</v>
      </c>
      <c r="O573" s="1">
        <v>939300</v>
      </c>
      <c r="P573" s="26">
        <f t="shared" si="65"/>
        <v>939299.99999999988</v>
      </c>
      <c r="Q573" s="75"/>
      <c r="S573" s="3"/>
    </row>
    <row r="574" spans="1:22" hidden="1" x14ac:dyDescent="0.25">
      <c r="A574" s="84">
        <f>+closed!A573+1</f>
        <v>476</v>
      </c>
      <c r="B574" s="24">
        <v>42536</v>
      </c>
      <c r="C574" s="1">
        <v>116</v>
      </c>
      <c r="D574" s="1">
        <v>3000031072</v>
      </c>
      <c r="E574" s="1" t="s">
        <v>163</v>
      </c>
      <c r="F574" s="1">
        <v>9211605791</v>
      </c>
      <c r="G574" s="25">
        <v>42522</v>
      </c>
      <c r="H574" s="25"/>
      <c r="I574" s="25">
        <v>42522</v>
      </c>
      <c r="J574" s="1" t="s">
        <v>16</v>
      </c>
      <c r="K574" s="1">
        <v>19.45</v>
      </c>
      <c r="L574" s="1">
        <v>19.45</v>
      </c>
      <c r="M574" s="1">
        <f t="shared" si="68"/>
        <v>19.45</v>
      </c>
      <c r="N574" s="1" t="s">
        <v>164</v>
      </c>
      <c r="O574" s="1">
        <v>970451</v>
      </c>
      <c r="P574" s="26">
        <f t="shared" si="65"/>
        <v>970451</v>
      </c>
      <c r="Q574" s="75"/>
      <c r="S574" s="3"/>
    </row>
    <row r="575" spans="1:22" hidden="1" x14ac:dyDescent="0.25">
      <c r="A575" s="84">
        <f>+closed!A574+1</f>
        <v>477</v>
      </c>
      <c r="B575" s="24">
        <v>42536</v>
      </c>
      <c r="C575" s="1">
        <v>116</v>
      </c>
      <c r="D575" s="1">
        <v>3000031072</v>
      </c>
      <c r="E575" s="1" t="s">
        <v>163</v>
      </c>
      <c r="F575" s="1">
        <v>9211605759</v>
      </c>
      <c r="G575" s="25">
        <v>42521</v>
      </c>
      <c r="H575" s="25"/>
      <c r="I575" s="25">
        <v>42521</v>
      </c>
      <c r="J575" s="1" t="s">
        <v>16</v>
      </c>
      <c r="K575" s="1">
        <v>19.72</v>
      </c>
      <c r="L575" s="1">
        <v>19.72</v>
      </c>
      <c r="M575" s="1">
        <f t="shared" si="68"/>
        <v>19.72</v>
      </c>
      <c r="N575" s="1" t="s">
        <v>164</v>
      </c>
      <c r="O575" s="1">
        <v>990006</v>
      </c>
      <c r="P575" s="26">
        <f t="shared" si="65"/>
        <v>990006</v>
      </c>
      <c r="Q575" s="75"/>
      <c r="S575" s="3"/>
    </row>
    <row r="576" spans="1:22" hidden="1" x14ac:dyDescent="0.25">
      <c r="A576" s="84">
        <f>+closed!A575+1</f>
        <v>478</v>
      </c>
      <c r="B576" s="24">
        <v>42536</v>
      </c>
      <c r="C576" s="1">
        <v>116</v>
      </c>
      <c r="D576" s="1">
        <v>3000031072</v>
      </c>
      <c r="E576" s="5" t="s">
        <v>163</v>
      </c>
      <c r="F576" s="1">
        <v>9211606053</v>
      </c>
      <c r="G576" s="25">
        <v>42524</v>
      </c>
      <c r="H576" s="25"/>
      <c r="I576" s="25">
        <v>42524</v>
      </c>
      <c r="J576" s="1" t="s">
        <v>16</v>
      </c>
      <c r="K576" s="1">
        <v>18.86</v>
      </c>
      <c r="L576" s="1">
        <v>18.86</v>
      </c>
      <c r="M576" s="1">
        <f t="shared" si="68"/>
        <v>18.86</v>
      </c>
      <c r="N576" s="1" t="s">
        <v>164</v>
      </c>
      <c r="O576" s="1">
        <v>946831</v>
      </c>
      <c r="P576" s="26">
        <f t="shared" ref="P576:P607" si="69">(+O576/K576*M576)</f>
        <v>946831</v>
      </c>
      <c r="Q576" s="102"/>
      <c r="R576" s="8"/>
      <c r="S576" s="3"/>
    </row>
    <row r="577" spans="1:19" s="3" customFormat="1" hidden="1" x14ac:dyDescent="0.25">
      <c r="A577" s="99">
        <f>+closed!A660+1</f>
        <v>46</v>
      </c>
      <c r="B577" s="32">
        <v>42537</v>
      </c>
      <c r="C577" s="17">
        <v>103</v>
      </c>
      <c r="D577" s="17">
        <v>3000029491</v>
      </c>
      <c r="E577" s="17" t="s">
        <v>26</v>
      </c>
      <c r="F577" s="17">
        <v>26</v>
      </c>
      <c r="G577" s="34">
        <v>42467</v>
      </c>
      <c r="H577" s="100"/>
      <c r="I577" s="100">
        <v>42467</v>
      </c>
      <c r="J577" s="17" t="s">
        <v>166</v>
      </c>
      <c r="K577" s="101">
        <v>27.05</v>
      </c>
      <c r="L577" s="17">
        <v>27.05</v>
      </c>
      <c r="M577" s="17">
        <f t="shared" si="68"/>
        <v>27.05</v>
      </c>
      <c r="N577" s="33"/>
      <c r="O577" s="17">
        <v>2033043</v>
      </c>
      <c r="P577" s="35">
        <f t="shared" si="69"/>
        <v>2033043</v>
      </c>
      <c r="Q577" s="178">
        <v>42537</v>
      </c>
      <c r="R577" s="66">
        <v>42537</v>
      </c>
      <c r="S577" s="187"/>
    </row>
    <row r="578" spans="1:19" s="3" customFormat="1" hidden="1" x14ac:dyDescent="0.25">
      <c r="A578" s="99">
        <f>+closed!A577+1</f>
        <v>47</v>
      </c>
      <c r="B578" s="32">
        <v>42537</v>
      </c>
      <c r="C578" s="17">
        <v>103</v>
      </c>
      <c r="D578" s="17">
        <v>3000029491</v>
      </c>
      <c r="E578" s="17" t="s">
        <v>26</v>
      </c>
      <c r="F578" s="17">
        <v>27</v>
      </c>
      <c r="G578" s="34">
        <v>42467</v>
      </c>
      <c r="H578" s="100"/>
      <c r="I578" s="100">
        <v>42467</v>
      </c>
      <c r="J578" s="17" t="s">
        <v>166</v>
      </c>
      <c r="K578" s="101">
        <v>26.95</v>
      </c>
      <c r="L578" s="17">
        <v>26.95</v>
      </c>
      <c r="M578" s="17">
        <f t="shared" si="68"/>
        <v>26.95</v>
      </c>
      <c r="N578" s="33"/>
      <c r="O578" s="17">
        <v>2025527</v>
      </c>
      <c r="P578" s="35">
        <f t="shared" si="69"/>
        <v>2025527</v>
      </c>
      <c r="Q578" s="178">
        <v>42537</v>
      </c>
      <c r="R578" s="66">
        <v>42537</v>
      </c>
    </row>
    <row r="579" spans="1:19" s="3" customFormat="1" hidden="1" x14ac:dyDescent="0.25">
      <c r="A579" s="99">
        <f>+closed!A578+1</f>
        <v>48</v>
      </c>
      <c r="B579" s="32">
        <v>42537</v>
      </c>
      <c r="C579" s="17">
        <v>103</v>
      </c>
      <c r="D579" s="17">
        <v>3000029491</v>
      </c>
      <c r="E579" s="17" t="s">
        <v>26</v>
      </c>
      <c r="F579" s="17">
        <v>28</v>
      </c>
      <c r="G579" s="34">
        <v>42467</v>
      </c>
      <c r="H579" s="100"/>
      <c r="I579" s="100">
        <v>42467</v>
      </c>
      <c r="J579" s="17" t="s">
        <v>166</v>
      </c>
      <c r="K579" s="101">
        <v>27.23</v>
      </c>
      <c r="L579" s="17">
        <v>27.23</v>
      </c>
      <c r="M579" s="17">
        <f t="shared" si="68"/>
        <v>27.23</v>
      </c>
      <c r="N579" s="33"/>
      <c r="O579" s="17">
        <v>2046571</v>
      </c>
      <c r="P579" s="35">
        <f t="shared" si="69"/>
        <v>2046571</v>
      </c>
      <c r="Q579" s="178">
        <v>42537</v>
      </c>
      <c r="R579" s="66">
        <v>42537</v>
      </c>
    </row>
    <row r="580" spans="1:19" s="3" customFormat="1" hidden="1" x14ac:dyDescent="0.25">
      <c r="A580" s="99">
        <f>+closed!A579+1</f>
        <v>49</v>
      </c>
      <c r="B580" s="32">
        <v>42537</v>
      </c>
      <c r="C580" s="17">
        <v>103</v>
      </c>
      <c r="D580" s="17">
        <v>3000029491</v>
      </c>
      <c r="E580" s="17" t="s">
        <v>26</v>
      </c>
      <c r="F580" s="17">
        <v>29</v>
      </c>
      <c r="G580" s="34">
        <v>42467</v>
      </c>
      <c r="H580" s="100"/>
      <c r="I580" s="100">
        <v>42467</v>
      </c>
      <c r="J580" s="17" t="s">
        <v>166</v>
      </c>
      <c r="K580" s="101">
        <v>26.82</v>
      </c>
      <c r="L580" s="17">
        <v>26.82</v>
      </c>
      <c r="M580" s="17">
        <f t="shared" si="68"/>
        <v>26.82</v>
      </c>
      <c r="N580" s="33"/>
      <c r="O580" s="17">
        <v>2015756</v>
      </c>
      <c r="P580" s="35">
        <f t="shared" si="69"/>
        <v>2015756</v>
      </c>
      <c r="Q580" s="178">
        <v>42537</v>
      </c>
      <c r="R580" s="66">
        <v>42537</v>
      </c>
    </row>
    <row r="581" spans="1:19" s="3" customFormat="1" hidden="1" x14ac:dyDescent="0.25">
      <c r="A581" s="99">
        <f>+closed!A580+1</f>
        <v>50</v>
      </c>
      <c r="B581" s="32">
        <v>42537</v>
      </c>
      <c r="C581" s="17">
        <v>103</v>
      </c>
      <c r="D581" s="17">
        <v>3000029491</v>
      </c>
      <c r="E581" s="17" t="s">
        <v>26</v>
      </c>
      <c r="F581" s="17">
        <v>30</v>
      </c>
      <c r="G581" s="34">
        <v>42468</v>
      </c>
      <c r="H581" s="100"/>
      <c r="I581" s="100">
        <v>42468</v>
      </c>
      <c r="J581" s="17" t="s">
        <v>166</v>
      </c>
      <c r="K581" s="101">
        <v>25.98</v>
      </c>
      <c r="L581" s="17">
        <v>25.98</v>
      </c>
      <c r="M581" s="17">
        <f t="shared" si="68"/>
        <v>25.98</v>
      </c>
      <c r="N581" s="33"/>
      <c r="O581" s="17">
        <v>1952623</v>
      </c>
      <c r="P581" s="35">
        <f t="shared" si="69"/>
        <v>1952623.0000000002</v>
      </c>
      <c r="Q581" s="178">
        <v>42537</v>
      </c>
      <c r="R581" s="66">
        <v>42537</v>
      </c>
    </row>
    <row r="582" spans="1:19" s="3" customFormat="1" hidden="1" x14ac:dyDescent="0.25">
      <c r="A582" s="99">
        <f>+closed!A581+1</f>
        <v>51</v>
      </c>
      <c r="B582" s="32">
        <v>42537</v>
      </c>
      <c r="C582" s="17">
        <v>103</v>
      </c>
      <c r="D582" s="17">
        <v>3000029491</v>
      </c>
      <c r="E582" s="17" t="s">
        <v>26</v>
      </c>
      <c r="F582" s="17">
        <v>31</v>
      </c>
      <c r="G582" s="34">
        <v>42468</v>
      </c>
      <c r="H582" s="100"/>
      <c r="I582" s="100">
        <v>42468</v>
      </c>
      <c r="J582" s="17" t="s">
        <v>166</v>
      </c>
      <c r="K582" s="101">
        <v>25.64</v>
      </c>
      <c r="L582" s="17">
        <v>25.64</v>
      </c>
      <c r="M582" s="17">
        <f t="shared" si="68"/>
        <v>25.64</v>
      </c>
      <c r="N582" s="33"/>
      <c r="O582" s="17">
        <v>1927069</v>
      </c>
      <c r="P582" s="35">
        <f t="shared" si="69"/>
        <v>1927069</v>
      </c>
      <c r="Q582" s="178">
        <v>42537</v>
      </c>
      <c r="R582" s="66">
        <v>42537</v>
      </c>
    </row>
    <row r="583" spans="1:19" s="3" customFormat="1" hidden="1" x14ac:dyDescent="0.25">
      <c r="A583" s="99">
        <f>+closed!A582+1</f>
        <v>52</v>
      </c>
      <c r="B583" s="32">
        <v>42537</v>
      </c>
      <c r="C583" s="17">
        <v>103</v>
      </c>
      <c r="D583" s="17">
        <v>3000029491</v>
      </c>
      <c r="E583" s="17" t="s">
        <v>26</v>
      </c>
      <c r="F583" s="17">
        <v>32</v>
      </c>
      <c r="G583" s="34">
        <v>42468</v>
      </c>
      <c r="H583" s="100"/>
      <c r="I583" s="100">
        <v>42468</v>
      </c>
      <c r="J583" s="17" t="s">
        <v>166</v>
      </c>
      <c r="K583" s="101">
        <v>31.75</v>
      </c>
      <c r="L583" s="17">
        <v>31.75</v>
      </c>
      <c r="M583" s="17">
        <f t="shared" si="68"/>
        <v>31.75</v>
      </c>
      <c r="N583" s="33"/>
      <c r="O583" s="17">
        <v>2386289</v>
      </c>
      <c r="P583" s="35">
        <f t="shared" si="69"/>
        <v>2386289</v>
      </c>
      <c r="Q583" s="178">
        <v>42537</v>
      </c>
      <c r="R583" s="66">
        <v>42537</v>
      </c>
    </row>
    <row r="584" spans="1:19" s="3" customFormat="1" hidden="1" x14ac:dyDescent="0.25">
      <c r="A584" s="99">
        <f>+closed!A583+1</f>
        <v>53</v>
      </c>
      <c r="B584" s="32">
        <v>42537</v>
      </c>
      <c r="C584" s="17">
        <v>103</v>
      </c>
      <c r="D584" s="17">
        <v>3000029491</v>
      </c>
      <c r="E584" s="17" t="s">
        <v>26</v>
      </c>
      <c r="F584" s="17">
        <v>33</v>
      </c>
      <c r="G584" s="34">
        <v>42468</v>
      </c>
      <c r="H584" s="100"/>
      <c r="I584" s="100">
        <v>42468</v>
      </c>
      <c r="J584" s="17" t="s">
        <v>166</v>
      </c>
      <c r="K584" s="101">
        <v>28.32</v>
      </c>
      <c r="L584" s="17">
        <v>28.32</v>
      </c>
      <c r="M584" s="17">
        <f t="shared" si="68"/>
        <v>28.32</v>
      </c>
      <c r="N584" s="33"/>
      <c r="O584" s="17">
        <v>2128494</v>
      </c>
      <c r="P584" s="35">
        <f t="shared" si="69"/>
        <v>2128494</v>
      </c>
      <c r="Q584" s="178">
        <v>42537</v>
      </c>
      <c r="R584" s="66">
        <v>42537</v>
      </c>
    </row>
    <row r="585" spans="1:19" s="3" customFormat="1" hidden="1" x14ac:dyDescent="0.25">
      <c r="A585" s="99">
        <f>+closed!A584+1</f>
        <v>54</v>
      </c>
      <c r="B585" s="32">
        <v>42537</v>
      </c>
      <c r="C585" s="17">
        <v>103</v>
      </c>
      <c r="D585" s="17">
        <v>3000029491</v>
      </c>
      <c r="E585" s="17" t="s">
        <v>26</v>
      </c>
      <c r="F585" s="17">
        <v>34</v>
      </c>
      <c r="G585" s="34">
        <v>42470</v>
      </c>
      <c r="H585" s="100"/>
      <c r="I585" s="100">
        <v>42470</v>
      </c>
      <c r="J585" s="17" t="s">
        <v>166</v>
      </c>
      <c r="K585" s="101">
        <v>25.47</v>
      </c>
      <c r="L585" s="17">
        <v>25.47</v>
      </c>
      <c r="M585" s="17">
        <f t="shared" si="68"/>
        <v>25.47</v>
      </c>
      <c r="N585" s="33"/>
      <c r="O585" s="17">
        <v>1914292</v>
      </c>
      <c r="P585" s="35">
        <f t="shared" si="69"/>
        <v>1914292</v>
      </c>
      <c r="Q585" s="178">
        <v>42537</v>
      </c>
      <c r="R585" s="66">
        <v>42537</v>
      </c>
    </row>
    <row r="586" spans="1:19" s="3" customFormat="1" hidden="1" x14ac:dyDescent="0.25">
      <c r="A586" s="99">
        <f>+closed!A585+1</f>
        <v>55</v>
      </c>
      <c r="B586" s="32">
        <v>42537</v>
      </c>
      <c r="C586" s="17">
        <v>103</v>
      </c>
      <c r="D586" s="17">
        <v>3000029491</v>
      </c>
      <c r="E586" s="17" t="s">
        <v>26</v>
      </c>
      <c r="F586" s="17">
        <v>35</v>
      </c>
      <c r="G586" s="34">
        <v>42470</v>
      </c>
      <c r="H586" s="100"/>
      <c r="I586" s="100">
        <v>42470</v>
      </c>
      <c r="J586" s="17" t="s">
        <v>166</v>
      </c>
      <c r="K586" s="101">
        <v>27.44</v>
      </c>
      <c r="L586" s="17">
        <v>27.44</v>
      </c>
      <c r="M586" s="17">
        <f t="shared" si="68"/>
        <v>27.44</v>
      </c>
      <c r="N586" s="33"/>
      <c r="O586" s="17">
        <v>2062355</v>
      </c>
      <c r="P586" s="35">
        <f t="shared" si="69"/>
        <v>2062354.9999999998</v>
      </c>
      <c r="Q586" s="178">
        <v>42537</v>
      </c>
      <c r="R586" s="66">
        <v>42537</v>
      </c>
    </row>
    <row r="587" spans="1:19" s="3" customFormat="1" hidden="1" x14ac:dyDescent="0.25">
      <c r="A587" s="99">
        <f>+closed!A586+1</f>
        <v>56</v>
      </c>
      <c r="B587" s="32">
        <v>42537</v>
      </c>
      <c r="C587" s="17">
        <v>103</v>
      </c>
      <c r="D587" s="17">
        <v>3000029491</v>
      </c>
      <c r="E587" s="17" t="s">
        <v>26</v>
      </c>
      <c r="F587" s="17">
        <v>36</v>
      </c>
      <c r="G587" s="34">
        <v>42470</v>
      </c>
      <c r="H587" s="100"/>
      <c r="I587" s="100">
        <v>42470</v>
      </c>
      <c r="J587" s="17" t="s">
        <v>166</v>
      </c>
      <c r="K587" s="101">
        <v>27.02</v>
      </c>
      <c r="L587" s="17">
        <v>27.02</v>
      </c>
      <c r="M587" s="17">
        <f t="shared" si="68"/>
        <v>27.02</v>
      </c>
      <c r="N587" s="33"/>
      <c r="O587" s="17">
        <v>2030788</v>
      </c>
      <c r="P587" s="35">
        <f t="shared" si="69"/>
        <v>2030788</v>
      </c>
      <c r="Q587" s="178">
        <v>42537</v>
      </c>
      <c r="R587" s="66">
        <v>42537</v>
      </c>
    </row>
    <row r="588" spans="1:19" s="3" customFormat="1" hidden="1" x14ac:dyDescent="0.25">
      <c r="A588" s="30">
        <f>+closed!A472+1</f>
        <v>417</v>
      </c>
      <c r="B588" s="24">
        <v>42509</v>
      </c>
      <c r="C588" s="1">
        <v>114</v>
      </c>
      <c r="D588" s="1">
        <v>3000030253</v>
      </c>
      <c r="E588" s="1" t="s">
        <v>55</v>
      </c>
      <c r="F588" s="1">
        <v>6</v>
      </c>
      <c r="G588" s="25">
        <v>42502</v>
      </c>
      <c r="H588" s="74"/>
      <c r="I588" s="74">
        <v>115554</v>
      </c>
      <c r="J588" s="1" t="s">
        <v>8</v>
      </c>
      <c r="K588" s="77">
        <v>27.49</v>
      </c>
      <c r="L588" s="1">
        <v>27.42</v>
      </c>
      <c r="M588" s="1">
        <f t="shared" si="68"/>
        <v>27.42</v>
      </c>
      <c r="N588" s="7">
        <f>+I588+15-1</f>
        <v>115568</v>
      </c>
      <c r="O588" s="1">
        <v>1539440</v>
      </c>
      <c r="P588" s="107">
        <f t="shared" si="69"/>
        <v>1535520</v>
      </c>
      <c r="Q588" s="178">
        <v>42537</v>
      </c>
      <c r="R588" s="66">
        <v>42537</v>
      </c>
      <c r="S588" s="187"/>
    </row>
    <row r="589" spans="1:19" s="3" customFormat="1" hidden="1" x14ac:dyDescent="0.25">
      <c r="A589" s="30">
        <f>+closed!A672+1</f>
        <v>455</v>
      </c>
      <c r="B589" s="24">
        <v>42516</v>
      </c>
      <c r="C589" s="1">
        <v>114</v>
      </c>
      <c r="D589" s="1">
        <v>3000030300</v>
      </c>
      <c r="E589" s="1" t="s">
        <v>27</v>
      </c>
      <c r="F589" s="16">
        <v>832</v>
      </c>
      <c r="G589" s="25">
        <v>42509</v>
      </c>
      <c r="H589" s="74"/>
      <c r="I589" s="74">
        <v>42512</v>
      </c>
      <c r="J589" s="1" t="s">
        <v>8</v>
      </c>
      <c r="K589" s="77">
        <v>20.58</v>
      </c>
      <c r="L589" s="1">
        <v>20.52</v>
      </c>
      <c r="M589" s="1">
        <f t="shared" si="68"/>
        <v>20.52</v>
      </c>
      <c r="N589" s="7">
        <f>+I589+15-1</f>
        <v>42526</v>
      </c>
      <c r="O589" s="1">
        <v>1148364</v>
      </c>
      <c r="P589" s="107">
        <f t="shared" si="69"/>
        <v>1145016.0000000002</v>
      </c>
      <c r="Q589" s="178">
        <v>42537</v>
      </c>
      <c r="R589" s="66">
        <v>42537</v>
      </c>
      <c r="S589" s="187">
        <f t="shared" ref="S589:S607" si="70">R589-N589</f>
        <v>11</v>
      </c>
    </row>
    <row r="590" spans="1:19" s="3" customFormat="1" hidden="1" x14ac:dyDescent="0.25">
      <c r="A590" s="30">
        <f>+closed!A589+1</f>
        <v>456</v>
      </c>
      <c r="B590" s="24">
        <v>42516</v>
      </c>
      <c r="C590" s="1">
        <v>114</v>
      </c>
      <c r="D590" s="1">
        <v>3000030416</v>
      </c>
      <c r="E590" s="1" t="s">
        <v>27</v>
      </c>
      <c r="F590" s="16">
        <v>832</v>
      </c>
      <c r="G590" s="25">
        <v>42509</v>
      </c>
      <c r="H590" s="74"/>
      <c r="I590" s="74">
        <v>42512</v>
      </c>
      <c r="J590" s="1" t="s">
        <v>8</v>
      </c>
      <c r="K590" s="77">
        <v>9</v>
      </c>
      <c r="L590" s="1">
        <v>9</v>
      </c>
      <c r="M590" s="1">
        <f t="shared" si="68"/>
        <v>9</v>
      </c>
      <c r="N590" s="7">
        <f>+I590+15-1</f>
        <v>42526</v>
      </c>
      <c r="O590" s="1">
        <v>491400</v>
      </c>
      <c r="P590" s="107">
        <f t="shared" si="69"/>
        <v>491400</v>
      </c>
      <c r="Q590" s="178">
        <v>42537</v>
      </c>
      <c r="R590" s="66">
        <v>42537</v>
      </c>
      <c r="S590" s="187">
        <f t="shared" si="70"/>
        <v>11</v>
      </c>
    </row>
    <row r="591" spans="1:19" s="3" customFormat="1" hidden="1" x14ac:dyDescent="0.25">
      <c r="A591" s="30">
        <f>+closed!A509+1</f>
        <v>460</v>
      </c>
      <c r="B591" s="24">
        <v>42516</v>
      </c>
      <c r="C591" s="1">
        <v>114</v>
      </c>
      <c r="D591" s="1">
        <v>3000030055</v>
      </c>
      <c r="E591" s="1" t="s">
        <v>29</v>
      </c>
      <c r="F591" s="1">
        <v>65</v>
      </c>
      <c r="G591" s="25">
        <v>42510</v>
      </c>
      <c r="H591" s="74"/>
      <c r="I591" s="74">
        <v>42512</v>
      </c>
      <c r="J591" s="1" t="s">
        <v>8</v>
      </c>
      <c r="K591" s="77">
        <v>28.18</v>
      </c>
      <c r="L591" s="1">
        <v>28.02</v>
      </c>
      <c r="M591" s="1">
        <f t="shared" si="68"/>
        <v>28.02</v>
      </c>
      <c r="N591" s="7">
        <f>+I591+15-1</f>
        <v>42526</v>
      </c>
      <c r="O591" s="1">
        <v>1535810</v>
      </c>
      <c r="P591" s="107">
        <f t="shared" si="69"/>
        <v>1527090</v>
      </c>
      <c r="Q591" s="178">
        <v>42537</v>
      </c>
      <c r="R591" s="66">
        <v>42537</v>
      </c>
      <c r="S591" s="187">
        <f t="shared" si="70"/>
        <v>11</v>
      </c>
    </row>
    <row r="592" spans="1:19" s="3" customFormat="1" hidden="1" x14ac:dyDescent="0.25">
      <c r="A592" s="30">
        <f>+closed!A479+1</f>
        <v>479</v>
      </c>
      <c r="B592" s="24">
        <v>42520</v>
      </c>
      <c r="C592" s="1">
        <v>103</v>
      </c>
      <c r="D592" s="1">
        <v>3000030936</v>
      </c>
      <c r="E592" s="1" t="s">
        <v>145</v>
      </c>
      <c r="F592" s="1">
        <v>14</v>
      </c>
      <c r="G592" s="25">
        <v>42511</v>
      </c>
      <c r="H592" s="74"/>
      <c r="I592" s="74">
        <v>42517</v>
      </c>
      <c r="J592" s="1" t="s">
        <v>61</v>
      </c>
      <c r="K592" s="77">
        <v>19.89</v>
      </c>
      <c r="L592" s="1">
        <v>19.84</v>
      </c>
      <c r="M592" s="1">
        <f t="shared" si="68"/>
        <v>19.84</v>
      </c>
      <c r="N592" s="7">
        <f>+I592+20-1</f>
        <v>42536</v>
      </c>
      <c r="O592" s="1">
        <v>1670701</v>
      </c>
      <c r="P592" s="107">
        <f t="shared" si="69"/>
        <v>1666501.1483157366</v>
      </c>
      <c r="Q592" s="178">
        <v>42537</v>
      </c>
      <c r="R592" s="66">
        <v>42537</v>
      </c>
      <c r="S592" s="187">
        <f t="shared" si="70"/>
        <v>1</v>
      </c>
    </row>
    <row r="593" spans="1:20" s="3" customFormat="1" hidden="1" x14ac:dyDescent="0.25">
      <c r="A593" s="30">
        <f>+closed!A646+1</f>
        <v>10</v>
      </c>
      <c r="B593" s="24">
        <v>42527</v>
      </c>
      <c r="C593" s="1">
        <v>114</v>
      </c>
      <c r="D593" s="1">
        <v>3000029897</v>
      </c>
      <c r="E593" s="1" t="s">
        <v>30</v>
      </c>
      <c r="F593" s="1">
        <v>107</v>
      </c>
      <c r="G593" s="25">
        <v>42517</v>
      </c>
      <c r="H593" s="74"/>
      <c r="I593" s="74">
        <v>42522</v>
      </c>
      <c r="J593" s="1" t="s">
        <v>31</v>
      </c>
      <c r="K593" s="77">
        <v>25.72</v>
      </c>
      <c r="L593" s="1">
        <v>25.64</v>
      </c>
      <c r="M593" s="1">
        <f t="shared" si="68"/>
        <v>25.64</v>
      </c>
      <c r="N593" s="7">
        <f>+I593+15-1</f>
        <v>42536</v>
      </c>
      <c r="O593" s="1">
        <v>1311720</v>
      </c>
      <c r="P593" s="107">
        <f t="shared" si="69"/>
        <v>1307640</v>
      </c>
      <c r="Q593" s="178">
        <v>42537</v>
      </c>
      <c r="R593" s="66">
        <v>42537</v>
      </c>
      <c r="S593" s="187">
        <f t="shared" si="70"/>
        <v>1</v>
      </c>
    </row>
    <row r="594" spans="1:20" s="3" customFormat="1" hidden="1" x14ac:dyDescent="0.25">
      <c r="A594" s="30">
        <f>+closed!A480+1</f>
        <v>487</v>
      </c>
      <c r="B594" s="24">
        <v>42521</v>
      </c>
      <c r="C594" s="1">
        <v>103</v>
      </c>
      <c r="D594" s="1">
        <v>3000030713</v>
      </c>
      <c r="E594" s="1" t="s">
        <v>60</v>
      </c>
      <c r="F594" s="16">
        <v>170</v>
      </c>
      <c r="G594" s="25">
        <v>42514</v>
      </c>
      <c r="H594" s="74"/>
      <c r="I594" s="74">
        <v>42518</v>
      </c>
      <c r="J594" s="1" t="s">
        <v>61</v>
      </c>
      <c r="K594" s="77">
        <v>5</v>
      </c>
      <c r="L594" s="1">
        <v>5</v>
      </c>
      <c r="M594" s="1">
        <f t="shared" si="68"/>
        <v>5</v>
      </c>
      <c r="N594" s="7">
        <f>+I594+20-1</f>
        <v>42537</v>
      </c>
      <c r="O594" s="1">
        <v>414987</v>
      </c>
      <c r="P594" s="36">
        <f t="shared" si="69"/>
        <v>414987</v>
      </c>
      <c r="Q594" s="178">
        <v>42537</v>
      </c>
      <c r="R594" s="66">
        <v>42537</v>
      </c>
      <c r="S594" s="187">
        <f t="shared" si="70"/>
        <v>0</v>
      </c>
    </row>
    <row r="595" spans="1:20" s="3" customFormat="1" hidden="1" x14ac:dyDescent="0.25">
      <c r="A595" s="30">
        <f>+closed!A594+1</f>
        <v>488</v>
      </c>
      <c r="B595" s="24">
        <v>42521</v>
      </c>
      <c r="C595" s="1">
        <v>103</v>
      </c>
      <c r="D595" s="1">
        <v>3000030783</v>
      </c>
      <c r="E595" s="1" t="s">
        <v>60</v>
      </c>
      <c r="F595" s="16">
        <v>170</v>
      </c>
      <c r="G595" s="25">
        <v>42514</v>
      </c>
      <c r="H595" s="74"/>
      <c r="I595" s="74">
        <v>42518</v>
      </c>
      <c r="J595" s="1" t="s">
        <v>61</v>
      </c>
      <c r="K595" s="77">
        <v>15.35</v>
      </c>
      <c r="L595" s="1">
        <v>15.29</v>
      </c>
      <c r="M595" s="1">
        <f t="shared" si="68"/>
        <v>15.29</v>
      </c>
      <c r="N595" s="7">
        <f>+I595+20-1</f>
        <v>42537</v>
      </c>
      <c r="O595" s="1">
        <v>1289354</v>
      </c>
      <c r="P595" s="36">
        <f t="shared" si="69"/>
        <v>1284314.1798045603</v>
      </c>
      <c r="Q595" s="178">
        <v>42537</v>
      </c>
      <c r="R595" s="66">
        <v>42537</v>
      </c>
      <c r="S595" s="187">
        <f t="shared" si="70"/>
        <v>0</v>
      </c>
    </row>
    <row r="596" spans="1:20" s="3" customFormat="1" hidden="1" x14ac:dyDescent="0.25">
      <c r="A596" s="30">
        <f>+closed!A706+1</f>
        <v>17</v>
      </c>
      <c r="B596" s="24">
        <v>42527</v>
      </c>
      <c r="C596" s="1">
        <v>114</v>
      </c>
      <c r="D596" s="1">
        <v>3000028331</v>
      </c>
      <c r="E596" s="1" t="s">
        <v>15</v>
      </c>
      <c r="F596" s="16">
        <v>3059</v>
      </c>
      <c r="G596" s="25">
        <v>42518</v>
      </c>
      <c r="H596" s="74"/>
      <c r="I596" s="74">
        <v>42523</v>
      </c>
      <c r="J596" s="1" t="s">
        <v>16</v>
      </c>
      <c r="K596" s="77">
        <v>14.68</v>
      </c>
      <c r="L596" s="1">
        <v>14.68</v>
      </c>
      <c r="M596" s="1">
        <f t="shared" si="68"/>
        <v>14.68</v>
      </c>
      <c r="N596" s="7">
        <f>+I596+15-1</f>
        <v>42537</v>
      </c>
      <c r="O596" s="1">
        <v>711980</v>
      </c>
      <c r="P596" s="107">
        <f t="shared" si="69"/>
        <v>711980</v>
      </c>
      <c r="Q596" s="178">
        <v>42537</v>
      </c>
      <c r="R596" s="66">
        <v>42537</v>
      </c>
      <c r="S596" s="187">
        <f t="shared" si="70"/>
        <v>0</v>
      </c>
    </row>
    <row r="597" spans="1:20" s="3" customFormat="1" hidden="1" x14ac:dyDescent="0.25">
      <c r="A597" s="30">
        <f>+closed!A596+1</f>
        <v>18</v>
      </c>
      <c r="B597" s="24">
        <v>42527</v>
      </c>
      <c r="C597" s="1">
        <v>114</v>
      </c>
      <c r="D597" s="1">
        <v>3000030906</v>
      </c>
      <c r="E597" s="1" t="s">
        <v>15</v>
      </c>
      <c r="F597" s="16">
        <v>3059</v>
      </c>
      <c r="G597" s="25">
        <v>42518</v>
      </c>
      <c r="H597" s="74"/>
      <c r="I597" s="74">
        <v>42523</v>
      </c>
      <c r="J597" s="1" t="s">
        <v>16</v>
      </c>
      <c r="K597" s="77">
        <v>13</v>
      </c>
      <c r="L597" s="1">
        <v>12.93</v>
      </c>
      <c r="M597" s="1">
        <f t="shared" si="68"/>
        <v>12.93</v>
      </c>
      <c r="N597" s="7">
        <f>+I597+15-1</f>
        <v>42537</v>
      </c>
      <c r="O597" s="1">
        <v>653900</v>
      </c>
      <c r="P597" s="107">
        <f t="shared" si="69"/>
        <v>650379</v>
      </c>
      <c r="Q597" s="178">
        <v>42537</v>
      </c>
      <c r="R597" s="66">
        <v>42537</v>
      </c>
      <c r="S597" s="187">
        <f t="shared" si="70"/>
        <v>0</v>
      </c>
    </row>
    <row r="598" spans="1:20" s="3" customFormat="1" hidden="1" x14ac:dyDescent="0.25">
      <c r="A598" s="30" t="e">
        <f>+closed!#REF!+1</f>
        <v>#REF!</v>
      </c>
      <c r="B598" s="24">
        <v>42537</v>
      </c>
      <c r="C598" s="1">
        <v>103</v>
      </c>
      <c r="D598" s="1">
        <v>3000029289</v>
      </c>
      <c r="E598" s="1" t="s">
        <v>165</v>
      </c>
      <c r="F598" s="1">
        <v>22009043</v>
      </c>
      <c r="G598" s="25">
        <v>42530</v>
      </c>
      <c r="H598" s="74"/>
      <c r="I598" s="74">
        <v>42533</v>
      </c>
      <c r="J598" s="1" t="s">
        <v>166</v>
      </c>
      <c r="K598" s="77">
        <v>23.86</v>
      </c>
      <c r="L598" s="1">
        <v>23.8</v>
      </c>
      <c r="M598" s="10">
        <f t="shared" si="68"/>
        <v>23.8</v>
      </c>
      <c r="N598" s="7">
        <f>+I598+15-1</f>
        <v>42547</v>
      </c>
      <c r="O598" s="1">
        <v>1927888</v>
      </c>
      <c r="P598" s="26">
        <f t="shared" si="69"/>
        <v>1923040</v>
      </c>
      <c r="Q598" s="178">
        <v>42537</v>
      </c>
      <c r="R598" s="66">
        <v>42537</v>
      </c>
      <c r="S598" s="187">
        <f t="shared" si="70"/>
        <v>-10</v>
      </c>
    </row>
    <row r="599" spans="1:20" s="3" customFormat="1" hidden="1" x14ac:dyDescent="0.25">
      <c r="A599" s="30">
        <f>+closed!A616+1</f>
        <v>495</v>
      </c>
      <c r="B599" s="24">
        <v>42521</v>
      </c>
      <c r="C599" s="1">
        <v>103</v>
      </c>
      <c r="D599" s="1">
        <v>3000030713</v>
      </c>
      <c r="E599" s="1" t="s">
        <v>60</v>
      </c>
      <c r="F599" s="1">
        <v>161</v>
      </c>
      <c r="G599" s="25">
        <v>42512</v>
      </c>
      <c r="H599" s="74"/>
      <c r="I599" s="74">
        <v>42519</v>
      </c>
      <c r="J599" s="1" t="s">
        <v>61</v>
      </c>
      <c r="K599" s="77">
        <v>20.12</v>
      </c>
      <c r="L599" s="1">
        <v>20.059999999999999</v>
      </c>
      <c r="M599" s="1">
        <f t="shared" si="68"/>
        <v>20.059999999999999</v>
      </c>
      <c r="N599" s="7">
        <f t="shared" ref="N599:N604" si="71">+I599+20-1</f>
        <v>42538</v>
      </c>
      <c r="O599" s="1">
        <v>1669907</v>
      </c>
      <c r="P599" s="26">
        <f t="shared" si="69"/>
        <v>1664927.1580516899</v>
      </c>
      <c r="Q599" s="178">
        <v>42541</v>
      </c>
      <c r="R599" s="66">
        <v>42542</v>
      </c>
      <c r="S599" s="187">
        <f t="shared" si="70"/>
        <v>4</v>
      </c>
    </row>
    <row r="600" spans="1:20" s="3" customFormat="1" hidden="1" x14ac:dyDescent="0.25">
      <c r="A600" s="30">
        <f>+closed!A599+1</f>
        <v>496</v>
      </c>
      <c r="B600" s="24">
        <v>42521</v>
      </c>
      <c r="C600" s="1">
        <v>103</v>
      </c>
      <c r="D600" s="1">
        <v>3000030783</v>
      </c>
      <c r="E600" s="1" t="s">
        <v>60</v>
      </c>
      <c r="F600" s="1">
        <v>173</v>
      </c>
      <c r="G600" s="25">
        <v>42515</v>
      </c>
      <c r="H600" s="74"/>
      <c r="I600" s="74">
        <v>42519</v>
      </c>
      <c r="J600" s="1" t="s">
        <v>61</v>
      </c>
      <c r="K600" s="77">
        <v>20</v>
      </c>
      <c r="L600" s="1">
        <v>19.95</v>
      </c>
      <c r="M600" s="1">
        <f t="shared" si="68"/>
        <v>19.95</v>
      </c>
      <c r="N600" s="7">
        <f t="shared" si="71"/>
        <v>42538</v>
      </c>
      <c r="O600" s="1">
        <v>1679940</v>
      </c>
      <c r="P600" s="26">
        <f t="shared" si="69"/>
        <v>1675740.15</v>
      </c>
      <c r="Q600" s="178">
        <v>42541</v>
      </c>
      <c r="R600" s="66">
        <v>42542</v>
      </c>
      <c r="S600" s="187">
        <f t="shared" si="70"/>
        <v>4</v>
      </c>
    </row>
    <row r="601" spans="1:20" s="3" customFormat="1" hidden="1" x14ac:dyDescent="0.25">
      <c r="A601" s="30">
        <f>+closed!A600+1</f>
        <v>497</v>
      </c>
      <c r="B601" s="24">
        <v>42521</v>
      </c>
      <c r="C601" s="1">
        <v>103</v>
      </c>
      <c r="D601" s="1">
        <v>3000030783</v>
      </c>
      <c r="E601" s="1" t="s">
        <v>60</v>
      </c>
      <c r="F601" s="1">
        <v>176</v>
      </c>
      <c r="G601" s="25">
        <v>42515</v>
      </c>
      <c r="H601" s="74"/>
      <c r="I601" s="74">
        <v>42519</v>
      </c>
      <c r="J601" s="1" t="s">
        <v>61</v>
      </c>
      <c r="K601" s="77">
        <v>20.37</v>
      </c>
      <c r="L601" s="1">
        <v>20.32</v>
      </c>
      <c r="M601" s="1">
        <f t="shared" ref="M601:M609" si="72">IF(L601&gt;K601,K601,L601)</f>
        <v>20.32</v>
      </c>
      <c r="N601" s="7">
        <f t="shared" si="71"/>
        <v>42538</v>
      </c>
      <c r="O601" s="1">
        <v>1711019</v>
      </c>
      <c r="P601" s="26">
        <f t="shared" si="69"/>
        <v>1706819.1497299951</v>
      </c>
      <c r="Q601" s="178">
        <v>42541</v>
      </c>
      <c r="R601" s="66">
        <v>42542</v>
      </c>
      <c r="S601" s="187">
        <f t="shared" si="70"/>
        <v>4</v>
      </c>
    </row>
    <row r="602" spans="1:20" s="3" customFormat="1" hidden="1" x14ac:dyDescent="0.25">
      <c r="A602" s="30">
        <f>+closed!A601+1</f>
        <v>498</v>
      </c>
      <c r="B602" s="24">
        <v>42521</v>
      </c>
      <c r="C602" s="1">
        <v>103</v>
      </c>
      <c r="D602" s="1">
        <v>3000030783</v>
      </c>
      <c r="E602" s="1" t="s">
        <v>60</v>
      </c>
      <c r="F602" s="1">
        <v>178</v>
      </c>
      <c r="G602" s="25">
        <v>42516</v>
      </c>
      <c r="H602" s="74"/>
      <c r="I602" s="74">
        <v>42519</v>
      </c>
      <c r="J602" s="1" t="s">
        <v>61</v>
      </c>
      <c r="K602" s="77">
        <v>20.25</v>
      </c>
      <c r="L602" s="1">
        <v>20.18</v>
      </c>
      <c r="M602" s="1">
        <f t="shared" si="72"/>
        <v>20.18</v>
      </c>
      <c r="N602" s="7">
        <f t="shared" si="71"/>
        <v>42538</v>
      </c>
      <c r="O602" s="1">
        <v>1700940</v>
      </c>
      <c r="P602" s="26">
        <f t="shared" si="69"/>
        <v>1695060.2074074075</v>
      </c>
      <c r="Q602" s="178">
        <v>42541</v>
      </c>
      <c r="R602" s="66">
        <v>42542</v>
      </c>
      <c r="S602" s="187">
        <f t="shared" si="70"/>
        <v>4</v>
      </c>
    </row>
    <row r="603" spans="1:20" s="3" customFormat="1" hidden="1" x14ac:dyDescent="0.25">
      <c r="A603" s="30">
        <f>+closed!A892+1</f>
        <v>2</v>
      </c>
      <c r="B603" s="24">
        <v>42523</v>
      </c>
      <c r="C603" s="1">
        <v>103</v>
      </c>
      <c r="D603" s="1">
        <v>3000030783</v>
      </c>
      <c r="E603" s="1" t="s">
        <v>60</v>
      </c>
      <c r="F603" s="1">
        <v>179</v>
      </c>
      <c r="G603" s="25">
        <v>42517</v>
      </c>
      <c r="H603" s="74"/>
      <c r="I603" s="74">
        <v>42520</v>
      </c>
      <c r="J603" s="1" t="s">
        <v>61</v>
      </c>
      <c r="K603" s="77">
        <v>19.059999999999999</v>
      </c>
      <c r="L603" s="1">
        <v>18.989999999999998</v>
      </c>
      <c r="M603" s="1">
        <f t="shared" si="72"/>
        <v>18.989999999999998</v>
      </c>
      <c r="N603" s="7">
        <f t="shared" si="71"/>
        <v>42539</v>
      </c>
      <c r="O603" s="1">
        <v>1600983</v>
      </c>
      <c r="P603" s="26">
        <f t="shared" si="69"/>
        <v>1595103.2093389295</v>
      </c>
      <c r="Q603" s="178">
        <v>42541</v>
      </c>
      <c r="R603" s="66">
        <v>42542</v>
      </c>
      <c r="S603" s="187">
        <f t="shared" si="70"/>
        <v>3</v>
      </c>
    </row>
    <row r="604" spans="1:20" s="3" customFormat="1" hidden="1" x14ac:dyDescent="0.25">
      <c r="A604" s="30">
        <f>+closed!A481+1</f>
        <v>504</v>
      </c>
      <c r="B604" s="24">
        <v>42522</v>
      </c>
      <c r="C604" s="1">
        <v>103</v>
      </c>
      <c r="D604" s="1">
        <v>3000030936</v>
      </c>
      <c r="E604" s="1" t="s">
        <v>145</v>
      </c>
      <c r="F604" s="1">
        <v>17</v>
      </c>
      <c r="G604" s="25">
        <v>42512</v>
      </c>
      <c r="H604" s="74"/>
      <c r="I604" s="74">
        <v>42520</v>
      </c>
      <c r="J604" s="1" t="s">
        <v>61</v>
      </c>
      <c r="K604" s="77">
        <v>20.11</v>
      </c>
      <c r="L604" s="1">
        <v>20.04</v>
      </c>
      <c r="M604" s="1">
        <f t="shared" si="72"/>
        <v>20.04</v>
      </c>
      <c r="N604" s="7">
        <f t="shared" si="71"/>
        <v>42539</v>
      </c>
      <c r="O604" s="1">
        <v>1689180</v>
      </c>
      <c r="P604" s="26">
        <f t="shared" si="69"/>
        <v>1683300.2088513179</v>
      </c>
      <c r="Q604" s="178">
        <v>42541</v>
      </c>
      <c r="R604" s="66">
        <v>42542</v>
      </c>
      <c r="S604" s="187">
        <f t="shared" si="70"/>
        <v>3</v>
      </c>
      <c r="T604" s="15"/>
    </row>
    <row r="605" spans="1:20" s="3" customFormat="1" hidden="1" x14ac:dyDescent="0.25">
      <c r="A605" s="30">
        <f>+closed!A563+1</f>
        <v>476</v>
      </c>
      <c r="B605" s="24">
        <v>42520</v>
      </c>
      <c r="C605" s="1">
        <v>103</v>
      </c>
      <c r="D605" s="1">
        <v>3000030787</v>
      </c>
      <c r="E605" s="1" t="s">
        <v>146</v>
      </c>
      <c r="F605" s="1">
        <v>1090</v>
      </c>
      <c r="G605" s="25">
        <v>42512</v>
      </c>
      <c r="H605" s="74"/>
      <c r="I605" s="74">
        <v>42516</v>
      </c>
      <c r="J605" s="1" t="s">
        <v>61</v>
      </c>
      <c r="K605" s="77">
        <v>19.62</v>
      </c>
      <c r="L605" s="1">
        <v>19.579999999999998</v>
      </c>
      <c r="M605" s="1">
        <f t="shared" si="72"/>
        <v>19.579999999999998</v>
      </c>
      <c r="N605" s="7">
        <f>+I605+25-1</f>
        <v>42540</v>
      </c>
      <c r="O605" s="1">
        <v>1657890</v>
      </c>
      <c r="P605" s="26">
        <f t="shared" si="69"/>
        <v>1654509.9999999998</v>
      </c>
      <c r="Q605" s="178">
        <v>42541</v>
      </c>
      <c r="R605" s="66">
        <v>42542</v>
      </c>
      <c r="S605" s="187">
        <f t="shared" si="70"/>
        <v>2</v>
      </c>
    </row>
    <row r="606" spans="1:20" s="3" customFormat="1" x14ac:dyDescent="0.25">
      <c r="A606" s="30">
        <f>+closed!A555+1</f>
        <v>502</v>
      </c>
      <c r="B606" s="24">
        <v>42522</v>
      </c>
      <c r="C606" s="1">
        <v>103</v>
      </c>
      <c r="D606" s="1">
        <v>3000029947</v>
      </c>
      <c r="E606" s="1" t="s">
        <v>144</v>
      </c>
      <c r="F606" s="1">
        <v>369</v>
      </c>
      <c r="G606" s="25">
        <v>42516</v>
      </c>
      <c r="H606" s="74"/>
      <c r="I606" s="74">
        <v>42521</v>
      </c>
      <c r="J606" s="1" t="s">
        <v>61</v>
      </c>
      <c r="K606" s="77">
        <v>20.149999999999999</v>
      </c>
      <c r="L606" s="1">
        <v>20.02</v>
      </c>
      <c r="M606" s="1">
        <f t="shared" si="72"/>
        <v>20.02</v>
      </c>
      <c r="N606" s="7">
        <f>+I606+20-1</f>
        <v>42540</v>
      </c>
      <c r="O606" s="1">
        <v>1758104</v>
      </c>
      <c r="P606" s="38">
        <f t="shared" si="69"/>
        <v>1746761.3935483871</v>
      </c>
      <c r="Q606" s="178">
        <v>42541</v>
      </c>
      <c r="R606" s="66">
        <v>42542</v>
      </c>
      <c r="S606" s="187">
        <f t="shared" si="70"/>
        <v>2</v>
      </c>
      <c r="T606" s="15" t="s">
        <v>179</v>
      </c>
    </row>
    <row r="607" spans="1:20" s="3" customFormat="1" hidden="1" x14ac:dyDescent="0.25">
      <c r="A607" s="30">
        <f>+closed!A565+1</f>
        <v>466</v>
      </c>
      <c r="B607" s="24">
        <v>42541</v>
      </c>
      <c r="C607" s="1">
        <v>103</v>
      </c>
      <c r="D607" s="1">
        <v>3000031657</v>
      </c>
      <c r="E607" s="18" t="s">
        <v>174</v>
      </c>
      <c r="F607" s="1">
        <v>27</v>
      </c>
      <c r="G607" s="25">
        <v>42534</v>
      </c>
      <c r="H607" s="74"/>
      <c r="I607" s="74">
        <v>42538</v>
      </c>
      <c r="J607" s="1" t="s">
        <v>61</v>
      </c>
      <c r="K607" s="77">
        <v>20.09</v>
      </c>
      <c r="L607" s="1">
        <v>20.04</v>
      </c>
      <c r="M607" s="88">
        <f t="shared" si="72"/>
        <v>20.04</v>
      </c>
      <c r="N607" s="7">
        <f>+I607+3-1</f>
        <v>42540</v>
      </c>
      <c r="O607" s="1">
        <v>1526840</v>
      </c>
      <c r="P607" s="38">
        <f t="shared" si="69"/>
        <v>1523040</v>
      </c>
      <c r="Q607" s="178">
        <v>42542</v>
      </c>
      <c r="R607" s="66">
        <v>42544</v>
      </c>
      <c r="S607" s="187">
        <f t="shared" si="70"/>
        <v>4</v>
      </c>
    </row>
    <row r="608" spans="1:20" s="3" customFormat="1" hidden="1" x14ac:dyDescent="0.25">
      <c r="A608" s="30">
        <f>+closed!A557+1</f>
        <v>6</v>
      </c>
      <c r="B608" s="32">
        <v>42543</v>
      </c>
      <c r="C608" s="17">
        <v>103</v>
      </c>
      <c r="D608" s="17">
        <v>3000029491</v>
      </c>
      <c r="E608" s="58" t="s">
        <v>26</v>
      </c>
      <c r="F608" s="17">
        <v>37</v>
      </c>
      <c r="G608" s="34">
        <v>42470</v>
      </c>
      <c r="H608" s="100"/>
      <c r="I608" s="100">
        <v>42470</v>
      </c>
      <c r="J608" s="17" t="s">
        <v>166</v>
      </c>
      <c r="K608" s="101">
        <v>26.7</v>
      </c>
      <c r="L608" s="17">
        <v>26.7</v>
      </c>
      <c r="M608" s="17">
        <f t="shared" si="72"/>
        <v>26.7</v>
      </c>
      <c r="N608" s="33"/>
      <c r="O608" s="17">
        <v>2006737</v>
      </c>
      <c r="P608" s="114">
        <f t="shared" ref="P608:P609" si="73">(+O608/K608*M608)</f>
        <v>2006737</v>
      </c>
      <c r="Q608" s="178">
        <v>42542</v>
      </c>
      <c r="R608" s="66">
        <v>42544</v>
      </c>
      <c r="S608" s="187"/>
    </row>
    <row r="609" spans="1:22" s="3" customFormat="1" hidden="1" x14ac:dyDescent="0.25">
      <c r="A609" s="30">
        <f>+closed!A567+1</f>
        <v>470</v>
      </c>
      <c r="B609" s="32">
        <v>42543</v>
      </c>
      <c r="C609" s="17">
        <v>103</v>
      </c>
      <c r="D609" s="17">
        <v>3000029491</v>
      </c>
      <c r="E609" s="58" t="s">
        <v>26</v>
      </c>
      <c r="F609" s="17">
        <v>38</v>
      </c>
      <c r="G609" s="34">
        <v>42471</v>
      </c>
      <c r="H609" s="100"/>
      <c r="I609" s="100">
        <v>42471</v>
      </c>
      <c r="J609" s="17" t="s">
        <v>166</v>
      </c>
      <c r="K609" s="101">
        <v>26.05</v>
      </c>
      <c r="L609" s="17">
        <v>26.05</v>
      </c>
      <c r="M609" s="17">
        <f t="shared" si="72"/>
        <v>26.05</v>
      </c>
      <c r="N609" s="33"/>
      <c r="O609" s="17">
        <v>1957884</v>
      </c>
      <c r="P609" s="114">
        <f t="shared" si="73"/>
        <v>1957884.0000000002</v>
      </c>
      <c r="Q609" s="178">
        <v>42542</v>
      </c>
      <c r="R609" s="66">
        <v>42544</v>
      </c>
      <c r="S609" s="187"/>
      <c r="T609" s="15" t="s">
        <v>189</v>
      </c>
      <c r="U609" s="15"/>
      <c r="V609" s="15"/>
    </row>
    <row r="610" spans="1:22" s="3" customFormat="1" hidden="1" x14ac:dyDescent="0.25">
      <c r="A610" s="37">
        <f>+closed!A246+1</f>
        <v>12</v>
      </c>
      <c r="B610" s="42">
        <v>42383</v>
      </c>
      <c r="C610" s="39">
        <v>103</v>
      </c>
      <c r="D610" s="39"/>
      <c r="E610" s="39" t="s">
        <v>26</v>
      </c>
      <c r="F610" s="39" t="s">
        <v>32</v>
      </c>
      <c r="G610" s="43">
        <v>42336</v>
      </c>
      <c r="H610" s="73"/>
      <c r="I610" s="73">
        <v>42336</v>
      </c>
      <c r="J610" s="39" t="s">
        <v>42</v>
      </c>
      <c r="K610" s="76"/>
      <c r="L610" s="39"/>
      <c r="M610" s="39"/>
      <c r="N610" s="40">
        <f>+I610+15-1</f>
        <v>42350</v>
      </c>
      <c r="O610" s="39">
        <v>284587</v>
      </c>
      <c r="P610" s="71">
        <f>(O610- (O610*10%))</f>
        <v>256128.3</v>
      </c>
      <c r="Q610" s="178">
        <v>42544</v>
      </c>
      <c r="R610" s="66">
        <v>42545</v>
      </c>
      <c r="S610" s="187">
        <f>R610-N610</f>
        <v>195</v>
      </c>
    </row>
    <row r="611" spans="1:22" s="3" customFormat="1" hidden="1" x14ac:dyDescent="0.25">
      <c r="A611" s="37">
        <f>+closed!A610+1</f>
        <v>13</v>
      </c>
      <c r="B611" s="42">
        <v>42383</v>
      </c>
      <c r="C611" s="39">
        <v>103</v>
      </c>
      <c r="D611" s="39"/>
      <c r="E611" s="39" t="s">
        <v>26</v>
      </c>
      <c r="F611" s="39" t="s">
        <v>33</v>
      </c>
      <c r="G611" s="43">
        <v>42336</v>
      </c>
      <c r="H611" s="73"/>
      <c r="I611" s="73">
        <v>42336</v>
      </c>
      <c r="J611" s="39" t="s">
        <v>42</v>
      </c>
      <c r="K611" s="76"/>
      <c r="L611" s="39"/>
      <c r="M611" s="39"/>
      <c r="N611" s="40">
        <f>+I611+15-1</f>
        <v>42350</v>
      </c>
      <c r="O611" s="39">
        <v>836343</v>
      </c>
      <c r="P611" s="71">
        <f>(O611- (O611*10%))</f>
        <v>752708.7</v>
      </c>
      <c r="Q611" s="178">
        <v>42544</v>
      </c>
      <c r="R611" s="66">
        <v>42545</v>
      </c>
      <c r="S611" s="187">
        <f>R611-N611</f>
        <v>195</v>
      </c>
    </row>
    <row r="612" spans="1:22" s="3" customFormat="1" hidden="1" x14ac:dyDescent="0.25">
      <c r="A612" s="37">
        <f>+closed!A611+1</f>
        <v>14</v>
      </c>
      <c r="B612" s="42">
        <v>42383</v>
      </c>
      <c r="C612" s="39">
        <v>103</v>
      </c>
      <c r="D612" s="39"/>
      <c r="E612" s="39" t="s">
        <v>26</v>
      </c>
      <c r="F612" s="39" t="s">
        <v>34</v>
      </c>
      <c r="G612" s="43">
        <v>42336</v>
      </c>
      <c r="H612" s="73"/>
      <c r="I612" s="73">
        <v>42336</v>
      </c>
      <c r="J612" s="39" t="s">
        <v>42</v>
      </c>
      <c r="K612" s="76"/>
      <c r="L612" s="39"/>
      <c r="M612" s="39"/>
      <c r="N612" s="40">
        <f>+I612+15-1</f>
        <v>42350</v>
      </c>
      <c r="O612" s="39">
        <v>40893</v>
      </c>
      <c r="P612" s="71">
        <f>(O612- (O612*10%))</f>
        <v>36803.699999999997</v>
      </c>
      <c r="Q612" s="178">
        <v>42544</v>
      </c>
      <c r="R612" s="66">
        <v>42545</v>
      </c>
      <c r="S612" s="187">
        <f>R612-N612</f>
        <v>195</v>
      </c>
    </row>
    <row r="613" spans="1:22" s="3" customFormat="1" hidden="1" x14ac:dyDescent="0.25">
      <c r="A613" s="37">
        <f>+closed!A612+1</f>
        <v>15</v>
      </c>
      <c r="B613" s="42">
        <v>42018</v>
      </c>
      <c r="C613" s="39">
        <v>103</v>
      </c>
      <c r="D613" s="39"/>
      <c r="E613" s="39" t="s">
        <v>26</v>
      </c>
      <c r="F613" s="39" t="s">
        <v>35</v>
      </c>
      <c r="G613" s="43">
        <v>42336</v>
      </c>
      <c r="H613" s="73"/>
      <c r="I613" s="73">
        <v>42336</v>
      </c>
      <c r="J613" s="39" t="s">
        <v>41</v>
      </c>
      <c r="K613" s="76"/>
      <c r="L613" s="39"/>
      <c r="M613" s="39"/>
      <c r="N613" s="40">
        <f>+I613+15-1</f>
        <v>42350</v>
      </c>
      <c r="O613" s="39">
        <v>10913</v>
      </c>
      <c r="P613" s="71">
        <v>10913</v>
      </c>
      <c r="Q613" s="178">
        <v>42544</v>
      </c>
      <c r="R613" s="66">
        <v>42545</v>
      </c>
      <c r="S613" s="187">
        <f>R613-N613</f>
        <v>195</v>
      </c>
    </row>
    <row r="614" spans="1:22" s="3" customFormat="1" hidden="1" x14ac:dyDescent="0.25">
      <c r="A614" s="30">
        <f>+closed!A771+1</f>
        <v>19</v>
      </c>
      <c r="B614" s="24">
        <v>42541</v>
      </c>
      <c r="C614" s="1">
        <v>103</v>
      </c>
      <c r="D614" s="1"/>
      <c r="E614" s="1" t="s">
        <v>177</v>
      </c>
      <c r="F614" s="39" t="s">
        <v>178</v>
      </c>
      <c r="G614" s="25">
        <v>42507</v>
      </c>
      <c r="H614" s="74"/>
      <c r="I614" s="74">
        <v>42507</v>
      </c>
      <c r="J614" s="1"/>
      <c r="K614" s="77"/>
      <c r="L614" s="1"/>
      <c r="M614" s="88">
        <f t="shared" ref="M614:M677" si="74">IF(L614&gt;K614,K614,L614)</f>
        <v>0</v>
      </c>
      <c r="N614" s="7">
        <f>+I614+15-1</f>
        <v>42521</v>
      </c>
      <c r="O614" s="1">
        <v>31819</v>
      </c>
      <c r="P614" s="71">
        <f>(O614- (O614*10%))</f>
        <v>28637.1</v>
      </c>
      <c r="Q614" s="178">
        <v>42544</v>
      </c>
      <c r="R614" s="66" t="s">
        <v>230</v>
      </c>
      <c r="S614" s="187"/>
    </row>
    <row r="615" spans="1:22" s="3" customFormat="1" hidden="1" x14ac:dyDescent="0.25">
      <c r="A615" s="30">
        <f>+closed!A605+1</f>
        <v>477</v>
      </c>
      <c r="B615" s="24">
        <v>42520</v>
      </c>
      <c r="C615" s="1">
        <v>103</v>
      </c>
      <c r="D615" s="1">
        <v>3000030787</v>
      </c>
      <c r="E615" s="1" t="s">
        <v>146</v>
      </c>
      <c r="F615" s="1">
        <v>1092</v>
      </c>
      <c r="G615" s="25">
        <v>42513</v>
      </c>
      <c r="H615" s="74"/>
      <c r="I615" s="74">
        <v>42517</v>
      </c>
      <c r="J615" s="1" t="s">
        <v>61</v>
      </c>
      <c r="K615" s="77">
        <v>20.07</v>
      </c>
      <c r="L615" s="1">
        <v>20.03</v>
      </c>
      <c r="M615" s="1">
        <f t="shared" si="74"/>
        <v>20.03</v>
      </c>
      <c r="N615" s="7">
        <f>+I615+25-1</f>
        <v>42541</v>
      </c>
      <c r="O615" s="1">
        <v>1695915</v>
      </c>
      <c r="P615" s="38">
        <f t="shared" ref="P615:P627" si="75">(+O615/K615*M615)</f>
        <v>1692535</v>
      </c>
      <c r="Q615" s="178">
        <v>42544</v>
      </c>
      <c r="R615" s="66">
        <v>42544</v>
      </c>
      <c r="S615" s="187">
        <f t="shared" ref="S615:S639" si="76">R615-N615</f>
        <v>3</v>
      </c>
    </row>
    <row r="616" spans="1:22" s="3" customFormat="1" hidden="1" x14ac:dyDescent="0.25">
      <c r="A616" s="30">
        <f>+closed!A499+1</f>
        <v>494</v>
      </c>
      <c r="B616" s="24">
        <v>42521</v>
      </c>
      <c r="C616" s="1">
        <v>103</v>
      </c>
      <c r="D616" s="1">
        <v>3000030787</v>
      </c>
      <c r="E616" s="1" t="s">
        <v>146</v>
      </c>
      <c r="F616" s="1">
        <v>1095</v>
      </c>
      <c r="G616" s="25">
        <v>42514</v>
      </c>
      <c r="H616" s="74"/>
      <c r="I616" s="74">
        <v>42519</v>
      </c>
      <c r="J616" s="1" t="s">
        <v>61</v>
      </c>
      <c r="K616" s="77">
        <v>19.62</v>
      </c>
      <c r="L616" s="1">
        <v>19.54</v>
      </c>
      <c r="M616" s="1">
        <f t="shared" si="74"/>
        <v>19.54</v>
      </c>
      <c r="N616" s="7">
        <f>+I616+25-1</f>
        <v>42543</v>
      </c>
      <c r="O616" s="1">
        <v>1657890</v>
      </c>
      <c r="P616" s="38">
        <f t="shared" si="75"/>
        <v>1651130</v>
      </c>
      <c r="Q616" s="178">
        <v>42544</v>
      </c>
      <c r="R616" s="66">
        <v>42544</v>
      </c>
      <c r="S616" s="187">
        <f t="shared" si="76"/>
        <v>1</v>
      </c>
    </row>
    <row r="617" spans="1:22" s="3" customFormat="1" hidden="1" x14ac:dyDescent="0.25">
      <c r="A617" s="30">
        <f>+closed!A762+1</f>
        <v>85</v>
      </c>
      <c r="B617" s="24">
        <v>42536</v>
      </c>
      <c r="C617" s="1">
        <v>103</v>
      </c>
      <c r="D617" s="1">
        <v>3000030937</v>
      </c>
      <c r="E617" s="1" t="s">
        <v>145</v>
      </c>
      <c r="F617" s="1">
        <v>19</v>
      </c>
      <c r="G617" s="25">
        <v>42513</v>
      </c>
      <c r="H617" s="74"/>
      <c r="I617" s="74">
        <v>42522</v>
      </c>
      <c r="J617" s="1" t="s">
        <v>61</v>
      </c>
      <c r="K617" s="77">
        <v>20.5</v>
      </c>
      <c r="L617" s="1">
        <v>20.52</v>
      </c>
      <c r="M617" s="88">
        <f t="shared" si="74"/>
        <v>20.5</v>
      </c>
      <c r="N617" s="7">
        <f t="shared" ref="N617:N624" si="77">+I617+20-1</f>
        <v>42541</v>
      </c>
      <c r="O617" s="1">
        <v>1721939</v>
      </c>
      <c r="P617" s="38">
        <f t="shared" si="75"/>
        <v>1721938.9999999998</v>
      </c>
      <c r="Q617" s="178">
        <v>42544</v>
      </c>
      <c r="R617" s="66">
        <v>42544</v>
      </c>
      <c r="S617" s="187">
        <f t="shared" si="76"/>
        <v>3</v>
      </c>
    </row>
    <row r="618" spans="1:22" s="3" customFormat="1" hidden="1" x14ac:dyDescent="0.25">
      <c r="A618" s="30">
        <f>+closed!A617+1</f>
        <v>86</v>
      </c>
      <c r="B618" s="24">
        <v>42536</v>
      </c>
      <c r="C618" s="1">
        <v>103</v>
      </c>
      <c r="D618" s="1">
        <v>3000030937</v>
      </c>
      <c r="E618" s="1" t="s">
        <v>145</v>
      </c>
      <c r="F618" s="1">
        <v>20</v>
      </c>
      <c r="G618" s="25">
        <v>42513</v>
      </c>
      <c r="H618" s="74"/>
      <c r="I618" s="74">
        <v>42525</v>
      </c>
      <c r="J618" s="1" t="s">
        <v>61</v>
      </c>
      <c r="K618" s="77">
        <v>17.489999999999998</v>
      </c>
      <c r="L618" s="1">
        <v>17.420000000000002</v>
      </c>
      <c r="M618" s="88">
        <f t="shared" si="74"/>
        <v>17.420000000000002</v>
      </c>
      <c r="N618" s="7">
        <f t="shared" si="77"/>
        <v>42544</v>
      </c>
      <c r="O618" s="1">
        <v>1469108</v>
      </c>
      <c r="P618" s="38">
        <f t="shared" si="75"/>
        <v>1463228.2081189253</v>
      </c>
      <c r="Q618" s="178">
        <v>42544</v>
      </c>
      <c r="R618" s="66">
        <v>42544</v>
      </c>
      <c r="S618" s="187">
        <f t="shared" si="76"/>
        <v>0</v>
      </c>
    </row>
    <row r="619" spans="1:22" s="3" customFormat="1" hidden="1" x14ac:dyDescent="0.25">
      <c r="A619" s="30">
        <f>+closed!A626+1</f>
        <v>50</v>
      </c>
      <c r="B619" s="24">
        <v>42529</v>
      </c>
      <c r="C619" s="1">
        <v>103</v>
      </c>
      <c r="D619" s="1">
        <v>3000030937</v>
      </c>
      <c r="E619" s="1" t="s">
        <v>145</v>
      </c>
      <c r="F619" s="1">
        <v>21</v>
      </c>
      <c r="G619" s="25">
        <v>42514</v>
      </c>
      <c r="H619" s="74"/>
      <c r="I619" s="74">
        <v>42525</v>
      </c>
      <c r="J619" s="1" t="s">
        <v>61</v>
      </c>
      <c r="K619" s="77">
        <v>19.78</v>
      </c>
      <c r="L619" s="1">
        <v>19.78</v>
      </c>
      <c r="M619" s="1">
        <f t="shared" si="74"/>
        <v>19.78</v>
      </c>
      <c r="N619" s="7">
        <f t="shared" si="77"/>
        <v>42544</v>
      </c>
      <c r="O619" s="1">
        <v>1661461</v>
      </c>
      <c r="P619" s="38">
        <f t="shared" si="75"/>
        <v>1661461.0000000002</v>
      </c>
      <c r="Q619" s="178">
        <v>42544</v>
      </c>
      <c r="R619" s="66">
        <v>42544</v>
      </c>
      <c r="S619" s="187">
        <f t="shared" si="76"/>
        <v>0</v>
      </c>
    </row>
    <row r="620" spans="1:22" s="3" customFormat="1" hidden="1" x14ac:dyDescent="0.25">
      <c r="A620" s="30">
        <f>+closed!A619+1</f>
        <v>51</v>
      </c>
      <c r="B620" s="24">
        <v>42529</v>
      </c>
      <c r="C620" s="1">
        <v>103</v>
      </c>
      <c r="D620" s="1">
        <v>3000030937</v>
      </c>
      <c r="E620" s="1" t="s">
        <v>145</v>
      </c>
      <c r="F620" s="1">
        <v>22</v>
      </c>
      <c r="G620" s="25">
        <v>42515</v>
      </c>
      <c r="H620" s="74"/>
      <c r="I620" s="74">
        <v>42524</v>
      </c>
      <c r="J620" s="1" t="s">
        <v>61</v>
      </c>
      <c r="K620" s="77">
        <v>20.059999999999999</v>
      </c>
      <c r="L620" s="1">
        <v>20.05</v>
      </c>
      <c r="M620" s="1">
        <f t="shared" si="74"/>
        <v>20.05</v>
      </c>
      <c r="N620" s="7">
        <f t="shared" si="77"/>
        <v>42543</v>
      </c>
      <c r="O620" s="1">
        <v>1684980</v>
      </c>
      <c r="P620" s="38">
        <f t="shared" si="75"/>
        <v>1684140.0299102694</v>
      </c>
      <c r="Q620" s="178">
        <v>42544</v>
      </c>
      <c r="R620" s="66">
        <v>42544</v>
      </c>
      <c r="S620" s="187">
        <f t="shared" si="76"/>
        <v>1</v>
      </c>
    </row>
    <row r="621" spans="1:22" s="3" customFormat="1" hidden="1" x14ac:dyDescent="0.25">
      <c r="A621" s="30">
        <f>+closed!A755+1</f>
        <v>43</v>
      </c>
      <c r="B621" s="24">
        <v>42529</v>
      </c>
      <c r="C621" s="1">
        <v>103</v>
      </c>
      <c r="D621" s="1">
        <v>3000030783</v>
      </c>
      <c r="E621" s="1" t="s">
        <v>60</v>
      </c>
      <c r="F621" s="16">
        <v>180</v>
      </c>
      <c r="G621" s="25">
        <v>42517</v>
      </c>
      <c r="H621" s="74"/>
      <c r="I621" s="74">
        <v>42524</v>
      </c>
      <c r="J621" s="1" t="s">
        <v>61</v>
      </c>
      <c r="K621" s="77">
        <v>4.97</v>
      </c>
      <c r="L621" s="1">
        <v>4.96</v>
      </c>
      <c r="M621" s="1">
        <f t="shared" si="74"/>
        <v>4.96</v>
      </c>
      <c r="N621" s="7">
        <f t="shared" si="77"/>
        <v>42543</v>
      </c>
      <c r="O621" s="1">
        <v>417465</v>
      </c>
      <c r="P621" s="38">
        <f t="shared" si="75"/>
        <v>416625.03018108656</v>
      </c>
      <c r="Q621" s="178">
        <v>42544</v>
      </c>
      <c r="R621" s="66">
        <v>42544</v>
      </c>
      <c r="S621" s="187">
        <f t="shared" si="76"/>
        <v>1</v>
      </c>
    </row>
    <row r="622" spans="1:22" s="3" customFormat="1" hidden="1" x14ac:dyDescent="0.25">
      <c r="A622" s="30">
        <f>+closed!A621+1</f>
        <v>44</v>
      </c>
      <c r="B622" s="24">
        <v>42529</v>
      </c>
      <c r="C622" s="1">
        <v>103</v>
      </c>
      <c r="D622" s="1">
        <v>3000030829</v>
      </c>
      <c r="E622" s="1" t="s">
        <v>60</v>
      </c>
      <c r="F622" s="16">
        <v>180</v>
      </c>
      <c r="G622" s="25">
        <v>42517</v>
      </c>
      <c r="H622" s="74"/>
      <c r="I622" s="74">
        <v>42524</v>
      </c>
      <c r="J622" s="1" t="s">
        <v>61</v>
      </c>
      <c r="K622" s="77">
        <v>10.74</v>
      </c>
      <c r="L622" s="1">
        <v>10.72</v>
      </c>
      <c r="M622" s="1">
        <f t="shared" si="74"/>
        <v>10.72</v>
      </c>
      <c r="N622" s="7">
        <f t="shared" si="77"/>
        <v>42543</v>
      </c>
      <c r="O622" s="1">
        <v>902127</v>
      </c>
      <c r="P622" s="38">
        <f t="shared" si="75"/>
        <v>900447.06145251391</v>
      </c>
      <c r="Q622" s="178">
        <v>42544</v>
      </c>
      <c r="R622" s="66">
        <v>42544</v>
      </c>
      <c r="S622" s="187">
        <f t="shared" si="76"/>
        <v>1</v>
      </c>
    </row>
    <row r="623" spans="1:22" s="3" customFormat="1" hidden="1" x14ac:dyDescent="0.25">
      <c r="A623" s="30">
        <f>+closed!A622+1</f>
        <v>45</v>
      </c>
      <c r="B623" s="24">
        <v>42529</v>
      </c>
      <c r="C623" s="1">
        <v>103</v>
      </c>
      <c r="D623" s="1">
        <v>3000030829</v>
      </c>
      <c r="E623" s="1" t="s">
        <v>60</v>
      </c>
      <c r="F623" s="1">
        <v>181</v>
      </c>
      <c r="G623" s="25">
        <v>42518</v>
      </c>
      <c r="H623" s="74"/>
      <c r="I623" s="74">
        <v>42523</v>
      </c>
      <c r="J623" s="1" t="s">
        <v>61</v>
      </c>
      <c r="K623" s="77">
        <v>17.63</v>
      </c>
      <c r="L623" s="1">
        <v>17.57</v>
      </c>
      <c r="M623" s="1">
        <f t="shared" si="74"/>
        <v>17.57</v>
      </c>
      <c r="N623" s="7">
        <f t="shared" si="77"/>
        <v>42542</v>
      </c>
      <c r="O623" s="1">
        <v>1480868</v>
      </c>
      <c r="P623" s="38">
        <f t="shared" si="75"/>
        <v>1475828.1769710721</v>
      </c>
      <c r="Q623" s="178">
        <v>42544</v>
      </c>
      <c r="R623" s="66">
        <v>42544</v>
      </c>
      <c r="S623" s="187">
        <f t="shared" si="76"/>
        <v>2</v>
      </c>
    </row>
    <row r="624" spans="1:22" s="3" customFormat="1" hidden="1" x14ac:dyDescent="0.25">
      <c r="A624" s="30">
        <f>+closed!A623+1</f>
        <v>46</v>
      </c>
      <c r="B624" s="24">
        <v>42529</v>
      </c>
      <c r="C624" s="1">
        <v>103</v>
      </c>
      <c r="D624" s="1">
        <v>3000030829</v>
      </c>
      <c r="E624" s="1" t="s">
        <v>60</v>
      </c>
      <c r="F624" s="1">
        <v>187</v>
      </c>
      <c r="G624" s="25">
        <v>42519</v>
      </c>
      <c r="H624" s="74"/>
      <c r="I624" s="74">
        <v>42524</v>
      </c>
      <c r="J624" s="1" t="s">
        <v>61</v>
      </c>
      <c r="K624" s="77">
        <v>17.23</v>
      </c>
      <c r="L624" s="1">
        <v>17.190000000000001</v>
      </c>
      <c r="M624" s="1">
        <f t="shared" si="74"/>
        <v>17.190000000000001</v>
      </c>
      <c r="N624" s="7">
        <f t="shared" si="77"/>
        <v>42543</v>
      </c>
      <c r="O624" s="1">
        <v>1447269</v>
      </c>
      <c r="P624" s="38">
        <f t="shared" si="75"/>
        <v>1443909.118398143</v>
      </c>
      <c r="Q624" s="178">
        <v>42544</v>
      </c>
      <c r="R624" s="66">
        <v>42544</v>
      </c>
      <c r="S624" s="187">
        <f t="shared" si="76"/>
        <v>1</v>
      </c>
    </row>
    <row r="625" spans="1:22" s="3" customFormat="1" hidden="1" x14ac:dyDescent="0.25">
      <c r="A625" s="30">
        <f>+closed!A763+1</f>
        <v>26</v>
      </c>
      <c r="B625" s="24">
        <v>42543</v>
      </c>
      <c r="C625" s="1">
        <v>103</v>
      </c>
      <c r="D625" s="1">
        <v>3000031657</v>
      </c>
      <c r="E625" s="18" t="s">
        <v>174</v>
      </c>
      <c r="F625" s="1">
        <v>28</v>
      </c>
      <c r="G625" s="25">
        <v>42537</v>
      </c>
      <c r="H625" s="74"/>
      <c r="I625" s="74">
        <v>42540</v>
      </c>
      <c r="J625" s="1" t="s">
        <v>61</v>
      </c>
      <c r="K625" s="77">
        <v>20.100000000000001</v>
      </c>
      <c r="L625" s="1">
        <v>20.059999999999999</v>
      </c>
      <c r="M625" s="88">
        <f t="shared" si="74"/>
        <v>20.059999999999999</v>
      </c>
      <c r="N625" s="7">
        <f>+I625+3-1</f>
        <v>42542</v>
      </c>
      <c r="O625" s="1">
        <v>1527604</v>
      </c>
      <c r="P625" s="38">
        <f t="shared" si="75"/>
        <v>1524563.9920398009</v>
      </c>
      <c r="Q625" s="178">
        <v>42544</v>
      </c>
      <c r="R625" s="66">
        <v>42545</v>
      </c>
      <c r="S625" s="187">
        <f t="shared" si="76"/>
        <v>3</v>
      </c>
    </row>
    <row r="626" spans="1:22" s="3" customFormat="1" x14ac:dyDescent="0.25">
      <c r="A626" s="30">
        <f>+closed!A745+1</f>
        <v>49</v>
      </c>
      <c r="B626" s="24">
        <v>42529</v>
      </c>
      <c r="C626" s="1">
        <v>103</v>
      </c>
      <c r="D626" s="1">
        <v>3000029947</v>
      </c>
      <c r="E626" s="1" t="s">
        <v>144</v>
      </c>
      <c r="F626" s="1">
        <v>384</v>
      </c>
      <c r="G626" s="25">
        <v>42520</v>
      </c>
      <c r="H626" s="74"/>
      <c r="I626" s="74">
        <v>42524</v>
      </c>
      <c r="J626" s="1" t="s">
        <v>61</v>
      </c>
      <c r="K626" s="77">
        <v>20.25</v>
      </c>
      <c r="L626" s="1">
        <v>20.11</v>
      </c>
      <c r="M626" s="1">
        <f t="shared" si="74"/>
        <v>20.11</v>
      </c>
      <c r="N626" s="7">
        <f>+I626+20-1</f>
        <v>42543</v>
      </c>
      <c r="O626" s="1">
        <v>1766829</v>
      </c>
      <c r="P626" s="38">
        <f t="shared" si="75"/>
        <v>1754613.885925926</v>
      </c>
      <c r="Q626" s="178">
        <v>42544</v>
      </c>
      <c r="R626" s="66">
        <v>42544</v>
      </c>
      <c r="S626" s="187">
        <f t="shared" si="76"/>
        <v>1</v>
      </c>
    </row>
    <row r="627" spans="1:22" s="3" customFormat="1" hidden="1" x14ac:dyDescent="0.25">
      <c r="A627" s="30">
        <f>+closed!A828+1</f>
        <v>10</v>
      </c>
      <c r="B627" s="24">
        <v>42541</v>
      </c>
      <c r="C627" s="1">
        <v>103</v>
      </c>
      <c r="D627" s="1">
        <v>3000029676</v>
      </c>
      <c r="E627" s="1" t="s">
        <v>77</v>
      </c>
      <c r="F627" s="1">
        <v>42</v>
      </c>
      <c r="G627" s="25">
        <v>42534</v>
      </c>
      <c r="H627" s="74"/>
      <c r="I627" s="74">
        <v>42538</v>
      </c>
      <c r="J627" s="1" t="s">
        <v>61</v>
      </c>
      <c r="K627" s="77">
        <v>19.739999999999998</v>
      </c>
      <c r="L627" s="1">
        <v>19.670000000000002</v>
      </c>
      <c r="M627" s="88">
        <f t="shared" si="74"/>
        <v>19.670000000000002</v>
      </c>
      <c r="N627" s="7">
        <f>+I627+7-1</f>
        <v>42544</v>
      </c>
      <c r="O627" s="1">
        <v>1697640</v>
      </c>
      <c r="P627" s="38">
        <f t="shared" si="75"/>
        <v>1691620.0000000002</v>
      </c>
      <c r="Q627" s="178">
        <v>42544</v>
      </c>
      <c r="R627" s="66">
        <v>42544</v>
      </c>
      <c r="S627" s="187">
        <f t="shared" si="76"/>
        <v>0</v>
      </c>
      <c r="T627" s="15" t="s">
        <v>185</v>
      </c>
    </row>
    <row r="628" spans="1:22" s="65" customFormat="1" hidden="1" x14ac:dyDescent="0.25">
      <c r="A628" s="109">
        <f>+closed!A103+1</f>
        <v>122</v>
      </c>
      <c r="B628" s="110">
        <v>42437</v>
      </c>
      <c r="C628" s="63">
        <v>199</v>
      </c>
      <c r="D628" s="63" t="s">
        <v>56</v>
      </c>
      <c r="E628" s="63" t="s">
        <v>47</v>
      </c>
      <c r="F628" s="63">
        <v>230</v>
      </c>
      <c r="G628" s="111">
        <v>42433</v>
      </c>
      <c r="H628" s="112"/>
      <c r="I628" s="112">
        <v>42433</v>
      </c>
      <c r="J628" s="63" t="s">
        <v>48</v>
      </c>
      <c r="K628" s="113" t="s">
        <v>57</v>
      </c>
      <c r="L628" s="63" t="s">
        <v>57</v>
      </c>
      <c r="M628" s="63" t="str">
        <f t="shared" si="74"/>
        <v>50KG</v>
      </c>
      <c r="N628" s="66">
        <f>+I628+15-1</f>
        <v>42447</v>
      </c>
      <c r="O628" s="63">
        <v>9131</v>
      </c>
      <c r="P628" s="38">
        <v>9131</v>
      </c>
      <c r="Q628" s="170">
        <v>42437</v>
      </c>
      <c r="R628" s="66">
        <v>42541</v>
      </c>
      <c r="S628" s="187">
        <f t="shared" si="76"/>
        <v>94</v>
      </c>
    </row>
    <row r="629" spans="1:22" s="3" customFormat="1" hidden="1" x14ac:dyDescent="0.25">
      <c r="A629" s="30">
        <f>+closed!A854+1</f>
        <v>35</v>
      </c>
      <c r="B629" s="32">
        <v>42545</v>
      </c>
      <c r="C629" s="17">
        <v>103</v>
      </c>
      <c r="D629" s="17">
        <v>30000029491</v>
      </c>
      <c r="E629" s="59" t="s">
        <v>26</v>
      </c>
      <c r="F629" s="17">
        <v>39</v>
      </c>
      <c r="G629" s="34">
        <v>42471</v>
      </c>
      <c r="H629" s="34"/>
      <c r="I629" s="34">
        <v>42471</v>
      </c>
      <c r="J629" s="17" t="s">
        <v>166</v>
      </c>
      <c r="K629" s="101">
        <v>26.52</v>
      </c>
      <c r="L629" s="17">
        <v>26.52</v>
      </c>
      <c r="M629" s="17">
        <f t="shared" si="74"/>
        <v>26.52</v>
      </c>
      <c r="N629" s="33">
        <f t="shared" ref="N629:N644" si="78">+I629+20-1</f>
        <v>42490</v>
      </c>
      <c r="O629" s="17">
        <v>1993209</v>
      </c>
      <c r="P629" s="35">
        <f t="shared" ref="P629:P657" si="79">(+O629/K629*M629)</f>
        <v>1993209</v>
      </c>
      <c r="Q629" s="178">
        <v>42544</v>
      </c>
      <c r="R629" s="66">
        <v>42544</v>
      </c>
      <c r="S629" s="187">
        <f t="shared" si="76"/>
        <v>54</v>
      </c>
    </row>
    <row r="630" spans="1:22" s="3" customFormat="1" hidden="1" x14ac:dyDescent="0.25">
      <c r="A630" s="30">
        <f>+closed!A629+1</f>
        <v>36</v>
      </c>
      <c r="B630" s="32">
        <v>42545</v>
      </c>
      <c r="C630" s="17">
        <v>103</v>
      </c>
      <c r="D630" s="17">
        <v>3000029491</v>
      </c>
      <c r="E630" s="17" t="s">
        <v>26</v>
      </c>
      <c r="F630" s="17">
        <v>40</v>
      </c>
      <c r="G630" s="34">
        <v>42471</v>
      </c>
      <c r="H630" s="34"/>
      <c r="I630" s="34">
        <v>42471</v>
      </c>
      <c r="J630" s="17" t="s">
        <v>166</v>
      </c>
      <c r="K630" s="101">
        <v>26.9</v>
      </c>
      <c r="L630" s="17">
        <v>26.9</v>
      </c>
      <c r="M630" s="17">
        <f t="shared" si="74"/>
        <v>26.9</v>
      </c>
      <c r="N630" s="33">
        <f t="shared" si="78"/>
        <v>42490</v>
      </c>
      <c r="O630" s="17">
        <v>2021769</v>
      </c>
      <c r="P630" s="35">
        <f t="shared" si="79"/>
        <v>2021769</v>
      </c>
      <c r="Q630" s="178">
        <v>42544</v>
      </c>
      <c r="R630" s="66">
        <v>42544</v>
      </c>
      <c r="S630" s="187">
        <f t="shared" si="76"/>
        <v>54</v>
      </c>
    </row>
    <row r="631" spans="1:22" s="3" customFormat="1" hidden="1" x14ac:dyDescent="0.25">
      <c r="A631" s="30">
        <f>+closed!A630+1</f>
        <v>37</v>
      </c>
      <c r="B631" s="32">
        <v>42545</v>
      </c>
      <c r="C631" s="17">
        <v>103</v>
      </c>
      <c r="D631" s="17">
        <v>3000029491</v>
      </c>
      <c r="E631" s="17" t="s">
        <v>26</v>
      </c>
      <c r="F631" s="17">
        <v>41</v>
      </c>
      <c r="G631" s="34">
        <v>42471</v>
      </c>
      <c r="H631" s="34"/>
      <c r="I631" s="34">
        <v>42471</v>
      </c>
      <c r="J631" s="17" t="s">
        <v>166</v>
      </c>
      <c r="K631" s="101">
        <v>27.13</v>
      </c>
      <c r="L631" s="17">
        <v>27.13</v>
      </c>
      <c r="M631" s="17">
        <f t="shared" si="74"/>
        <v>27.13</v>
      </c>
      <c r="N631" s="33">
        <f t="shared" si="78"/>
        <v>42490</v>
      </c>
      <c r="O631" s="17">
        <v>2039056</v>
      </c>
      <c r="P631" s="35">
        <f t="shared" si="79"/>
        <v>2039055.9999999998</v>
      </c>
      <c r="Q631" s="178">
        <v>42544</v>
      </c>
      <c r="R631" s="66">
        <v>42544</v>
      </c>
      <c r="S631" s="187">
        <f t="shared" si="76"/>
        <v>54</v>
      </c>
    </row>
    <row r="632" spans="1:22" s="3" customFormat="1" hidden="1" x14ac:dyDescent="0.25">
      <c r="A632" s="30">
        <f>+closed!A631+1</f>
        <v>38</v>
      </c>
      <c r="B632" s="32">
        <v>42545</v>
      </c>
      <c r="C632" s="17">
        <v>103</v>
      </c>
      <c r="D632" s="17">
        <v>3000029491</v>
      </c>
      <c r="E632" s="17" t="s">
        <v>26</v>
      </c>
      <c r="F632" s="17">
        <v>42</v>
      </c>
      <c r="G632" s="34">
        <v>42471</v>
      </c>
      <c r="H632" s="34"/>
      <c r="I632" s="34">
        <v>42471</v>
      </c>
      <c r="J632" s="17" t="s">
        <v>166</v>
      </c>
      <c r="K632" s="101">
        <v>18.16</v>
      </c>
      <c r="L632" s="17">
        <v>18.16</v>
      </c>
      <c r="M632" s="17">
        <f t="shared" si="74"/>
        <v>18.16</v>
      </c>
      <c r="N632" s="33">
        <f t="shared" si="78"/>
        <v>42490</v>
      </c>
      <c r="O632" s="17">
        <v>1364882</v>
      </c>
      <c r="P632" s="35">
        <f t="shared" si="79"/>
        <v>1364882</v>
      </c>
      <c r="Q632" s="178">
        <v>42544</v>
      </c>
      <c r="R632" s="66">
        <v>42544</v>
      </c>
      <c r="S632" s="187">
        <f t="shared" si="76"/>
        <v>54</v>
      </c>
    </row>
    <row r="633" spans="1:22" s="3" customFormat="1" hidden="1" x14ac:dyDescent="0.25">
      <c r="A633" s="30">
        <f>+closed!A632+1</f>
        <v>39</v>
      </c>
      <c r="B633" s="32">
        <v>42545</v>
      </c>
      <c r="C633" s="17">
        <v>103</v>
      </c>
      <c r="D633" s="17">
        <v>3000029762</v>
      </c>
      <c r="E633" s="17" t="s">
        <v>26</v>
      </c>
      <c r="F633" s="17">
        <v>64</v>
      </c>
      <c r="G633" s="34">
        <v>42476</v>
      </c>
      <c r="H633" s="34"/>
      <c r="I633" s="34">
        <v>42476</v>
      </c>
      <c r="J633" s="17" t="s">
        <v>166</v>
      </c>
      <c r="K633" s="101">
        <v>26.08</v>
      </c>
      <c r="L633" s="17">
        <v>26.08</v>
      </c>
      <c r="M633" s="17">
        <f t="shared" si="74"/>
        <v>26.08</v>
      </c>
      <c r="N633" s="33">
        <f t="shared" si="78"/>
        <v>42495</v>
      </c>
      <c r="O633" s="17">
        <v>1954287</v>
      </c>
      <c r="P633" s="35">
        <f t="shared" si="79"/>
        <v>1954286.9999999998</v>
      </c>
      <c r="Q633" s="178">
        <v>42544</v>
      </c>
      <c r="R633" s="66">
        <v>42544</v>
      </c>
      <c r="S633" s="187">
        <f t="shared" si="76"/>
        <v>49</v>
      </c>
    </row>
    <row r="634" spans="1:22" s="3" customFormat="1" hidden="1" x14ac:dyDescent="0.25">
      <c r="A634" s="30">
        <f>+closed!A633+1</f>
        <v>40</v>
      </c>
      <c r="B634" s="32">
        <v>42545</v>
      </c>
      <c r="C634" s="17">
        <v>103</v>
      </c>
      <c r="D634" s="17">
        <v>3000029762</v>
      </c>
      <c r="E634" s="17" t="s">
        <v>26</v>
      </c>
      <c r="F634" s="17">
        <v>65</v>
      </c>
      <c r="G634" s="34">
        <v>42478</v>
      </c>
      <c r="H634" s="34"/>
      <c r="I634" s="34">
        <v>42478</v>
      </c>
      <c r="J634" s="17" t="s">
        <v>166</v>
      </c>
      <c r="K634" s="101">
        <v>27.31</v>
      </c>
      <c r="L634" s="17">
        <v>27.31</v>
      </c>
      <c r="M634" s="17">
        <f t="shared" si="74"/>
        <v>27.31</v>
      </c>
      <c r="N634" s="33">
        <f t="shared" si="78"/>
        <v>42497</v>
      </c>
      <c r="O634" s="17">
        <v>2046456</v>
      </c>
      <c r="P634" s="35">
        <f t="shared" si="79"/>
        <v>2046455.9999999998</v>
      </c>
      <c r="Q634" s="178">
        <v>42544</v>
      </c>
      <c r="R634" s="66">
        <v>42544</v>
      </c>
      <c r="S634" s="187">
        <f t="shared" si="76"/>
        <v>47</v>
      </c>
    </row>
    <row r="635" spans="1:22" s="3" customFormat="1" hidden="1" x14ac:dyDescent="0.25">
      <c r="A635" s="30">
        <f>+closed!A634+1</f>
        <v>41</v>
      </c>
      <c r="B635" s="32">
        <v>42545</v>
      </c>
      <c r="C635" s="17">
        <v>103</v>
      </c>
      <c r="D635" s="17">
        <v>3000029762</v>
      </c>
      <c r="E635" s="17" t="s">
        <v>26</v>
      </c>
      <c r="F635" s="17">
        <v>66</v>
      </c>
      <c r="G635" s="34">
        <v>42478</v>
      </c>
      <c r="H635" s="34"/>
      <c r="I635" s="34">
        <v>42478</v>
      </c>
      <c r="J635" s="17" t="s">
        <v>166</v>
      </c>
      <c r="K635" s="101">
        <v>26.46</v>
      </c>
      <c r="L635" s="17">
        <v>26.46</v>
      </c>
      <c r="M635" s="17">
        <f t="shared" si="74"/>
        <v>26.46</v>
      </c>
      <c r="N635" s="33">
        <f t="shared" si="78"/>
        <v>42497</v>
      </c>
      <c r="O635" s="17">
        <v>1982762</v>
      </c>
      <c r="P635" s="35">
        <f t="shared" si="79"/>
        <v>1982762.0000000002</v>
      </c>
      <c r="Q635" s="178">
        <v>42544</v>
      </c>
      <c r="R635" s="66">
        <v>42544</v>
      </c>
      <c r="S635" s="187">
        <f t="shared" si="76"/>
        <v>47</v>
      </c>
    </row>
    <row r="636" spans="1:22" s="3" customFormat="1" hidden="1" x14ac:dyDescent="0.25">
      <c r="A636" s="30">
        <f>+closed!A635+1</f>
        <v>42</v>
      </c>
      <c r="B636" s="32">
        <v>42545</v>
      </c>
      <c r="C636" s="17">
        <v>103</v>
      </c>
      <c r="D636" s="17">
        <v>3000029762</v>
      </c>
      <c r="E636" s="17" t="s">
        <v>26</v>
      </c>
      <c r="F636" s="17">
        <v>67</v>
      </c>
      <c r="G636" s="34">
        <v>42478</v>
      </c>
      <c r="H636" s="34"/>
      <c r="I636" s="34">
        <v>42478</v>
      </c>
      <c r="J636" s="17" t="s">
        <v>166</v>
      </c>
      <c r="K636" s="101">
        <v>26.17</v>
      </c>
      <c r="L636" s="17">
        <v>26.17</v>
      </c>
      <c r="M636" s="17">
        <f t="shared" si="74"/>
        <v>26.17</v>
      </c>
      <c r="N636" s="33">
        <f t="shared" si="78"/>
        <v>42497</v>
      </c>
      <c r="O636" s="17">
        <v>1961031</v>
      </c>
      <c r="P636" s="35">
        <f t="shared" si="79"/>
        <v>1961031</v>
      </c>
      <c r="Q636" s="178">
        <v>42544</v>
      </c>
      <c r="R636" s="66">
        <v>42544</v>
      </c>
      <c r="S636" s="187">
        <f t="shared" si="76"/>
        <v>47</v>
      </c>
    </row>
    <row r="637" spans="1:22" s="3" customFormat="1" hidden="1" x14ac:dyDescent="0.25">
      <c r="A637" s="30">
        <f>+closed!A636+1</f>
        <v>43</v>
      </c>
      <c r="B637" s="32">
        <v>42545</v>
      </c>
      <c r="C637" s="17">
        <v>103</v>
      </c>
      <c r="D637" s="17">
        <v>3000029762</v>
      </c>
      <c r="E637" s="17" t="s">
        <v>26</v>
      </c>
      <c r="F637" s="17">
        <v>68</v>
      </c>
      <c r="G637" s="34">
        <v>42478</v>
      </c>
      <c r="H637" s="34"/>
      <c r="I637" s="34">
        <v>42478</v>
      </c>
      <c r="J637" s="17" t="s">
        <v>166</v>
      </c>
      <c r="K637" s="101">
        <v>26.92</v>
      </c>
      <c r="L637" s="17">
        <v>26.92</v>
      </c>
      <c r="M637" s="17">
        <f t="shared" si="74"/>
        <v>26.92</v>
      </c>
      <c r="N637" s="33">
        <f t="shared" si="78"/>
        <v>42497</v>
      </c>
      <c r="O637" s="17">
        <v>2017231</v>
      </c>
      <c r="P637" s="35">
        <f t="shared" si="79"/>
        <v>2017231</v>
      </c>
      <c r="Q637" s="178">
        <v>42544</v>
      </c>
      <c r="R637" s="66">
        <v>42544</v>
      </c>
      <c r="S637" s="187">
        <f t="shared" si="76"/>
        <v>47</v>
      </c>
    </row>
    <row r="638" spans="1:22" s="3" customFormat="1" hidden="1" x14ac:dyDescent="0.25">
      <c r="A638" s="30">
        <f>+closed!A637+1</f>
        <v>44</v>
      </c>
      <c r="B638" s="32">
        <v>42545</v>
      </c>
      <c r="C638" s="17">
        <v>103</v>
      </c>
      <c r="D638" s="17">
        <v>3000029762</v>
      </c>
      <c r="E638" s="17" t="s">
        <v>26</v>
      </c>
      <c r="F638" s="17">
        <v>69</v>
      </c>
      <c r="G638" s="34">
        <v>42478</v>
      </c>
      <c r="H638" s="34"/>
      <c r="I638" s="34">
        <v>42478</v>
      </c>
      <c r="J638" s="17" t="s">
        <v>166</v>
      </c>
      <c r="K638" s="101">
        <v>27.34</v>
      </c>
      <c r="L638" s="17">
        <v>27.34</v>
      </c>
      <c r="M638" s="17">
        <f t="shared" si="74"/>
        <v>27.34</v>
      </c>
      <c r="N638" s="33">
        <f t="shared" si="78"/>
        <v>42497</v>
      </c>
      <c r="O638" s="17">
        <v>2048704</v>
      </c>
      <c r="P638" s="35">
        <f t="shared" si="79"/>
        <v>2048703.9999999998</v>
      </c>
      <c r="Q638" s="178">
        <v>42544</v>
      </c>
      <c r="R638" s="66">
        <v>42544</v>
      </c>
      <c r="S638" s="187">
        <f t="shared" si="76"/>
        <v>47</v>
      </c>
    </row>
    <row r="639" spans="1:22" s="3" customFormat="1" hidden="1" x14ac:dyDescent="0.25">
      <c r="A639" s="30">
        <f>+closed!A638+1</f>
        <v>45</v>
      </c>
      <c r="B639" s="32">
        <v>42545</v>
      </c>
      <c r="C639" s="17">
        <v>103</v>
      </c>
      <c r="D639" s="17">
        <v>3000029762</v>
      </c>
      <c r="E639" s="17" t="s">
        <v>26</v>
      </c>
      <c r="F639" s="17">
        <v>70</v>
      </c>
      <c r="G639" s="34">
        <v>42478</v>
      </c>
      <c r="H639" s="34"/>
      <c r="I639" s="34">
        <v>42478</v>
      </c>
      <c r="J639" s="17" t="s">
        <v>166</v>
      </c>
      <c r="K639" s="101">
        <v>27.52</v>
      </c>
      <c r="L639" s="17">
        <v>27.52</v>
      </c>
      <c r="M639" s="17">
        <f t="shared" si="74"/>
        <v>27.52</v>
      </c>
      <c r="N639" s="33">
        <f t="shared" si="78"/>
        <v>42497</v>
      </c>
      <c r="O639" s="17">
        <v>2062192</v>
      </c>
      <c r="P639" s="35">
        <f t="shared" si="79"/>
        <v>2062191.9999999998</v>
      </c>
      <c r="Q639" s="178">
        <v>42544</v>
      </c>
      <c r="R639" s="66">
        <v>42544</v>
      </c>
      <c r="S639" s="187">
        <f t="shared" si="76"/>
        <v>47</v>
      </c>
      <c r="T639" s="15" t="s">
        <v>186</v>
      </c>
      <c r="U639" s="15"/>
      <c r="V639" s="15"/>
    </row>
    <row r="640" spans="1:22" s="3" customFormat="1" hidden="1" x14ac:dyDescent="0.25">
      <c r="A640" s="30">
        <f>+closed!A639+1</f>
        <v>46</v>
      </c>
      <c r="B640" s="115">
        <v>42545</v>
      </c>
      <c r="C640" s="116">
        <v>103</v>
      </c>
      <c r="D640" s="116">
        <v>3000030725</v>
      </c>
      <c r="E640" s="117" t="s">
        <v>187</v>
      </c>
      <c r="F640" s="116">
        <v>1611800781</v>
      </c>
      <c r="G640" s="118">
        <v>42509</v>
      </c>
      <c r="H640" s="118"/>
      <c r="I640" s="118">
        <v>42509</v>
      </c>
      <c r="J640" s="116" t="s">
        <v>112</v>
      </c>
      <c r="K640" s="119">
        <v>26.04</v>
      </c>
      <c r="L640" s="116">
        <v>26.04</v>
      </c>
      <c r="M640" s="116">
        <f t="shared" si="74"/>
        <v>26.04</v>
      </c>
      <c r="N640" s="120">
        <f t="shared" si="78"/>
        <v>42528</v>
      </c>
      <c r="O640" s="116">
        <v>1903413</v>
      </c>
      <c r="P640" s="121">
        <f t="shared" si="79"/>
        <v>1903412.9999999998</v>
      </c>
      <c r="Q640" s="179" t="s">
        <v>188</v>
      </c>
      <c r="R640" s="193" t="s">
        <v>188</v>
      </c>
      <c r="S640" s="187"/>
    </row>
    <row r="641" spans="1:20" s="3" customFormat="1" hidden="1" x14ac:dyDescent="0.25">
      <c r="A641" s="30">
        <f>+closed!A640+1</f>
        <v>47</v>
      </c>
      <c r="B641" s="115">
        <v>42545</v>
      </c>
      <c r="C641" s="116">
        <v>103</v>
      </c>
      <c r="D641" s="116">
        <v>3000030725</v>
      </c>
      <c r="E641" s="117" t="s">
        <v>187</v>
      </c>
      <c r="F641" s="116">
        <v>1611800776</v>
      </c>
      <c r="G641" s="118">
        <v>42509</v>
      </c>
      <c r="H641" s="118"/>
      <c r="I641" s="118">
        <v>42509</v>
      </c>
      <c r="J641" s="116" t="s">
        <v>112</v>
      </c>
      <c r="K641" s="119">
        <v>26.25</v>
      </c>
      <c r="L641" s="116">
        <v>26.25</v>
      </c>
      <c r="M641" s="116">
        <f t="shared" si="74"/>
        <v>26.25</v>
      </c>
      <c r="N641" s="120">
        <f t="shared" si="78"/>
        <v>42528</v>
      </c>
      <c r="O641" s="116">
        <v>1918763</v>
      </c>
      <c r="P641" s="121">
        <f t="shared" si="79"/>
        <v>1918763</v>
      </c>
      <c r="Q641" s="179" t="s">
        <v>188</v>
      </c>
      <c r="R641" s="193" t="s">
        <v>188</v>
      </c>
    </row>
    <row r="642" spans="1:20" s="3" customFormat="1" hidden="1" x14ac:dyDescent="0.25">
      <c r="A642" s="30">
        <f>+closed!A641+1</f>
        <v>48</v>
      </c>
      <c r="B642" s="115">
        <v>42545</v>
      </c>
      <c r="C642" s="116">
        <v>103</v>
      </c>
      <c r="D642" s="116">
        <v>3000030725</v>
      </c>
      <c r="E642" s="117" t="s">
        <v>187</v>
      </c>
      <c r="F642" s="116">
        <v>1611800764</v>
      </c>
      <c r="G642" s="118">
        <v>42509</v>
      </c>
      <c r="H642" s="118"/>
      <c r="I642" s="118">
        <v>42509</v>
      </c>
      <c r="J642" s="116" t="s">
        <v>112</v>
      </c>
      <c r="K642" s="119">
        <v>25.43</v>
      </c>
      <c r="L642" s="116">
        <v>26.43</v>
      </c>
      <c r="M642" s="116">
        <f t="shared" si="74"/>
        <v>25.43</v>
      </c>
      <c r="N642" s="120">
        <f t="shared" si="78"/>
        <v>42528</v>
      </c>
      <c r="O642" s="116">
        <v>1858825</v>
      </c>
      <c r="P642" s="121">
        <f t="shared" si="79"/>
        <v>1858825.0000000002</v>
      </c>
      <c r="Q642" s="179" t="s">
        <v>188</v>
      </c>
      <c r="R642" s="193" t="s">
        <v>188</v>
      </c>
    </row>
    <row r="643" spans="1:20" s="3" customFormat="1" hidden="1" x14ac:dyDescent="0.25">
      <c r="A643" s="30">
        <f>+closed!A642+1</f>
        <v>49</v>
      </c>
      <c r="B643" s="115">
        <v>42545</v>
      </c>
      <c r="C643" s="116">
        <v>103</v>
      </c>
      <c r="D643" s="116">
        <v>3000030725</v>
      </c>
      <c r="E643" s="117" t="s">
        <v>187</v>
      </c>
      <c r="F643" s="116">
        <v>1611800768</v>
      </c>
      <c r="G643" s="118">
        <v>42509</v>
      </c>
      <c r="H643" s="118"/>
      <c r="I643" s="118">
        <v>42509</v>
      </c>
      <c r="J643" s="116" t="s">
        <v>112</v>
      </c>
      <c r="K643" s="119">
        <v>26.19</v>
      </c>
      <c r="L643" s="116">
        <v>26.19</v>
      </c>
      <c r="M643" s="116">
        <f t="shared" si="74"/>
        <v>26.19</v>
      </c>
      <c r="N643" s="120">
        <f t="shared" si="78"/>
        <v>42528</v>
      </c>
      <c r="O643" s="116">
        <v>1914378</v>
      </c>
      <c r="P643" s="121">
        <f t="shared" si="79"/>
        <v>1914378</v>
      </c>
      <c r="Q643" s="179" t="s">
        <v>188</v>
      </c>
      <c r="R643" s="193" t="s">
        <v>188</v>
      </c>
    </row>
    <row r="644" spans="1:20" s="3" customFormat="1" hidden="1" x14ac:dyDescent="0.25">
      <c r="A644" s="30">
        <f>+closed!A643+1</f>
        <v>50</v>
      </c>
      <c r="B644" s="115">
        <v>42545</v>
      </c>
      <c r="C644" s="116">
        <v>103</v>
      </c>
      <c r="D644" s="116">
        <v>3000030589</v>
      </c>
      <c r="E644" s="117" t="s">
        <v>187</v>
      </c>
      <c r="F644" s="116">
        <v>1611800636</v>
      </c>
      <c r="G644" s="118">
        <v>42502</v>
      </c>
      <c r="H644" s="118"/>
      <c r="I644" s="118">
        <v>42502</v>
      </c>
      <c r="J644" s="116" t="s">
        <v>112</v>
      </c>
      <c r="K644" s="119">
        <v>26.93</v>
      </c>
      <c r="L644" s="116">
        <v>26.93</v>
      </c>
      <c r="M644" s="116">
        <f t="shared" si="74"/>
        <v>26.93</v>
      </c>
      <c r="N644" s="120">
        <f t="shared" si="78"/>
        <v>42521</v>
      </c>
      <c r="O644" s="116">
        <v>1968469</v>
      </c>
      <c r="P644" s="121">
        <f t="shared" si="79"/>
        <v>1968469.0000000002</v>
      </c>
      <c r="Q644" s="179" t="s">
        <v>188</v>
      </c>
      <c r="R644" s="193" t="s">
        <v>188</v>
      </c>
      <c r="T644" s="15" t="s">
        <v>190</v>
      </c>
    </row>
    <row r="645" spans="1:20" s="3" customFormat="1" hidden="1" x14ac:dyDescent="0.25">
      <c r="A645" s="30">
        <f>+closed!A655+1</f>
        <v>463</v>
      </c>
      <c r="B645" s="24">
        <v>42516</v>
      </c>
      <c r="C645" s="1">
        <v>114</v>
      </c>
      <c r="D645" s="1">
        <v>3000030255</v>
      </c>
      <c r="E645" s="1" t="s">
        <v>55</v>
      </c>
      <c r="F645" s="1">
        <v>7</v>
      </c>
      <c r="G645" s="25">
        <v>42509</v>
      </c>
      <c r="H645" s="74"/>
      <c r="I645" s="74">
        <v>42512</v>
      </c>
      <c r="J645" s="1" t="s">
        <v>8</v>
      </c>
      <c r="K645" s="77">
        <v>26.9</v>
      </c>
      <c r="L645" s="1">
        <v>26.83</v>
      </c>
      <c r="M645" s="1">
        <f t="shared" si="74"/>
        <v>26.83</v>
      </c>
      <c r="N645" s="7">
        <f t="shared" ref="N645:N676" si="80">+I645+15-1</f>
        <v>42526</v>
      </c>
      <c r="O645" s="1">
        <v>1506400</v>
      </c>
      <c r="P645" s="38">
        <f t="shared" si="79"/>
        <v>1502480</v>
      </c>
      <c r="Q645" s="178">
        <v>42551</v>
      </c>
      <c r="R645" s="66">
        <v>42552</v>
      </c>
      <c r="S645" s="187">
        <f t="shared" ref="S645:S676" si="81">R645-N645</f>
        <v>26</v>
      </c>
    </row>
    <row r="646" spans="1:20" s="3" customFormat="1" hidden="1" x14ac:dyDescent="0.25">
      <c r="A646" s="30">
        <f>+closed!A656+1</f>
        <v>9</v>
      </c>
      <c r="B646" s="24">
        <v>42527</v>
      </c>
      <c r="C646" s="1">
        <v>114</v>
      </c>
      <c r="D646" s="1">
        <v>3000030255</v>
      </c>
      <c r="E646" s="1" t="s">
        <v>55</v>
      </c>
      <c r="F646" s="1">
        <v>8</v>
      </c>
      <c r="G646" s="25">
        <v>42516</v>
      </c>
      <c r="H646" s="74"/>
      <c r="I646" s="74">
        <v>42521</v>
      </c>
      <c r="J646" s="1" t="s">
        <v>8</v>
      </c>
      <c r="K646" s="77">
        <v>26.17</v>
      </c>
      <c r="L646" s="1">
        <v>26.1</v>
      </c>
      <c r="M646" s="1">
        <f t="shared" si="74"/>
        <v>26.1</v>
      </c>
      <c r="N646" s="7">
        <f t="shared" si="80"/>
        <v>42535</v>
      </c>
      <c r="O646" s="1">
        <v>1465520</v>
      </c>
      <c r="P646" s="38">
        <f t="shared" si="79"/>
        <v>1461600</v>
      </c>
      <c r="Q646" s="178">
        <v>42551</v>
      </c>
      <c r="R646" s="66">
        <v>42552</v>
      </c>
      <c r="S646" s="187">
        <f t="shared" si="81"/>
        <v>17</v>
      </c>
    </row>
    <row r="647" spans="1:20" s="3" customFormat="1" hidden="1" x14ac:dyDescent="0.25">
      <c r="A647" s="30">
        <f>+closed!A724+1</f>
        <v>66</v>
      </c>
      <c r="B647" s="24">
        <v>42531</v>
      </c>
      <c r="C647" s="1">
        <v>114</v>
      </c>
      <c r="D647" s="1">
        <v>3000030255</v>
      </c>
      <c r="E647" s="1" t="s">
        <v>55</v>
      </c>
      <c r="F647" s="16">
        <v>9</v>
      </c>
      <c r="G647" s="25">
        <v>42523</v>
      </c>
      <c r="H647" s="74"/>
      <c r="I647" s="74">
        <v>42526</v>
      </c>
      <c r="J647" s="1" t="s">
        <v>8</v>
      </c>
      <c r="K647" s="77">
        <v>6.93</v>
      </c>
      <c r="L647" s="1">
        <v>6.8650000000000002</v>
      </c>
      <c r="M647" s="88">
        <f t="shared" si="74"/>
        <v>6.8650000000000002</v>
      </c>
      <c r="N647" s="7">
        <f t="shared" si="80"/>
        <v>42540</v>
      </c>
      <c r="O647" s="1">
        <v>388080</v>
      </c>
      <c r="P647" s="38">
        <f t="shared" si="79"/>
        <v>384440</v>
      </c>
      <c r="Q647" s="178">
        <v>42551</v>
      </c>
      <c r="R647" s="66">
        <v>42552</v>
      </c>
      <c r="S647" s="187">
        <f t="shared" si="81"/>
        <v>12</v>
      </c>
    </row>
    <row r="648" spans="1:20" s="3" customFormat="1" hidden="1" x14ac:dyDescent="0.25">
      <c r="A648" s="30">
        <f>+closed!A647+1</f>
        <v>67</v>
      </c>
      <c r="B648" s="24">
        <v>42531</v>
      </c>
      <c r="C648" s="1">
        <v>114</v>
      </c>
      <c r="D648" s="1">
        <v>3000030256</v>
      </c>
      <c r="E648" s="1" t="s">
        <v>55</v>
      </c>
      <c r="F648" s="16">
        <v>10</v>
      </c>
      <c r="G648" s="25">
        <v>42523</v>
      </c>
      <c r="H648" s="74"/>
      <c r="I648" s="74">
        <v>42526</v>
      </c>
      <c r="J648" s="1" t="s">
        <v>8</v>
      </c>
      <c r="K648" s="77">
        <v>24.024999999999999</v>
      </c>
      <c r="L648" s="1">
        <v>24.024999999999999</v>
      </c>
      <c r="M648" s="88">
        <f t="shared" si="74"/>
        <v>24.024999999999999</v>
      </c>
      <c r="N648" s="7">
        <f t="shared" si="80"/>
        <v>42540</v>
      </c>
      <c r="O648" s="1">
        <v>1345400</v>
      </c>
      <c r="P648" s="38">
        <f t="shared" si="79"/>
        <v>1345400</v>
      </c>
      <c r="Q648" s="178">
        <v>42551</v>
      </c>
      <c r="R648" s="66">
        <v>42552</v>
      </c>
      <c r="S648" s="187">
        <f t="shared" si="81"/>
        <v>12</v>
      </c>
    </row>
    <row r="649" spans="1:20" s="3" customFormat="1" hidden="1" x14ac:dyDescent="0.25">
      <c r="A649" s="30">
        <f>+closed!A648+1</f>
        <v>68</v>
      </c>
      <c r="B649" s="24">
        <v>42531</v>
      </c>
      <c r="C649" s="1">
        <v>114</v>
      </c>
      <c r="D649" s="1">
        <v>3000030256</v>
      </c>
      <c r="E649" s="1" t="s">
        <v>55</v>
      </c>
      <c r="F649" s="1">
        <v>11</v>
      </c>
      <c r="G649" s="25">
        <v>42525</v>
      </c>
      <c r="H649" s="74"/>
      <c r="I649" s="74">
        <v>42529</v>
      </c>
      <c r="J649" s="1" t="s">
        <v>8</v>
      </c>
      <c r="K649" s="77">
        <v>30.704999999999998</v>
      </c>
      <c r="L649" s="1">
        <v>30.55</v>
      </c>
      <c r="M649" s="88">
        <f t="shared" si="74"/>
        <v>30.55</v>
      </c>
      <c r="N649" s="7">
        <f t="shared" si="80"/>
        <v>42543</v>
      </c>
      <c r="O649" s="1">
        <v>1719480</v>
      </c>
      <c r="P649" s="38">
        <f t="shared" si="79"/>
        <v>1710800</v>
      </c>
      <c r="Q649" s="178">
        <v>42551</v>
      </c>
      <c r="R649" s="66">
        <v>42552</v>
      </c>
      <c r="S649" s="187">
        <f t="shared" si="81"/>
        <v>9</v>
      </c>
    </row>
    <row r="650" spans="1:20" s="3" customFormat="1" hidden="1" x14ac:dyDescent="0.25">
      <c r="A650" s="30">
        <f>+closed!A649+1</f>
        <v>69</v>
      </c>
      <c r="B650" s="24">
        <v>42531</v>
      </c>
      <c r="C650" s="1">
        <v>114</v>
      </c>
      <c r="D650" s="1">
        <v>3000030256</v>
      </c>
      <c r="E650" s="1" t="s">
        <v>55</v>
      </c>
      <c r="F650" s="1">
        <v>12</v>
      </c>
      <c r="G650" s="25">
        <v>42526</v>
      </c>
      <c r="H650" s="74"/>
      <c r="I650" s="74">
        <v>42529</v>
      </c>
      <c r="J650" s="1" t="s">
        <v>8</v>
      </c>
      <c r="K650" s="77">
        <v>29.155000000000001</v>
      </c>
      <c r="L650" s="1">
        <v>29.07</v>
      </c>
      <c r="M650" s="88">
        <f t="shared" si="74"/>
        <v>29.07</v>
      </c>
      <c r="N650" s="7">
        <f t="shared" si="80"/>
        <v>42543</v>
      </c>
      <c r="O650" s="1">
        <v>1632680</v>
      </c>
      <c r="P650" s="38">
        <f t="shared" si="79"/>
        <v>1627920</v>
      </c>
      <c r="Q650" s="178">
        <v>42551</v>
      </c>
      <c r="R650" s="66">
        <v>42552</v>
      </c>
      <c r="S650" s="187">
        <f t="shared" si="81"/>
        <v>9</v>
      </c>
    </row>
    <row r="651" spans="1:20" s="3" customFormat="1" hidden="1" x14ac:dyDescent="0.25">
      <c r="A651" s="30">
        <f>+closed!A737+1</f>
        <v>53</v>
      </c>
      <c r="B651" s="24">
        <v>42538</v>
      </c>
      <c r="C651" s="1">
        <v>114</v>
      </c>
      <c r="D651" s="1">
        <v>3000031324</v>
      </c>
      <c r="E651" s="1" t="s">
        <v>55</v>
      </c>
      <c r="F651" s="1">
        <v>13</v>
      </c>
      <c r="G651" s="25">
        <v>42531</v>
      </c>
      <c r="H651" s="74"/>
      <c r="I651" s="74">
        <v>42533</v>
      </c>
      <c r="J651" s="1" t="s">
        <v>8</v>
      </c>
      <c r="K651" s="77">
        <v>31.545000000000002</v>
      </c>
      <c r="L651" s="1">
        <v>31.51</v>
      </c>
      <c r="M651" s="88">
        <f t="shared" si="74"/>
        <v>31.51</v>
      </c>
      <c r="N651" s="7">
        <f t="shared" si="80"/>
        <v>42547</v>
      </c>
      <c r="O651" s="1">
        <v>1671885</v>
      </c>
      <c r="P651" s="38">
        <f t="shared" si="79"/>
        <v>1670030</v>
      </c>
      <c r="Q651" s="178">
        <v>42551</v>
      </c>
      <c r="R651" s="66">
        <v>42552</v>
      </c>
      <c r="S651" s="187">
        <f t="shared" si="81"/>
        <v>5</v>
      </c>
    </row>
    <row r="652" spans="1:20" s="3" customFormat="1" hidden="1" x14ac:dyDescent="0.25">
      <c r="A652" s="30">
        <f>+closed!A764+1</f>
        <v>17</v>
      </c>
      <c r="B652" s="24">
        <v>42541</v>
      </c>
      <c r="C652" s="1">
        <v>114</v>
      </c>
      <c r="D652" s="1">
        <v>3000031579</v>
      </c>
      <c r="E652" s="1" t="s">
        <v>55</v>
      </c>
      <c r="F652" s="1">
        <v>14</v>
      </c>
      <c r="G652" s="25">
        <v>42534</v>
      </c>
      <c r="H652" s="74"/>
      <c r="I652" s="74">
        <v>42536</v>
      </c>
      <c r="J652" s="1" t="s">
        <v>16</v>
      </c>
      <c r="K652" s="77">
        <v>30.93</v>
      </c>
      <c r="L652" s="1">
        <v>30.89</v>
      </c>
      <c r="M652" s="88">
        <f t="shared" si="74"/>
        <v>30.89</v>
      </c>
      <c r="N652" s="7">
        <f t="shared" si="80"/>
        <v>42550</v>
      </c>
      <c r="O652" s="1">
        <v>1515570</v>
      </c>
      <c r="P652" s="38">
        <f t="shared" si="79"/>
        <v>1513610</v>
      </c>
      <c r="Q652" s="178">
        <v>42551</v>
      </c>
      <c r="R652" s="66">
        <v>42552</v>
      </c>
      <c r="S652" s="187">
        <f t="shared" si="81"/>
        <v>2</v>
      </c>
    </row>
    <row r="653" spans="1:20" s="3" customFormat="1" hidden="1" x14ac:dyDescent="0.25">
      <c r="A653" s="30">
        <f>+closed!A678+1</f>
        <v>475</v>
      </c>
      <c r="B653" s="24">
        <v>42543</v>
      </c>
      <c r="C653" s="1">
        <v>114</v>
      </c>
      <c r="D653" s="1">
        <v>3000031324</v>
      </c>
      <c r="E653" s="1" t="s">
        <v>55</v>
      </c>
      <c r="F653" s="1">
        <v>15</v>
      </c>
      <c r="G653" s="25">
        <v>42534</v>
      </c>
      <c r="H653" s="74"/>
      <c r="I653" s="74">
        <v>42537</v>
      </c>
      <c r="J653" s="1" t="s">
        <v>8</v>
      </c>
      <c r="K653" s="77">
        <v>27.64</v>
      </c>
      <c r="L653" s="1">
        <v>27.58</v>
      </c>
      <c r="M653" s="88">
        <f t="shared" si="74"/>
        <v>27.58</v>
      </c>
      <c r="N653" s="7">
        <f t="shared" si="80"/>
        <v>42551</v>
      </c>
      <c r="O653" s="1">
        <v>1464920</v>
      </c>
      <c r="P653" s="38">
        <f t="shared" si="79"/>
        <v>1461740</v>
      </c>
      <c r="Q653" s="178">
        <v>42551</v>
      </c>
      <c r="R653" s="66">
        <v>42552</v>
      </c>
      <c r="S653" s="187">
        <f t="shared" si="81"/>
        <v>1</v>
      </c>
    </row>
    <row r="654" spans="1:20" s="3" customFormat="1" hidden="1" x14ac:dyDescent="0.25">
      <c r="A654" s="30">
        <f>+closed!A591+1</f>
        <v>461</v>
      </c>
      <c r="B654" s="24">
        <v>42516</v>
      </c>
      <c r="C654" s="1">
        <v>114</v>
      </c>
      <c r="D654" s="1">
        <v>3000030055</v>
      </c>
      <c r="E654" s="1" t="s">
        <v>29</v>
      </c>
      <c r="F654" s="16">
        <v>66</v>
      </c>
      <c r="G654" s="25">
        <v>42511</v>
      </c>
      <c r="H654" s="74"/>
      <c r="I654" s="74">
        <v>42514</v>
      </c>
      <c r="J654" s="1" t="s">
        <v>8</v>
      </c>
      <c r="K654" s="77">
        <v>17.285</v>
      </c>
      <c r="L654" s="1">
        <v>17.285</v>
      </c>
      <c r="M654" s="1">
        <f t="shared" si="74"/>
        <v>17.285</v>
      </c>
      <c r="N654" s="7">
        <f t="shared" si="80"/>
        <v>42528</v>
      </c>
      <c r="O654" s="1">
        <v>942033</v>
      </c>
      <c r="P654" s="36">
        <f t="shared" si="79"/>
        <v>942032.99999999988</v>
      </c>
      <c r="Q654" s="178">
        <v>42551</v>
      </c>
      <c r="R654" s="66">
        <v>42551</v>
      </c>
      <c r="S654" s="187">
        <f t="shared" si="81"/>
        <v>23</v>
      </c>
    </row>
    <row r="655" spans="1:20" s="3" customFormat="1" hidden="1" x14ac:dyDescent="0.25">
      <c r="A655" s="30">
        <f>+closed!A654+1</f>
        <v>462</v>
      </c>
      <c r="B655" s="24">
        <v>42516</v>
      </c>
      <c r="C655" s="1">
        <v>114</v>
      </c>
      <c r="D655" s="1">
        <v>3000030299</v>
      </c>
      <c r="E655" s="1" t="s">
        <v>29</v>
      </c>
      <c r="F655" s="16">
        <v>67</v>
      </c>
      <c r="G655" s="25">
        <v>42511</v>
      </c>
      <c r="H655" s="74"/>
      <c r="I655" s="74">
        <v>42514</v>
      </c>
      <c r="J655" s="1" t="s">
        <v>8</v>
      </c>
      <c r="K655" s="77">
        <v>11.154999999999999</v>
      </c>
      <c r="L655" s="1">
        <v>11.115</v>
      </c>
      <c r="M655" s="1">
        <f t="shared" si="74"/>
        <v>11.115</v>
      </c>
      <c r="N655" s="7">
        <f t="shared" si="80"/>
        <v>42528</v>
      </c>
      <c r="O655" s="1">
        <v>622449</v>
      </c>
      <c r="P655" s="36">
        <f t="shared" si="79"/>
        <v>620217</v>
      </c>
      <c r="Q655" s="178">
        <v>42551</v>
      </c>
      <c r="R655" s="66">
        <v>42551</v>
      </c>
      <c r="S655" s="187">
        <f t="shared" si="81"/>
        <v>23</v>
      </c>
    </row>
    <row r="656" spans="1:20" s="3" customFormat="1" hidden="1" x14ac:dyDescent="0.25">
      <c r="A656" s="30">
        <f>+closed!A679+1</f>
        <v>8</v>
      </c>
      <c r="B656" s="24">
        <v>42527</v>
      </c>
      <c r="C656" s="1">
        <v>114</v>
      </c>
      <c r="D656" s="1">
        <v>3000030299</v>
      </c>
      <c r="E656" s="1" t="s">
        <v>29</v>
      </c>
      <c r="F656" s="1">
        <v>71</v>
      </c>
      <c r="G656" s="25">
        <v>42515</v>
      </c>
      <c r="H656" s="74"/>
      <c r="I656" s="74">
        <v>42521</v>
      </c>
      <c r="J656" s="1" t="s">
        <v>8</v>
      </c>
      <c r="K656" s="77">
        <v>21.31</v>
      </c>
      <c r="L656" s="1">
        <v>21.19</v>
      </c>
      <c r="M656" s="1">
        <f t="shared" si="74"/>
        <v>21.19</v>
      </c>
      <c r="N656" s="7">
        <f t="shared" si="80"/>
        <v>42535</v>
      </c>
      <c r="O656" s="1">
        <v>1189098</v>
      </c>
      <c r="P656" s="36">
        <f t="shared" si="79"/>
        <v>1182402</v>
      </c>
      <c r="Q656" s="178">
        <v>42551</v>
      </c>
      <c r="R656" s="66">
        <v>42551</v>
      </c>
      <c r="S656" s="187">
        <f t="shared" si="81"/>
        <v>16</v>
      </c>
    </row>
    <row r="657" spans="1:19" s="3" customFormat="1" hidden="1" x14ac:dyDescent="0.25">
      <c r="A657" s="30">
        <f>+closed!A592+1</f>
        <v>480</v>
      </c>
      <c r="B657" s="24">
        <v>42521</v>
      </c>
      <c r="C657" s="1">
        <v>114</v>
      </c>
      <c r="D657" s="1">
        <v>3000030299</v>
      </c>
      <c r="E657" s="1" t="s">
        <v>29</v>
      </c>
      <c r="F657" s="1">
        <v>72</v>
      </c>
      <c r="G657" s="25">
        <v>42515</v>
      </c>
      <c r="H657" s="74"/>
      <c r="I657" s="74">
        <v>42518</v>
      </c>
      <c r="J657" s="1" t="s">
        <v>8</v>
      </c>
      <c r="K657" s="77">
        <v>29.42</v>
      </c>
      <c r="L657" s="1">
        <v>29.36</v>
      </c>
      <c r="M657" s="1">
        <f t="shared" si="74"/>
        <v>29.36</v>
      </c>
      <c r="N657" s="7">
        <f t="shared" si="80"/>
        <v>42532</v>
      </c>
      <c r="O657" s="1">
        <v>1641636</v>
      </c>
      <c r="P657" s="36">
        <f t="shared" si="79"/>
        <v>1638288</v>
      </c>
      <c r="Q657" s="178">
        <v>42551</v>
      </c>
      <c r="R657" s="66">
        <v>42551</v>
      </c>
      <c r="S657" s="187">
        <f t="shared" si="81"/>
        <v>19</v>
      </c>
    </row>
    <row r="658" spans="1:19" s="3" customFormat="1" hidden="1" x14ac:dyDescent="0.25">
      <c r="A658" s="30">
        <f>+closed!A620+1</f>
        <v>52</v>
      </c>
      <c r="B658" s="24">
        <v>42537</v>
      </c>
      <c r="C658" s="1">
        <v>114</v>
      </c>
      <c r="D658" s="1" t="s">
        <v>167</v>
      </c>
      <c r="E658" s="1" t="s">
        <v>29</v>
      </c>
      <c r="F658" s="20" t="s">
        <v>168</v>
      </c>
      <c r="G658" s="25">
        <v>42536</v>
      </c>
      <c r="H658" s="74"/>
      <c r="I658" s="74">
        <v>42523</v>
      </c>
      <c r="J658" s="1" t="s">
        <v>8</v>
      </c>
      <c r="K658" s="77"/>
      <c r="L658" s="1"/>
      <c r="M658" s="88">
        <f t="shared" si="74"/>
        <v>0</v>
      </c>
      <c r="N658" s="7">
        <f t="shared" si="80"/>
        <v>42537</v>
      </c>
      <c r="O658" s="1">
        <v>11008</v>
      </c>
      <c r="P658" s="36"/>
      <c r="Q658" s="178">
        <v>42551</v>
      </c>
      <c r="R658" s="66">
        <v>42551</v>
      </c>
      <c r="S658" s="187">
        <f t="shared" si="81"/>
        <v>14</v>
      </c>
    </row>
    <row r="659" spans="1:19" s="3" customFormat="1" hidden="1" x14ac:dyDescent="0.25">
      <c r="A659" s="30">
        <f>+closed!A658+1</f>
        <v>53</v>
      </c>
      <c r="B659" s="24">
        <v>42537</v>
      </c>
      <c r="C659" s="1">
        <v>114</v>
      </c>
      <c r="D659" s="1">
        <v>3000030299</v>
      </c>
      <c r="E659" s="1" t="s">
        <v>29</v>
      </c>
      <c r="F659" s="16">
        <v>74</v>
      </c>
      <c r="G659" s="25">
        <v>42517</v>
      </c>
      <c r="H659" s="74"/>
      <c r="I659" s="74">
        <v>42523</v>
      </c>
      <c r="J659" s="1" t="s">
        <v>8</v>
      </c>
      <c r="K659" s="77">
        <v>2.4950000000000001</v>
      </c>
      <c r="L659" s="1">
        <v>2.4950000000000001</v>
      </c>
      <c r="M659" s="88">
        <f t="shared" si="74"/>
        <v>2.4950000000000001</v>
      </c>
      <c r="N659" s="7">
        <f t="shared" si="80"/>
        <v>42537</v>
      </c>
      <c r="O659" s="1">
        <v>139221</v>
      </c>
      <c r="P659" s="36">
        <f>(+O659/K659*M659)-11008</f>
        <v>128213</v>
      </c>
      <c r="Q659" s="178">
        <v>42551</v>
      </c>
      <c r="R659" s="66">
        <v>42551</v>
      </c>
      <c r="S659" s="187">
        <f t="shared" si="81"/>
        <v>14</v>
      </c>
    </row>
    <row r="660" spans="1:19" s="3" customFormat="1" hidden="1" x14ac:dyDescent="0.25">
      <c r="A660" s="30">
        <f>+closed!A622+1</f>
        <v>45</v>
      </c>
      <c r="B660" s="24">
        <v>42537</v>
      </c>
      <c r="C660" s="1">
        <v>114</v>
      </c>
      <c r="D660" s="1">
        <v>3000030414</v>
      </c>
      <c r="E660" s="1" t="s">
        <v>29</v>
      </c>
      <c r="F660" s="16">
        <v>75</v>
      </c>
      <c r="G660" s="25">
        <v>42517</v>
      </c>
      <c r="H660" s="74"/>
      <c r="I660" s="74">
        <v>42523</v>
      </c>
      <c r="J660" s="1" t="s">
        <v>8</v>
      </c>
      <c r="K660" s="77">
        <v>25.024999999999999</v>
      </c>
      <c r="L660" s="1">
        <v>25.024999999999999</v>
      </c>
      <c r="M660" s="88">
        <f t="shared" si="74"/>
        <v>25.024999999999999</v>
      </c>
      <c r="N660" s="7">
        <f t="shared" si="80"/>
        <v>42537</v>
      </c>
      <c r="O660" s="1">
        <v>1366365</v>
      </c>
      <c r="P660" s="36">
        <f t="shared" ref="P660:P692" si="82">(+O660/K660*M660)</f>
        <v>1366365</v>
      </c>
      <c r="Q660" s="178">
        <v>42551</v>
      </c>
      <c r="R660" s="66">
        <v>42551</v>
      </c>
      <c r="S660" s="187">
        <f t="shared" si="81"/>
        <v>14</v>
      </c>
    </row>
    <row r="661" spans="1:19" s="3" customFormat="1" hidden="1" x14ac:dyDescent="0.25">
      <c r="A661" s="30">
        <f>+closed!A650+1</f>
        <v>70</v>
      </c>
      <c r="B661" s="24">
        <v>42531</v>
      </c>
      <c r="C661" s="1">
        <v>114</v>
      </c>
      <c r="D661" s="1">
        <v>3000030414</v>
      </c>
      <c r="E661" s="1" t="s">
        <v>29</v>
      </c>
      <c r="F661" s="1">
        <v>77</v>
      </c>
      <c r="G661" s="25">
        <v>42524</v>
      </c>
      <c r="H661" s="74"/>
      <c r="I661" s="74">
        <v>42527</v>
      </c>
      <c r="J661" s="1" t="s">
        <v>8</v>
      </c>
      <c r="K661" s="77">
        <v>19.989999999999998</v>
      </c>
      <c r="L661" s="1">
        <v>19.920000000000002</v>
      </c>
      <c r="M661" s="88">
        <f t="shared" si="74"/>
        <v>19.920000000000002</v>
      </c>
      <c r="N661" s="7">
        <f t="shared" si="80"/>
        <v>42541</v>
      </c>
      <c r="O661" s="1">
        <v>1091454</v>
      </c>
      <c r="P661" s="36">
        <f t="shared" si="82"/>
        <v>1087632.0000000002</v>
      </c>
      <c r="Q661" s="178">
        <v>42551</v>
      </c>
      <c r="R661" s="66">
        <v>42551</v>
      </c>
      <c r="S661" s="187">
        <f t="shared" si="81"/>
        <v>10</v>
      </c>
    </row>
    <row r="662" spans="1:19" s="3" customFormat="1" hidden="1" x14ac:dyDescent="0.25">
      <c r="A662" s="30">
        <f>+closed!A661+1</f>
        <v>71</v>
      </c>
      <c r="B662" s="24">
        <v>42531</v>
      </c>
      <c r="C662" s="1">
        <v>114</v>
      </c>
      <c r="D662" s="1">
        <v>3000031319</v>
      </c>
      <c r="E662" s="1" t="s">
        <v>29</v>
      </c>
      <c r="F662" s="1">
        <v>78</v>
      </c>
      <c r="G662" s="25">
        <v>42524</v>
      </c>
      <c r="H662" s="74"/>
      <c r="I662" s="74">
        <v>42528</v>
      </c>
      <c r="J662" s="1" t="s">
        <v>8</v>
      </c>
      <c r="K662" s="77">
        <v>28.82</v>
      </c>
      <c r="L662" s="1">
        <v>28.63</v>
      </c>
      <c r="M662" s="88">
        <f t="shared" si="74"/>
        <v>28.63</v>
      </c>
      <c r="N662" s="7">
        <f t="shared" si="80"/>
        <v>42542</v>
      </c>
      <c r="O662" s="1">
        <v>1527460</v>
      </c>
      <c r="P662" s="36">
        <f t="shared" si="82"/>
        <v>1517390</v>
      </c>
      <c r="Q662" s="178">
        <v>42551</v>
      </c>
      <c r="R662" s="66">
        <v>42551</v>
      </c>
      <c r="S662" s="187">
        <f t="shared" si="81"/>
        <v>9</v>
      </c>
    </row>
    <row r="663" spans="1:19" s="3" customFormat="1" hidden="1" x14ac:dyDescent="0.25">
      <c r="A663" s="30">
        <f>+closed!A693+1</f>
        <v>98</v>
      </c>
      <c r="B663" s="24">
        <v>42535</v>
      </c>
      <c r="C663" s="1">
        <v>114</v>
      </c>
      <c r="D663" s="1">
        <v>3000030917</v>
      </c>
      <c r="E663" s="1" t="s">
        <v>29</v>
      </c>
      <c r="F663" s="1">
        <v>79</v>
      </c>
      <c r="G663" s="25">
        <v>42526</v>
      </c>
      <c r="H663" s="74"/>
      <c r="I663" s="74">
        <v>42531</v>
      </c>
      <c r="J663" s="1" t="s">
        <v>8</v>
      </c>
      <c r="K663" s="77">
        <v>21.67</v>
      </c>
      <c r="L663" s="1">
        <v>21.72</v>
      </c>
      <c r="M663" s="88">
        <f t="shared" si="74"/>
        <v>21.67</v>
      </c>
      <c r="N663" s="7">
        <f t="shared" si="80"/>
        <v>42545</v>
      </c>
      <c r="O663" s="1">
        <v>1148510</v>
      </c>
      <c r="P663" s="36">
        <f t="shared" si="82"/>
        <v>1148510</v>
      </c>
      <c r="Q663" s="178">
        <v>42551</v>
      </c>
      <c r="R663" s="66">
        <v>42551</v>
      </c>
      <c r="S663" s="187">
        <f t="shared" si="81"/>
        <v>6</v>
      </c>
    </row>
    <row r="664" spans="1:19" s="3" customFormat="1" hidden="1" x14ac:dyDescent="0.25">
      <c r="A664" s="30">
        <f>+closed!A663+1</f>
        <v>99</v>
      </c>
      <c r="B664" s="24">
        <v>42535</v>
      </c>
      <c r="C664" s="1">
        <v>114</v>
      </c>
      <c r="D664" s="1">
        <v>3000030917</v>
      </c>
      <c r="E664" s="1" t="s">
        <v>29</v>
      </c>
      <c r="F664" s="16">
        <v>80</v>
      </c>
      <c r="G664" s="25">
        <v>42526</v>
      </c>
      <c r="H664" s="74"/>
      <c r="I664" s="74">
        <v>42529</v>
      </c>
      <c r="J664" s="1" t="s">
        <v>8</v>
      </c>
      <c r="K664" s="77">
        <v>9.51</v>
      </c>
      <c r="L664" s="1">
        <v>9.51</v>
      </c>
      <c r="M664" s="88">
        <f t="shared" si="74"/>
        <v>9.51</v>
      </c>
      <c r="N664" s="7">
        <f t="shared" si="80"/>
        <v>42543</v>
      </c>
      <c r="O664" s="1">
        <v>504030</v>
      </c>
      <c r="P664" s="36">
        <f t="shared" si="82"/>
        <v>504030</v>
      </c>
      <c r="Q664" s="178">
        <v>42551</v>
      </c>
      <c r="R664" s="66">
        <v>42551</v>
      </c>
      <c r="S664" s="187">
        <f t="shared" si="81"/>
        <v>8</v>
      </c>
    </row>
    <row r="665" spans="1:19" s="3" customFormat="1" hidden="1" x14ac:dyDescent="0.25">
      <c r="A665" s="30">
        <f>+closed!A664+1</f>
        <v>100</v>
      </c>
      <c r="B665" s="24">
        <v>42535</v>
      </c>
      <c r="C665" s="1">
        <v>114</v>
      </c>
      <c r="D665" s="1">
        <v>3000030917</v>
      </c>
      <c r="E665" s="1" t="s">
        <v>29</v>
      </c>
      <c r="F665" s="16">
        <v>81</v>
      </c>
      <c r="G665" s="25">
        <v>42526</v>
      </c>
      <c r="H665" s="74"/>
      <c r="I665" s="74">
        <v>42529</v>
      </c>
      <c r="J665" s="1" t="s">
        <v>8</v>
      </c>
      <c r="K665" s="77">
        <v>10.59</v>
      </c>
      <c r="L665" s="1">
        <v>10.62</v>
      </c>
      <c r="M665" s="88">
        <f t="shared" si="74"/>
        <v>10.59</v>
      </c>
      <c r="N665" s="7">
        <f t="shared" si="80"/>
        <v>42543</v>
      </c>
      <c r="O665" s="1">
        <v>561270</v>
      </c>
      <c r="P665" s="36">
        <f t="shared" si="82"/>
        <v>561270</v>
      </c>
      <c r="Q665" s="178">
        <v>42551</v>
      </c>
      <c r="R665" s="66">
        <v>42551</v>
      </c>
      <c r="S665" s="187">
        <f t="shared" si="81"/>
        <v>8</v>
      </c>
    </row>
    <row r="666" spans="1:19" s="3" customFormat="1" hidden="1" x14ac:dyDescent="0.25">
      <c r="A666" s="30">
        <f>+closed!A662+1</f>
        <v>72</v>
      </c>
      <c r="B666" s="24">
        <v>42531</v>
      </c>
      <c r="C666" s="1">
        <v>114</v>
      </c>
      <c r="D666" s="1">
        <v>3000030917</v>
      </c>
      <c r="E666" s="1" t="s">
        <v>29</v>
      </c>
      <c r="F666" s="1">
        <v>82</v>
      </c>
      <c r="G666" s="25">
        <v>42527</v>
      </c>
      <c r="H666" s="74"/>
      <c r="I666" s="74">
        <v>42529</v>
      </c>
      <c r="J666" s="1" t="s">
        <v>8</v>
      </c>
      <c r="K666" s="77">
        <v>20.329999999999998</v>
      </c>
      <c r="L666" s="1">
        <v>20.37</v>
      </c>
      <c r="M666" s="88">
        <f t="shared" si="74"/>
        <v>20.329999999999998</v>
      </c>
      <c r="N666" s="7">
        <f t="shared" si="80"/>
        <v>42543</v>
      </c>
      <c r="O666" s="1">
        <v>1077490</v>
      </c>
      <c r="P666" s="36">
        <f t="shared" si="82"/>
        <v>1077490</v>
      </c>
      <c r="Q666" s="178">
        <v>42551</v>
      </c>
      <c r="R666" s="66">
        <v>42551</v>
      </c>
      <c r="S666" s="187">
        <f t="shared" si="81"/>
        <v>8</v>
      </c>
    </row>
    <row r="667" spans="1:19" s="3" customFormat="1" hidden="1" x14ac:dyDescent="0.25">
      <c r="A667" s="30">
        <f>+closed!A665+1</f>
        <v>101</v>
      </c>
      <c r="B667" s="24">
        <v>42535</v>
      </c>
      <c r="C667" s="1">
        <v>114</v>
      </c>
      <c r="D667" s="1">
        <v>3000031319</v>
      </c>
      <c r="E667" s="1" t="s">
        <v>29</v>
      </c>
      <c r="F667" s="16">
        <v>84</v>
      </c>
      <c r="G667" s="25">
        <v>42528</v>
      </c>
      <c r="H667" s="74"/>
      <c r="I667" s="74">
        <v>42531</v>
      </c>
      <c r="J667" s="1" t="s">
        <v>8</v>
      </c>
      <c r="K667" s="77">
        <v>9.08</v>
      </c>
      <c r="L667" s="1">
        <v>8.9499999999999993</v>
      </c>
      <c r="M667" s="88">
        <f t="shared" si="74"/>
        <v>8.9499999999999993</v>
      </c>
      <c r="N667" s="7">
        <f t="shared" si="80"/>
        <v>42545</v>
      </c>
      <c r="O667" s="1">
        <v>481240</v>
      </c>
      <c r="P667" s="36">
        <f t="shared" si="82"/>
        <v>474349.99999999994</v>
      </c>
      <c r="Q667" s="178">
        <v>42551</v>
      </c>
      <c r="R667" s="66">
        <v>42551</v>
      </c>
      <c r="S667" s="187">
        <f t="shared" si="81"/>
        <v>6</v>
      </c>
    </row>
    <row r="668" spans="1:19" s="3" customFormat="1" hidden="1" x14ac:dyDescent="0.25">
      <c r="A668" s="30">
        <f>+closed!A667+1</f>
        <v>102</v>
      </c>
      <c r="B668" s="24">
        <v>42535</v>
      </c>
      <c r="C668" s="1">
        <v>114</v>
      </c>
      <c r="D668" s="1">
        <v>3000031192</v>
      </c>
      <c r="E668" s="1" t="s">
        <v>29</v>
      </c>
      <c r="F668" s="16">
        <v>85</v>
      </c>
      <c r="G668" s="25">
        <v>42528</v>
      </c>
      <c r="H668" s="74"/>
      <c r="I668" s="74">
        <v>42531</v>
      </c>
      <c r="J668" s="1" t="s">
        <v>8</v>
      </c>
      <c r="K668" s="77">
        <v>17.82</v>
      </c>
      <c r="L668" s="1">
        <v>17.82</v>
      </c>
      <c r="M668" s="88">
        <f t="shared" si="74"/>
        <v>17.82</v>
      </c>
      <c r="N668" s="7">
        <f t="shared" si="80"/>
        <v>42545</v>
      </c>
      <c r="O668" s="1">
        <v>942678</v>
      </c>
      <c r="P668" s="36">
        <f t="shared" si="82"/>
        <v>942678</v>
      </c>
      <c r="Q668" s="178">
        <v>42551</v>
      </c>
      <c r="R668" s="66">
        <v>42551</v>
      </c>
      <c r="S668" s="187">
        <f t="shared" si="81"/>
        <v>6</v>
      </c>
    </row>
    <row r="669" spans="1:19" s="3" customFormat="1" hidden="1" x14ac:dyDescent="0.25">
      <c r="A669" s="30">
        <f>+closed!A668+1</f>
        <v>103</v>
      </c>
      <c r="B669" s="24">
        <v>42535</v>
      </c>
      <c r="C669" s="1">
        <v>114</v>
      </c>
      <c r="D669" s="1">
        <v>3000031192</v>
      </c>
      <c r="E669" s="1" t="s">
        <v>29</v>
      </c>
      <c r="F669" s="16">
        <v>87</v>
      </c>
      <c r="G669" s="25">
        <v>42528</v>
      </c>
      <c r="H669" s="74"/>
      <c r="I669" s="74">
        <v>42532</v>
      </c>
      <c r="J669" s="1" t="s">
        <v>8</v>
      </c>
      <c r="K669" s="77">
        <v>8.4749999999999996</v>
      </c>
      <c r="L669" s="1">
        <v>8.4749999999999996</v>
      </c>
      <c r="M669" s="88">
        <f t="shared" si="74"/>
        <v>8.4749999999999996</v>
      </c>
      <c r="N669" s="7">
        <f t="shared" si="80"/>
        <v>42546</v>
      </c>
      <c r="O669" s="1">
        <v>448328</v>
      </c>
      <c r="P669" s="36">
        <f t="shared" si="82"/>
        <v>448328.00000000006</v>
      </c>
      <c r="Q669" s="178">
        <v>42551</v>
      </c>
      <c r="R669" s="66">
        <v>42551</v>
      </c>
      <c r="S669" s="187">
        <f t="shared" si="81"/>
        <v>5</v>
      </c>
    </row>
    <row r="670" spans="1:19" s="3" customFormat="1" hidden="1" x14ac:dyDescent="0.25">
      <c r="A670" s="30">
        <f>+closed!A669+1</f>
        <v>104</v>
      </c>
      <c r="B670" s="24">
        <v>42535</v>
      </c>
      <c r="C670" s="1">
        <v>114</v>
      </c>
      <c r="D670" s="1">
        <v>3000031325</v>
      </c>
      <c r="E670" s="1" t="s">
        <v>29</v>
      </c>
      <c r="F670" s="16">
        <v>88</v>
      </c>
      <c r="G670" s="25">
        <v>42528</v>
      </c>
      <c r="H670" s="74"/>
      <c r="I670" s="74">
        <v>42532</v>
      </c>
      <c r="J670" s="1" t="s">
        <v>8</v>
      </c>
      <c r="K670" s="77">
        <v>11.445</v>
      </c>
      <c r="L670" s="1">
        <v>11.505000000000001</v>
      </c>
      <c r="M670" s="88">
        <f t="shared" si="74"/>
        <v>11.445</v>
      </c>
      <c r="N670" s="7">
        <f t="shared" si="80"/>
        <v>42546</v>
      </c>
      <c r="O670" s="1">
        <v>606585</v>
      </c>
      <c r="P670" s="36">
        <f t="shared" si="82"/>
        <v>606585</v>
      </c>
      <c r="Q670" s="178">
        <v>42551</v>
      </c>
      <c r="R670" s="66">
        <v>42551</v>
      </c>
      <c r="S670" s="187">
        <f t="shared" si="81"/>
        <v>5</v>
      </c>
    </row>
    <row r="671" spans="1:19" s="3" customFormat="1" hidden="1" x14ac:dyDescent="0.25">
      <c r="A671" s="30">
        <f>+closed!A739+1</f>
        <v>51</v>
      </c>
      <c r="B671" s="24">
        <v>42538</v>
      </c>
      <c r="C671" s="1">
        <v>114</v>
      </c>
      <c r="D671" s="1">
        <v>3000031325</v>
      </c>
      <c r="E671" s="1" t="s">
        <v>29</v>
      </c>
      <c r="F671" s="1">
        <v>89</v>
      </c>
      <c r="G671" s="25">
        <v>42529</v>
      </c>
      <c r="H671" s="74"/>
      <c r="I671" s="74">
        <v>42533</v>
      </c>
      <c r="J671" s="1" t="s">
        <v>8</v>
      </c>
      <c r="K671" s="77">
        <v>28.08</v>
      </c>
      <c r="L671" s="1">
        <v>27.99</v>
      </c>
      <c r="M671" s="88">
        <f t="shared" si="74"/>
        <v>27.99</v>
      </c>
      <c r="N671" s="7">
        <f t="shared" si="80"/>
        <v>42547</v>
      </c>
      <c r="O671" s="1">
        <v>1488240</v>
      </c>
      <c r="P671" s="36">
        <f t="shared" si="82"/>
        <v>1483470</v>
      </c>
      <c r="Q671" s="178">
        <v>42551</v>
      </c>
      <c r="R671" s="66">
        <v>42551</v>
      </c>
      <c r="S671" s="187">
        <f t="shared" si="81"/>
        <v>4</v>
      </c>
    </row>
    <row r="672" spans="1:19" s="3" customFormat="1" hidden="1" x14ac:dyDescent="0.25">
      <c r="A672" s="30">
        <f>+closed!A551+1</f>
        <v>454</v>
      </c>
      <c r="B672" s="24">
        <v>42516</v>
      </c>
      <c r="C672" s="1">
        <v>114</v>
      </c>
      <c r="D672" s="1">
        <v>3000028866</v>
      </c>
      <c r="E672" s="1" t="s">
        <v>49</v>
      </c>
      <c r="F672" s="1">
        <v>15</v>
      </c>
      <c r="G672" s="25">
        <v>42511</v>
      </c>
      <c r="H672" s="74"/>
      <c r="I672" s="74">
        <v>42513</v>
      </c>
      <c r="J672" s="1" t="s">
        <v>8</v>
      </c>
      <c r="K672" s="77">
        <v>23.33</v>
      </c>
      <c r="L672" s="1">
        <v>23.28</v>
      </c>
      <c r="M672" s="1">
        <f t="shared" si="74"/>
        <v>23.28</v>
      </c>
      <c r="N672" s="7">
        <f t="shared" si="80"/>
        <v>42527</v>
      </c>
      <c r="O672" s="1">
        <v>1061515</v>
      </c>
      <c r="P672" s="107">
        <f t="shared" si="82"/>
        <v>1059240</v>
      </c>
      <c r="Q672" s="178">
        <v>42551</v>
      </c>
      <c r="R672" s="66">
        <v>42552</v>
      </c>
      <c r="S672" s="187">
        <f t="shared" si="81"/>
        <v>25</v>
      </c>
    </row>
    <row r="673" spans="1:19" s="3" customFormat="1" hidden="1" x14ac:dyDescent="0.25">
      <c r="A673" s="30">
        <f>+closed!A603+1</f>
        <v>3</v>
      </c>
      <c r="B673" s="24">
        <v>42527</v>
      </c>
      <c r="C673" s="1">
        <v>114</v>
      </c>
      <c r="D673" s="1">
        <v>3000028866</v>
      </c>
      <c r="E673" s="1" t="s">
        <v>49</v>
      </c>
      <c r="F673" s="1">
        <v>16</v>
      </c>
      <c r="G673" s="25">
        <v>42515</v>
      </c>
      <c r="H673" s="74"/>
      <c r="I673" s="74">
        <v>42521</v>
      </c>
      <c r="J673" s="1" t="s">
        <v>8</v>
      </c>
      <c r="K673" s="77">
        <v>30.62</v>
      </c>
      <c r="L673" s="1">
        <v>30.46</v>
      </c>
      <c r="M673" s="1">
        <f t="shared" si="74"/>
        <v>30.46</v>
      </c>
      <c r="N673" s="7">
        <f t="shared" si="80"/>
        <v>42535</v>
      </c>
      <c r="O673" s="1">
        <v>1393210</v>
      </c>
      <c r="P673" s="107">
        <f t="shared" si="82"/>
        <v>1385930</v>
      </c>
      <c r="Q673" s="178">
        <v>42551</v>
      </c>
      <c r="R673" s="66">
        <v>42552</v>
      </c>
      <c r="S673" s="187">
        <f t="shared" si="81"/>
        <v>17</v>
      </c>
    </row>
    <row r="674" spans="1:19" s="3" customFormat="1" hidden="1" x14ac:dyDescent="0.25">
      <c r="A674" s="30">
        <f>+closed!A673+1</f>
        <v>4</v>
      </c>
      <c r="B674" s="24">
        <v>42527</v>
      </c>
      <c r="C674" s="1">
        <v>114</v>
      </c>
      <c r="D674" s="1">
        <v>3000029648</v>
      </c>
      <c r="E674" s="1" t="s">
        <v>49</v>
      </c>
      <c r="F674" s="1">
        <v>17</v>
      </c>
      <c r="G674" s="25">
        <v>42517</v>
      </c>
      <c r="H674" s="74"/>
      <c r="I674" s="74">
        <v>42521</v>
      </c>
      <c r="J674" s="1" t="s">
        <v>8</v>
      </c>
      <c r="K674" s="77">
        <v>28.81</v>
      </c>
      <c r="L674" s="1">
        <v>28.78</v>
      </c>
      <c r="M674" s="1">
        <f t="shared" si="74"/>
        <v>28.78</v>
      </c>
      <c r="N674" s="7">
        <f t="shared" si="80"/>
        <v>42535</v>
      </c>
      <c r="O674" s="1">
        <v>1541335</v>
      </c>
      <c r="P674" s="107">
        <f t="shared" si="82"/>
        <v>1539730</v>
      </c>
      <c r="Q674" s="178">
        <v>42551</v>
      </c>
      <c r="R674" s="66">
        <v>42552</v>
      </c>
      <c r="S674" s="187">
        <f t="shared" si="81"/>
        <v>17</v>
      </c>
    </row>
    <row r="675" spans="1:19" s="3" customFormat="1" hidden="1" x14ac:dyDescent="0.25">
      <c r="A675" s="30">
        <f>+closed!A687+1</f>
        <v>64</v>
      </c>
      <c r="B675" s="24">
        <v>42531</v>
      </c>
      <c r="C675" s="1">
        <v>114</v>
      </c>
      <c r="D675" s="1">
        <v>3000029648</v>
      </c>
      <c r="E675" s="1" t="s">
        <v>49</v>
      </c>
      <c r="F675" s="1">
        <v>18</v>
      </c>
      <c r="G675" s="25">
        <v>42523</v>
      </c>
      <c r="H675" s="74"/>
      <c r="I675" s="74">
        <v>42527</v>
      </c>
      <c r="J675" s="1" t="s">
        <v>8</v>
      </c>
      <c r="K675" s="77">
        <v>27.48</v>
      </c>
      <c r="L675" s="1">
        <v>27.36</v>
      </c>
      <c r="M675" s="88">
        <f t="shared" si="74"/>
        <v>27.36</v>
      </c>
      <c r="N675" s="7">
        <f t="shared" si="80"/>
        <v>42541</v>
      </c>
      <c r="O675" s="1">
        <v>1470180</v>
      </c>
      <c r="P675" s="107">
        <f t="shared" si="82"/>
        <v>1463760</v>
      </c>
      <c r="Q675" s="178">
        <v>42551</v>
      </c>
      <c r="R675" s="66">
        <v>42552</v>
      </c>
      <c r="S675" s="187">
        <f t="shared" si="81"/>
        <v>11</v>
      </c>
    </row>
    <row r="676" spans="1:19" s="3" customFormat="1" hidden="1" x14ac:dyDescent="0.25">
      <c r="A676" s="30">
        <f>+closed!A761+1</f>
        <v>94</v>
      </c>
      <c r="B676" s="24">
        <v>42535</v>
      </c>
      <c r="C676" s="1">
        <v>114</v>
      </c>
      <c r="D676" s="1">
        <v>3000028621</v>
      </c>
      <c r="E676" s="1" t="s">
        <v>49</v>
      </c>
      <c r="F676" s="1">
        <v>19</v>
      </c>
      <c r="G676" s="25">
        <v>42528</v>
      </c>
      <c r="H676" s="74"/>
      <c r="I676" s="74">
        <v>42530</v>
      </c>
      <c r="J676" s="1" t="s">
        <v>16</v>
      </c>
      <c r="K676" s="77">
        <v>21.89</v>
      </c>
      <c r="L676" s="1">
        <v>21.89</v>
      </c>
      <c r="M676" s="88">
        <f t="shared" si="74"/>
        <v>21.89</v>
      </c>
      <c r="N676" s="7">
        <f t="shared" si="80"/>
        <v>42544</v>
      </c>
      <c r="O676" s="1">
        <v>1050720</v>
      </c>
      <c r="P676" s="107">
        <f t="shared" si="82"/>
        <v>1050720</v>
      </c>
      <c r="Q676" s="178">
        <v>42551</v>
      </c>
      <c r="R676" s="66">
        <v>42552</v>
      </c>
      <c r="S676" s="187">
        <f t="shared" si="81"/>
        <v>8</v>
      </c>
    </row>
    <row r="677" spans="1:19" s="3" customFormat="1" hidden="1" x14ac:dyDescent="0.25">
      <c r="A677" s="30">
        <f>+closed!A676+1</f>
        <v>95</v>
      </c>
      <c r="B677" s="24">
        <v>42535</v>
      </c>
      <c r="C677" s="1">
        <v>114</v>
      </c>
      <c r="D677" s="1">
        <v>3000030720</v>
      </c>
      <c r="E677" s="1" t="s">
        <v>49</v>
      </c>
      <c r="F677" s="1">
        <v>20</v>
      </c>
      <c r="G677" s="25">
        <v>42528</v>
      </c>
      <c r="H677" s="74"/>
      <c r="I677" s="74">
        <v>42530</v>
      </c>
      <c r="J677" s="1" t="s">
        <v>16</v>
      </c>
      <c r="K677" s="77">
        <v>7</v>
      </c>
      <c r="L677" s="1">
        <v>6.93</v>
      </c>
      <c r="M677" s="88">
        <f t="shared" si="74"/>
        <v>6.93</v>
      </c>
      <c r="N677" s="7">
        <f t="shared" ref="N677:N708" si="83">+I677+15-1</f>
        <v>42544</v>
      </c>
      <c r="O677" s="1">
        <v>360500</v>
      </c>
      <c r="P677" s="107">
        <f t="shared" si="82"/>
        <v>356895</v>
      </c>
      <c r="Q677" s="178">
        <v>42551</v>
      </c>
      <c r="R677" s="66">
        <v>42552</v>
      </c>
      <c r="S677" s="187">
        <f t="shared" ref="S677:S708" si="84">R677-N677</f>
        <v>8</v>
      </c>
    </row>
    <row r="678" spans="1:19" s="3" customFormat="1" hidden="1" x14ac:dyDescent="0.25">
      <c r="A678" s="30">
        <f>+closed!A770+1</f>
        <v>474</v>
      </c>
      <c r="B678" s="24">
        <v>42543</v>
      </c>
      <c r="C678" s="1">
        <v>114</v>
      </c>
      <c r="D678" s="1">
        <v>3000030720</v>
      </c>
      <c r="E678" s="1" t="s">
        <v>49</v>
      </c>
      <c r="F678" s="1">
        <v>21</v>
      </c>
      <c r="G678" s="25">
        <v>42535</v>
      </c>
      <c r="H678" s="74"/>
      <c r="I678" s="74">
        <v>42537</v>
      </c>
      <c r="J678" s="1" t="s">
        <v>16</v>
      </c>
      <c r="K678" s="77">
        <v>31.04</v>
      </c>
      <c r="L678" s="1">
        <v>30.99</v>
      </c>
      <c r="M678" s="88">
        <f t="shared" ref="M678:M741" si="85">IF(L678&gt;K678,K678,L678)</f>
        <v>30.99</v>
      </c>
      <c r="N678" s="7">
        <f t="shared" si="83"/>
        <v>42551</v>
      </c>
      <c r="O678" s="1">
        <v>1598560</v>
      </c>
      <c r="P678" s="107">
        <f t="shared" si="82"/>
        <v>1595985</v>
      </c>
      <c r="Q678" s="178">
        <v>42551</v>
      </c>
      <c r="R678" s="66">
        <v>42552</v>
      </c>
      <c r="S678" s="187">
        <f t="shared" si="84"/>
        <v>1</v>
      </c>
    </row>
    <row r="679" spans="1:19" s="3" customFormat="1" hidden="1" x14ac:dyDescent="0.25">
      <c r="A679" s="30">
        <f>+closed!A558+1</f>
        <v>7</v>
      </c>
      <c r="B679" s="24">
        <v>42527</v>
      </c>
      <c r="C679" s="1">
        <v>114</v>
      </c>
      <c r="D679" s="1">
        <v>3000028616</v>
      </c>
      <c r="E679" s="1" t="s">
        <v>28</v>
      </c>
      <c r="F679" s="1">
        <v>563</v>
      </c>
      <c r="G679" s="25">
        <v>42516</v>
      </c>
      <c r="H679" s="74"/>
      <c r="I679" s="74">
        <v>42521</v>
      </c>
      <c r="J679" s="1" t="s">
        <v>8</v>
      </c>
      <c r="K679" s="77">
        <v>28.13</v>
      </c>
      <c r="L679" s="1">
        <v>28.12</v>
      </c>
      <c r="M679" s="1">
        <f t="shared" si="85"/>
        <v>28.12</v>
      </c>
      <c r="N679" s="7">
        <f t="shared" si="83"/>
        <v>42535</v>
      </c>
      <c r="O679" s="1">
        <v>1263037</v>
      </c>
      <c r="P679" s="36">
        <f t="shared" si="82"/>
        <v>1262588</v>
      </c>
      <c r="Q679" s="178">
        <v>42551</v>
      </c>
      <c r="R679" s="66">
        <v>42551</v>
      </c>
      <c r="S679" s="187">
        <f t="shared" si="84"/>
        <v>16</v>
      </c>
    </row>
    <row r="680" spans="1:19" s="3" customFormat="1" hidden="1" x14ac:dyDescent="0.25">
      <c r="A680" s="30">
        <f>+closed!A682+1</f>
        <v>12</v>
      </c>
      <c r="B680" s="24">
        <v>42527</v>
      </c>
      <c r="C680" s="1">
        <v>114</v>
      </c>
      <c r="D680" s="1">
        <v>3000030905</v>
      </c>
      <c r="E680" s="1" t="s">
        <v>28</v>
      </c>
      <c r="F680" s="1">
        <v>564</v>
      </c>
      <c r="G680" s="25">
        <v>42519</v>
      </c>
      <c r="H680" s="74"/>
      <c r="I680" s="74">
        <v>42523</v>
      </c>
      <c r="J680" s="1" t="s">
        <v>16</v>
      </c>
      <c r="K680" s="77">
        <v>24.64</v>
      </c>
      <c r="L680" s="1">
        <v>24.64</v>
      </c>
      <c r="M680" s="1">
        <f t="shared" si="85"/>
        <v>24.64</v>
      </c>
      <c r="N680" s="7">
        <f t="shared" si="83"/>
        <v>42537</v>
      </c>
      <c r="O680" s="1">
        <v>1239392</v>
      </c>
      <c r="P680" s="36">
        <f t="shared" si="82"/>
        <v>1239392</v>
      </c>
      <c r="Q680" s="178">
        <v>42551</v>
      </c>
      <c r="R680" s="66">
        <v>42551</v>
      </c>
      <c r="S680" s="187">
        <f t="shared" si="84"/>
        <v>14</v>
      </c>
    </row>
    <row r="681" spans="1:19" s="3" customFormat="1" hidden="1" x14ac:dyDescent="0.25">
      <c r="A681" s="30">
        <f>+closed!A680+1</f>
        <v>13</v>
      </c>
      <c r="B681" s="24">
        <v>42527</v>
      </c>
      <c r="C681" s="1">
        <v>114</v>
      </c>
      <c r="D681" s="1">
        <v>3000028616</v>
      </c>
      <c r="E681" s="1" t="s">
        <v>28</v>
      </c>
      <c r="F681" s="1">
        <v>565</v>
      </c>
      <c r="G681" s="25">
        <v>42520</v>
      </c>
      <c r="H681" s="74"/>
      <c r="I681" s="74">
        <v>42523</v>
      </c>
      <c r="J681" s="1" t="s">
        <v>8</v>
      </c>
      <c r="K681" s="77">
        <v>27.21</v>
      </c>
      <c r="L681" s="1">
        <v>27.14</v>
      </c>
      <c r="M681" s="1">
        <f t="shared" si="85"/>
        <v>27.14</v>
      </c>
      <c r="N681" s="7">
        <f t="shared" si="83"/>
        <v>42537</v>
      </c>
      <c r="O681" s="1">
        <v>1221729</v>
      </c>
      <c r="P681" s="36">
        <f t="shared" si="82"/>
        <v>1218586</v>
      </c>
      <c r="Q681" s="178">
        <v>42551</v>
      </c>
      <c r="R681" s="66">
        <v>42551</v>
      </c>
      <c r="S681" s="187">
        <f t="shared" si="84"/>
        <v>14</v>
      </c>
    </row>
    <row r="682" spans="1:19" s="3" customFormat="1" hidden="1" x14ac:dyDescent="0.25">
      <c r="A682" s="30">
        <f>+closed!A593+1</f>
        <v>11</v>
      </c>
      <c r="B682" s="24">
        <v>42527</v>
      </c>
      <c r="C682" s="1">
        <v>114</v>
      </c>
      <c r="D682" s="1">
        <v>3000030416</v>
      </c>
      <c r="E682" s="1" t="s">
        <v>27</v>
      </c>
      <c r="F682" s="1">
        <v>837</v>
      </c>
      <c r="G682" s="25">
        <v>42518</v>
      </c>
      <c r="H682" s="74"/>
      <c r="I682" s="74">
        <v>42523</v>
      </c>
      <c r="J682" s="1" t="s">
        <v>8</v>
      </c>
      <c r="K682" s="77">
        <v>29.43</v>
      </c>
      <c r="L682" s="1">
        <v>29.29</v>
      </c>
      <c r="M682" s="1">
        <f t="shared" si="85"/>
        <v>29.29</v>
      </c>
      <c r="N682" s="7">
        <f t="shared" si="83"/>
        <v>42537</v>
      </c>
      <c r="O682" s="1">
        <v>1606878</v>
      </c>
      <c r="P682" s="107">
        <f t="shared" si="82"/>
        <v>1599234</v>
      </c>
      <c r="Q682" s="178">
        <v>42551</v>
      </c>
      <c r="R682" s="66">
        <v>42551</v>
      </c>
      <c r="S682" s="187">
        <f t="shared" si="84"/>
        <v>14</v>
      </c>
    </row>
    <row r="683" spans="1:19" s="3" customFormat="1" hidden="1" x14ac:dyDescent="0.25">
      <c r="A683" s="30">
        <f>+closed!A751+1</f>
        <v>59</v>
      </c>
      <c r="B683" s="24">
        <v>42531</v>
      </c>
      <c r="C683" s="1">
        <v>114</v>
      </c>
      <c r="D683" s="1">
        <v>3000030416</v>
      </c>
      <c r="E683" s="1" t="s">
        <v>27</v>
      </c>
      <c r="F683" s="16">
        <v>839</v>
      </c>
      <c r="G683" s="25">
        <v>42522</v>
      </c>
      <c r="H683" s="74"/>
      <c r="I683" s="74">
        <v>42525</v>
      </c>
      <c r="J683" s="1" t="s">
        <v>8</v>
      </c>
      <c r="K683" s="77">
        <v>6.5</v>
      </c>
      <c r="L683" s="1">
        <v>6.46</v>
      </c>
      <c r="M683" s="1">
        <f t="shared" si="85"/>
        <v>6.46</v>
      </c>
      <c r="N683" s="7">
        <f t="shared" si="83"/>
        <v>42539</v>
      </c>
      <c r="O683" s="1">
        <v>354900</v>
      </c>
      <c r="P683" s="107">
        <f t="shared" si="82"/>
        <v>352716</v>
      </c>
      <c r="Q683" s="178">
        <v>42551</v>
      </c>
      <c r="R683" s="66">
        <v>42551</v>
      </c>
      <c r="S683" s="187">
        <f t="shared" si="84"/>
        <v>12</v>
      </c>
    </row>
    <row r="684" spans="1:19" s="3" customFormat="1" hidden="1" x14ac:dyDescent="0.25">
      <c r="A684" s="30">
        <f>+closed!A683+1</f>
        <v>60</v>
      </c>
      <c r="B684" s="24">
        <v>42531</v>
      </c>
      <c r="C684" s="1">
        <v>114</v>
      </c>
      <c r="D684" s="1">
        <v>3000030918</v>
      </c>
      <c r="E684" s="1" t="s">
        <v>27</v>
      </c>
      <c r="F684" s="16">
        <v>839</v>
      </c>
      <c r="G684" s="25">
        <v>42522</v>
      </c>
      <c r="H684" s="74"/>
      <c r="I684" s="74">
        <v>42525</v>
      </c>
      <c r="J684" s="1" t="s">
        <v>8</v>
      </c>
      <c r="K684" s="77">
        <v>20.5</v>
      </c>
      <c r="L684" s="1">
        <v>20.5</v>
      </c>
      <c r="M684" s="1">
        <f t="shared" si="85"/>
        <v>20.5</v>
      </c>
      <c r="N684" s="7">
        <f t="shared" si="83"/>
        <v>42539</v>
      </c>
      <c r="O684" s="1">
        <v>1086500</v>
      </c>
      <c r="P684" s="107">
        <f t="shared" si="82"/>
        <v>1086500</v>
      </c>
      <c r="Q684" s="178">
        <v>42551</v>
      </c>
      <c r="R684" s="66">
        <v>42551</v>
      </c>
      <c r="S684" s="187">
        <f t="shared" si="84"/>
        <v>12</v>
      </c>
    </row>
    <row r="685" spans="1:19" s="3" customFormat="1" hidden="1" x14ac:dyDescent="0.25">
      <c r="A685" s="30">
        <f>+closed!A684+1</f>
        <v>61</v>
      </c>
      <c r="B685" s="24">
        <v>42531</v>
      </c>
      <c r="C685" s="1">
        <v>114</v>
      </c>
      <c r="D685" s="1">
        <v>3000030918</v>
      </c>
      <c r="E685" s="1" t="s">
        <v>27</v>
      </c>
      <c r="F685" s="1">
        <v>840</v>
      </c>
      <c r="G685" s="25">
        <v>42522</v>
      </c>
      <c r="H685" s="74"/>
      <c r="I685" s="74">
        <v>42526</v>
      </c>
      <c r="J685" s="1" t="s">
        <v>8</v>
      </c>
      <c r="K685" s="77">
        <v>31.13</v>
      </c>
      <c r="L685" s="1">
        <v>31.06</v>
      </c>
      <c r="M685" s="1">
        <f t="shared" si="85"/>
        <v>31.06</v>
      </c>
      <c r="N685" s="7">
        <f t="shared" si="83"/>
        <v>42540</v>
      </c>
      <c r="O685" s="1">
        <v>1649890</v>
      </c>
      <c r="P685" s="107">
        <f t="shared" si="82"/>
        <v>1646180</v>
      </c>
      <c r="Q685" s="178">
        <v>42551</v>
      </c>
      <c r="R685" s="66">
        <v>42551</v>
      </c>
      <c r="S685" s="187">
        <f t="shared" si="84"/>
        <v>11</v>
      </c>
    </row>
    <row r="686" spans="1:19" s="3" customFormat="1" hidden="1" x14ac:dyDescent="0.25">
      <c r="A686" s="30">
        <f>+closed!A685+1</f>
        <v>62</v>
      </c>
      <c r="B686" s="24">
        <v>42531</v>
      </c>
      <c r="C686" s="1">
        <v>114</v>
      </c>
      <c r="D686" s="1">
        <v>3000030918</v>
      </c>
      <c r="E686" s="1" t="s">
        <v>27</v>
      </c>
      <c r="F686" s="16">
        <v>841</v>
      </c>
      <c r="G686" s="25">
        <v>42524</v>
      </c>
      <c r="H686" s="74"/>
      <c r="I686" s="74">
        <v>42527</v>
      </c>
      <c r="J686" s="1" t="s">
        <v>8</v>
      </c>
      <c r="K686" s="77">
        <v>8.4</v>
      </c>
      <c r="L686" s="1">
        <v>8.3550000000000004</v>
      </c>
      <c r="M686" s="1">
        <f t="shared" si="85"/>
        <v>8.3550000000000004</v>
      </c>
      <c r="N686" s="7">
        <f t="shared" si="83"/>
        <v>42541</v>
      </c>
      <c r="O686" s="1">
        <v>445200</v>
      </c>
      <c r="P686" s="107">
        <f t="shared" si="82"/>
        <v>442815</v>
      </c>
      <c r="Q686" s="178">
        <v>42551</v>
      </c>
      <c r="R686" s="66">
        <v>42551</v>
      </c>
      <c r="S686" s="187">
        <f t="shared" si="84"/>
        <v>10</v>
      </c>
    </row>
    <row r="687" spans="1:19" s="3" customFormat="1" hidden="1" x14ac:dyDescent="0.25">
      <c r="A687" s="30">
        <f>+closed!A686+1</f>
        <v>63</v>
      </c>
      <c r="B687" s="24">
        <v>42531</v>
      </c>
      <c r="C687" s="1">
        <v>114</v>
      </c>
      <c r="D687" s="1">
        <v>3000031326</v>
      </c>
      <c r="E687" s="1" t="s">
        <v>27</v>
      </c>
      <c r="F687" s="16">
        <v>841</v>
      </c>
      <c r="G687" s="25">
        <v>42524</v>
      </c>
      <c r="H687" s="74"/>
      <c r="I687" s="74">
        <v>42527</v>
      </c>
      <c r="J687" s="1" t="s">
        <v>8</v>
      </c>
      <c r="K687" s="77">
        <v>20.925000000000001</v>
      </c>
      <c r="L687" s="1">
        <v>20.925000000000001</v>
      </c>
      <c r="M687" s="1">
        <f t="shared" si="85"/>
        <v>20.925000000000001</v>
      </c>
      <c r="N687" s="7">
        <f t="shared" si="83"/>
        <v>42541</v>
      </c>
      <c r="O687" s="1">
        <v>1109025</v>
      </c>
      <c r="P687" s="107">
        <f t="shared" si="82"/>
        <v>1109025</v>
      </c>
      <c r="Q687" s="178">
        <v>42551</v>
      </c>
      <c r="R687" s="66">
        <v>42551</v>
      </c>
      <c r="S687" s="187">
        <f t="shared" si="84"/>
        <v>10</v>
      </c>
    </row>
    <row r="688" spans="1:19" s="3" customFormat="1" hidden="1" x14ac:dyDescent="0.25">
      <c r="A688" s="30">
        <f>+closed!A660+1</f>
        <v>46</v>
      </c>
      <c r="B688" s="24">
        <v>42538</v>
      </c>
      <c r="C688" s="1">
        <v>114</v>
      </c>
      <c r="D688" s="1">
        <v>3000031320</v>
      </c>
      <c r="E688" s="1" t="s">
        <v>27</v>
      </c>
      <c r="F688" s="16">
        <v>842</v>
      </c>
      <c r="G688" s="25">
        <v>42528</v>
      </c>
      <c r="H688" s="74"/>
      <c r="I688" s="74">
        <v>42533</v>
      </c>
      <c r="J688" s="1" t="s">
        <v>8</v>
      </c>
      <c r="K688" s="77">
        <v>19</v>
      </c>
      <c r="L688" s="1">
        <v>18.855</v>
      </c>
      <c r="M688" s="88">
        <f t="shared" si="85"/>
        <v>18.855</v>
      </c>
      <c r="N688" s="7">
        <f t="shared" si="83"/>
        <v>42547</v>
      </c>
      <c r="O688" s="1">
        <v>1007000</v>
      </c>
      <c r="P688" s="107">
        <f t="shared" si="82"/>
        <v>999315</v>
      </c>
      <c r="Q688" s="178">
        <v>42551</v>
      </c>
      <c r="R688" s="66">
        <v>42551</v>
      </c>
      <c r="S688" s="187">
        <f t="shared" si="84"/>
        <v>4</v>
      </c>
    </row>
    <row r="689" spans="1:19" s="3" customFormat="1" hidden="1" x14ac:dyDescent="0.25">
      <c r="A689" s="30">
        <f>+closed!A624+1</f>
        <v>47</v>
      </c>
      <c r="B689" s="24">
        <v>42538</v>
      </c>
      <c r="C689" s="1">
        <v>114</v>
      </c>
      <c r="D689" s="1">
        <v>3000031193</v>
      </c>
      <c r="E689" s="1" t="s">
        <v>27</v>
      </c>
      <c r="F689" s="16">
        <v>842</v>
      </c>
      <c r="G689" s="25">
        <v>42528</v>
      </c>
      <c r="H689" s="74"/>
      <c r="I689" s="74">
        <v>42533</v>
      </c>
      <c r="J689" s="1" t="s">
        <v>8</v>
      </c>
      <c r="K689" s="77">
        <v>10.755000000000001</v>
      </c>
      <c r="L689" s="1">
        <v>10.755000000000001</v>
      </c>
      <c r="M689" s="88">
        <f t="shared" si="85"/>
        <v>10.755000000000001</v>
      </c>
      <c r="N689" s="7">
        <f t="shared" si="83"/>
        <v>42547</v>
      </c>
      <c r="O689" s="1">
        <v>568940</v>
      </c>
      <c r="P689" s="107">
        <f t="shared" si="82"/>
        <v>568940</v>
      </c>
      <c r="Q689" s="178">
        <v>42551</v>
      </c>
      <c r="R689" s="66">
        <v>42551</v>
      </c>
      <c r="S689" s="187">
        <f t="shared" si="84"/>
        <v>4</v>
      </c>
    </row>
    <row r="690" spans="1:19" s="3" customFormat="1" hidden="1" x14ac:dyDescent="0.25">
      <c r="A690" s="30">
        <f>+closed!A828+1</f>
        <v>10</v>
      </c>
      <c r="B690" s="24">
        <v>42541</v>
      </c>
      <c r="C690" s="1">
        <v>114</v>
      </c>
      <c r="D690" s="1">
        <v>3000031193</v>
      </c>
      <c r="E690" s="1" t="s">
        <v>27</v>
      </c>
      <c r="F690" s="1">
        <v>847</v>
      </c>
      <c r="G690" s="25">
        <v>42532</v>
      </c>
      <c r="H690" s="74"/>
      <c r="I690" s="74">
        <v>42537</v>
      </c>
      <c r="J690" s="1" t="s">
        <v>8</v>
      </c>
      <c r="K690" s="77">
        <v>29.84</v>
      </c>
      <c r="L690" s="1">
        <v>29.68</v>
      </c>
      <c r="M690" s="88">
        <f t="shared" si="85"/>
        <v>29.68</v>
      </c>
      <c r="N690" s="7">
        <f t="shared" si="83"/>
        <v>42551</v>
      </c>
      <c r="O690" s="1">
        <v>1578536</v>
      </c>
      <c r="P690" s="107">
        <f t="shared" si="82"/>
        <v>1570072</v>
      </c>
      <c r="Q690" s="178">
        <v>42551</v>
      </c>
      <c r="R690" s="66">
        <v>42551</v>
      </c>
      <c r="S690" s="187">
        <f t="shared" si="84"/>
        <v>0</v>
      </c>
    </row>
    <row r="691" spans="1:19" s="3" customFormat="1" hidden="1" x14ac:dyDescent="0.25">
      <c r="A691" s="30">
        <f>+closed!A705+1</f>
        <v>57</v>
      </c>
      <c r="B691" s="24">
        <v>42538</v>
      </c>
      <c r="C691" s="1">
        <v>114</v>
      </c>
      <c r="D691" s="1">
        <v>3000030897</v>
      </c>
      <c r="E691" s="1" t="s">
        <v>27</v>
      </c>
      <c r="F691" s="16">
        <v>76</v>
      </c>
      <c r="G691" s="25">
        <v>42524</v>
      </c>
      <c r="H691" s="74"/>
      <c r="I691" s="74">
        <v>42533</v>
      </c>
      <c r="J691" s="1" t="s">
        <v>16</v>
      </c>
      <c r="K691" s="77">
        <v>28.12</v>
      </c>
      <c r="L691" s="1">
        <v>28.11</v>
      </c>
      <c r="M691" s="88">
        <f t="shared" si="85"/>
        <v>28.11</v>
      </c>
      <c r="N691" s="7">
        <f t="shared" si="83"/>
        <v>42547</v>
      </c>
      <c r="O691" s="1">
        <v>1414436</v>
      </c>
      <c r="P691" s="107">
        <f t="shared" si="82"/>
        <v>1413933</v>
      </c>
      <c r="Q691" s="178">
        <v>42551</v>
      </c>
      <c r="R691" s="66">
        <v>42551</v>
      </c>
      <c r="S691" s="187">
        <f t="shared" si="84"/>
        <v>4</v>
      </c>
    </row>
    <row r="692" spans="1:19" s="3" customFormat="1" hidden="1" x14ac:dyDescent="0.25">
      <c r="A692" s="30">
        <f>+closed!A691+1</f>
        <v>58</v>
      </c>
      <c r="B692" s="24">
        <v>42538</v>
      </c>
      <c r="C692" s="1">
        <v>114</v>
      </c>
      <c r="D692" s="1">
        <v>3000030987</v>
      </c>
      <c r="E692" s="1" t="s">
        <v>27</v>
      </c>
      <c r="F692" s="16">
        <v>76</v>
      </c>
      <c r="G692" s="25">
        <v>42524</v>
      </c>
      <c r="H692" s="74"/>
      <c r="I692" s="74">
        <v>42533</v>
      </c>
      <c r="J692" s="1" t="s">
        <v>16</v>
      </c>
      <c r="K692" s="77">
        <v>1</v>
      </c>
      <c r="L692" s="1">
        <v>1</v>
      </c>
      <c r="M692" s="88">
        <f t="shared" si="85"/>
        <v>1</v>
      </c>
      <c r="N692" s="7">
        <f t="shared" si="83"/>
        <v>42547</v>
      </c>
      <c r="O692" s="1">
        <v>49000</v>
      </c>
      <c r="P692" s="107">
        <f t="shared" si="82"/>
        <v>49000</v>
      </c>
      <c r="Q692" s="178">
        <v>42551</v>
      </c>
      <c r="R692" s="66">
        <v>42551</v>
      </c>
      <c r="S692" s="187">
        <f t="shared" si="84"/>
        <v>4</v>
      </c>
    </row>
    <row r="693" spans="1:19" s="3" customFormat="1" hidden="1" x14ac:dyDescent="0.25">
      <c r="A693" s="30">
        <f>+closed!A694+1</f>
        <v>97</v>
      </c>
      <c r="B693" s="24">
        <v>42535</v>
      </c>
      <c r="C693" s="1">
        <v>114</v>
      </c>
      <c r="D693" s="1">
        <v>3000030987</v>
      </c>
      <c r="E693" s="1" t="s">
        <v>27</v>
      </c>
      <c r="F693" s="1">
        <v>77</v>
      </c>
      <c r="G693" s="25">
        <v>42524</v>
      </c>
      <c r="H693" s="74"/>
      <c r="I693" s="74">
        <v>42532</v>
      </c>
      <c r="J693" s="1" t="s">
        <v>16</v>
      </c>
      <c r="K693" s="77">
        <v>31.515000000000001</v>
      </c>
      <c r="L693" s="1">
        <v>31.43</v>
      </c>
      <c r="M693" s="88">
        <f t="shared" si="85"/>
        <v>31.43</v>
      </c>
      <c r="N693" s="7">
        <f t="shared" si="83"/>
        <v>42546</v>
      </c>
      <c r="O693" s="1">
        <v>1585205</v>
      </c>
      <c r="P693" s="107">
        <f>(+O693/K693*M693)-23793</f>
        <v>1557136.4986514358</v>
      </c>
      <c r="Q693" s="178">
        <v>42551</v>
      </c>
      <c r="R693" s="66">
        <v>42555</v>
      </c>
      <c r="S693" s="187">
        <f t="shared" si="84"/>
        <v>9</v>
      </c>
    </row>
    <row r="694" spans="1:19" s="3" customFormat="1" hidden="1" x14ac:dyDescent="0.25">
      <c r="A694" s="30">
        <f>+closed!A677+1</f>
        <v>96</v>
      </c>
      <c r="B694" s="24">
        <v>42535</v>
      </c>
      <c r="C694" s="1">
        <v>114</v>
      </c>
      <c r="D694" s="1">
        <v>3000030987</v>
      </c>
      <c r="E694" s="1" t="s">
        <v>27</v>
      </c>
      <c r="F694" s="1">
        <v>78</v>
      </c>
      <c r="G694" s="25">
        <v>42525</v>
      </c>
      <c r="H694" s="74"/>
      <c r="I694" s="74">
        <v>42532</v>
      </c>
      <c r="J694" s="1" t="s">
        <v>16</v>
      </c>
      <c r="K694" s="77">
        <v>28.61</v>
      </c>
      <c r="L694" s="1">
        <v>28.5</v>
      </c>
      <c r="M694" s="88">
        <f t="shared" si="85"/>
        <v>28.5</v>
      </c>
      <c r="N694" s="7">
        <f t="shared" si="83"/>
        <v>42546</v>
      </c>
      <c r="O694" s="1">
        <v>1401890</v>
      </c>
      <c r="P694" s="107">
        <f t="shared" ref="P694:P725" si="86">(+O694/K694*M694)</f>
        <v>1396500</v>
      </c>
      <c r="Q694" s="178">
        <v>42551</v>
      </c>
      <c r="R694" s="66">
        <v>42551</v>
      </c>
      <c r="S694" s="187">
        <f t="shared" si="84"/>
        <v>5</v>
      </c>
    </row>
    <row r="695" spans="1:19" s="3" customFormat="1" hidden="1" x14ac:dyDescent="0.25">
      <c r="A695" s="30">
        <f>+closed!A681+1</f>
        <v>14</v>
      </c>
      <c r="B695" s="24">
        <v>42527</v>
      </c>
      <c r="C695" s="1">
        <v>114</v>
      </c>
      <c r="D695" s="1">
        <v>3000030304</v>
      </c>
      <c r="E695" s="1" t="s">
        <v>138</v>
      </c>
      <c r="F695" s="1">
        <v>8985</v>
      </c>
      <c r="G695" s="25">
        <v>42520</v>
      </c>
      <c r="H695" s="74"/>
      <c r="I695" s="74">
        <v>42523</v>
      </c>
      <c r="J695" s="1" t="s">
        <v>8</v>
      </c>
      <c r="K695" s="77">
        <v>20.5</v>
      </c>
      <c r="L695" s="1">
        <v>20.440000000000001</v>
      </c>
      <c r="M695" s="1">
        <f t="shared" si="85"/>
        <v>20.440000000000001</v>
      </c>
      <c r="N695" s="7">
        <f t="shared" si="83"/>
        <v>42537</v>
      </c>
      <c r="O695" s="1">
        <v>1143900</v>
      </c>
      <c r="P695" s="36">
        <f t="shared" si="86"/>
        <v>1140552</v>
      </c>
      <c r="Q695" s="178">
        <v>42551</v>
      </c>
      <c r="R695" s="66">
        <v>42551</v>
      </c>
      <c r="S695" s="187">
        <f t="shared" si="84"/>
        <v>14</v>
      </c>
    </row>
    <row r="696" spans="1:19" s="3" customFormat="1" hidden="1" x14ac:dyDescent="0.25">
      <c r="A696" s="30">
        <f>+closed!A695+1</f>
        <v>15</v>
      </c>
      <c r="B696" s="24">
        <v>42527</v>
      </c>
      <c r="C696" s="1">
        <v>114</v>
      </c>
      <c r="D696" s="1">
        <v>3000030410</v>
      </c>
      <c r="E696" s="1" t="s">
        <v>138</v>
      </c>
      <c r="F696" s="1">
        <v>8986</v>
      </c>
      <c r="G696" s="25">
        <v>42520</v>
      </c>
      <c r="H696" s="74"/>
      <c r="I696" s="74">
        <v>42523</v>
      </c>
      <c r="J696" s="1" t="s">
        <v>8</v>
      </c>
      <c r="K696" s="77">
        <v>6.66</v>
      </c>
      <c r="L696" s="1">
        <v>6.66</v>
      </c>
      <c r="M696" s="1">
        <f t="shared" si="85"/>
        <v>6.66</v>
      </c>
      <c r="N696" s="7">
        <f t="shared" si="83"/>
        <v>42537</v>
      </c>
      <c r="O696" s="1">
        <v>363636</v>
      </c>
      <c r="P696" s="36">
        <f t="shared" si="86"/>
        <v>363636</v>
      </c>
      <c r="Q696" s="178">
        <v>42551</v>
      </c>
      <c r="R696" s="66">
        <v>42551</v>
      </c>
      <c r="S696" s="187">
        <f t="shared" si="84"/>
        <v>14</v>
      </c>
    </row>
    <row r="697" spans="1:19" s="3" customFormat="1" hidden="1" x14ac:dyDescent="0.25">
      <c r="A697" s="30">
        <f>+closed!A717+1</f>
        <v>115</v>
      </c>
      <c r="B697" s="24">
        <v>42535</v>
      </c>
      <c r="C697" s="1">
        <v>114</v>
      </c>
      <c r="D697" s="1">
        <v>3000031378</v>
      </c>
      <c r="E697" s="1" t="s">
        <v>138</v>
      </c>
      <c r="F697" s="1">
        <v>8987</v>
      </c>
      <c r="G697" s="25">
        <v>42529</v>
      </c>
      <c r="H697" s="74"/>
      <c r="I697" s="74">
        <v>42531</v>
      </c>
      <c r="J697" s="1" t="s">
        <v>16</v>
      </c>
      <c r="K697" s="77">
        <v>29.35</v>
      </c>
      <c r="L697" s="1">
        <v>29.32</v>
      </c>
      <c r="M697" s="88">
        <f t="shared" si="85"/>
        <v>29.32</v>
      </c>
      <c r="N697" s="7">
        <f t="shared" si="83"/>
        <v>42545</v>
      </c>
      <c r="O697" s="1">
        <v>1467500</v>
      </c>
      <c r="P697" s="36">
        <f t="shared" si="86"/>
        <v>1466000</v>
      </c>
      <c r="Q697" s="178">
        <v>42551</v>
      </c>
      <c r="R697" s="66">
        <v>42551</v>
      </c>
      <c r="S697" s="187">
        <f t="shared" si="84"/>
        <v>6</v>
      </c>
    </row>
    <row r="698" spans="1:19" s="3" customFormat="1" hidden="1" x14ac:dyDescent="0.25">
      <c r="A698" s="30">
        <f>+closed!A651+1</f>
        <v>54</v>
      </c>
      <c r="B698" s="24">
        <v>42538</v>
      </c>
      <c r="C698" s="1">
        <v>114</v>
      </c>
      <c r="D698" s="1">
        <v>3000031439</v>
      </c>
      <c r="E698" s="1" t="s">
        <v>138</v>
      </c>
      <c r="F698" s="1">
        <v>8988</v>
      </c>
      <c r="G698" s="25">
        <v>42532</v>
      </c>
      <c r="H698" s="74"/>
      <c r="I698" s="74">
        <v>42534</v>
      </c>
      <c r="J698" s="1" t="s">
        <v>16</v>
      </c>
      <c r="K698" s="77">
        <v>26</v>
      </c>
      <c r="L698" s="1">
        <v>25.94</v>
      </c>
      <c r="M698" s="88">
        <f t="shared" si="85"/>
        <v>25.94</v>
      </c>
      <c r="N698" s="7">
        <f t="shared" si="83"/>
        <v>42548</v>
      </c>
      <c r="O698" s="1">
        <v>1307800</v>
      </c>
      <c r="P698" s="36">
        <f t="shared" si="86"/>
        <v>1304782</v>
      </c>
      <c r="Q698" s="178">
        <v>42551</v>
      </c>
      <c r="R698" s="66">
        <v>42551</v>
      </c>
      <c r="S698" s="187">
        <f t="shared" si="84"/>
        <v>3</v>
      </c>
    </row>
    <row r="699" spans="1:19" s="3" customFormat="1" hidden="1" x14ac:dyDescent="0.25">
      <c r="A699" s="30">
        <f>+closed!A690+1</f>
        <v>11</v>
      </c>
      <c r="B699" s="24">
        <v>42541</v>
      </c>
      <c r="C699" s="1">
        <v>114</v>
      </c>
      <c r="D699" s="1">
        <v>3000030410</v>
      </c>
      <c r="E699" s="1" t="s">
        <v>138</v>
      </c>
      <c r="F699" s="1">
        <v>8989</v>
      </c>
      <c r="G699" s="25">
        <v>42532</v>
      </c>
      <c r="H699" s="74"/>
      <c r="I699" s="74">
        <v>42536</v>
      </c>
      <c r="J699" s="1" t="s">
        <v>8</v>
      </c>
      <c r="K699" s="77">
        <v>30.45</v>
      </c>
      <c r="L699" s="1">
        <v>30.35</v>
      </c>
      <c r="M699" s="88">
        <f t="shared" si="85"/>
        <v>30.35</v>
      </c>
      <c r="N699" s="7">
        <f t="shared" si="83"/>
        <v>42550</v>
      </c>
      <c r="O699" s="1">
        <v>1662570</v>
      </c>
      <c r="P699" s="36">
        <f t="shared" si="86"/>
        <v>1657110</v>
      </c>
      <c r="Q699" s="178">
        <v>42551</v>
      </c>
      <c r="R699" s="66">
        <v>42551</v>
      </c>
      <c r="S699" s="187">
        <f t="shared" si="84"/>
        <v>1</v>
      </c>
    </row>
    <row r="700" spans="1:19" s="3" customFormat="1" hidden="1" x14ac:dyDescent="0.25">
      <c r="A700" s="30">
        <f>+closed!A699+1</f>
        <v>12</v>
      </c>
      <c r="B700" s="24">
        <v>42541</v>
      </c>
      <c r="C700" s="1">
        <v>114</v>
      </c>
      <c r="D700" s="1">
        <v>3000031439</v>
      </c>
      <c r="E700" s="1" t="s">
        <v>138</v>
      </c>
      <c r="F700" s="1">
        <v>8990</v>
      </c>
      <c r="G700" s="25">
        <v>42533</v>
      </c>
      <c r="H700" s="74"/>
      <c r="I700" s="74">
        <v>42535</v>
      </c>
      <c r="J700" s="1" t="s">
        <v>16</v>
      </c>
      <c r="K700" s="77">
        <v>26.16</v>
      </c>
      <c r="L700" s="1">
        <v>26.11</v>
      </c>
      <c r="M700" s="88">
        <f t="shared" si="85"/>
        <v>26.11</v>
      </c>
      <c r="N700" s="7">
        <f t="shared" si="83"/>
        <v>42549</v>
      </c>
      <c r="O700" s="1">
        <v>1315848</v>
      </c>
      <c r="P700" s="36">
        <f t="shared" si="86"/>
        <v>1313333</v>
      </c>
      <c r="Q700" s="178">
        <v>42551</v>
      </c>
      <c r="R700" s="66">
        <v>42551</v>
      </c>
      <c r="S700" s="187">
        <f t="shared" si="84"/>
        <v>2</v>
      </c>
    </row>
    <row r="701" spans="1:19" s="3" customFormat="1" hidden="1" x14ac:dyDescent="0.25">
      <c r="A701" s="30">
        <f>+closed!A722+1</f>
        <v>26</v>
      </c>
      <c r="B701" s="24">
        <v>42527</v>
      </c>
      <c r="C701" s="1">
        <v>114</v>
      </c>
      <c r="D701" s="1">
        <v>3000029756</v>
      </c>
      <c r="E701" s="1" t="s">
        <v>17</v>
      </c>
      <c r="F701" s="1">
        <v>45</v>
      </c>
      <c r="G701" s="25">
        <v>42518</v>
      </c>
      <c r="H701" s="74"/>
      <c r="I701" s="74">
        <v>42523</v>
      </c>
      <c r="J701" s="1" t="s">
        <v>8</v>
      </c>
      <c r="K701" s="77">
        <v>23.22</v>
      </c>
      <c r="L701" s="1">
        <v>23.17</v>
      </c>
      <c r="M701" s="1">
        <f t="shared" si="85"/>
        <v>23.17</v>
      </c>
      <c r="N701" s="7">
        <f t="shared" si="83"/>
        <v>42537</v>
      </c>
      <c r="O701" s="1">
        <v>1288710</v>
      </c>
      <c r="P701" s="107">
        <f t="shared" si="86"/>
        <v>1285935</v>
      </c>
      <c r="Q701" s="178">
        <v>42551</v>
      </c>
      <c r="R701" s="66">
        <v>42551</v>
      </c>
      <c r="S701" s="187">
        <f t="shared" si="84"/>
        <v>14</v>
      </c>
    </row>
    <row r="702" spans="1:19" s="3" customFormat="1" hidden="1" x14ac:dyDescent="0.25">
      <c r="A702" s="30">
        <f>+closed!A714+1</f>
        <v>75</v>
      </c>
      <c r="B702" s="24">
        <v>42531</v>
      </c>
      <c r="C702" s="1">
        <v>114</v>
      </c>
      <c r="D702" s="1">
        <v>3000029756</v>
      </c>
      <c r="E702" s="1" t="s">
        <v>17</v>
      </c>
      <c r="F702" s="16">
        <v>46</v>
      </c>
      <c r="G702" s="25">
        <v>42521</v>
      </c>
      <c r="H702" s="74"/>
      <c r="I702" s="74">
        <v>42525</v>
      </c>
      <c r="J702" s="1" t="s">
        <v>8</v>
      </c>
      <c r="K702" s="77">
        <v>11.79</v>
      </c>
      <c r="L702" s="1">
        <v>11.71</v>
      </c>
      <c r="M702" s="88">
        <f t="shared" si="85"/>
        <v>11.71</v>
      </c>
      <c r="N702" s="7">
        <f t="shared" si="83"/>
        <v>42539</v>
      </c>
      <c r="O702" s="1">
        <v>654345</v>
      </c>
      <c r="P702" s="107">
        <f t="shared" si="86"/>
        <v>649905.00000000012</v>
      </c>
      <c r="Q702" s="178">
        <v>42551</v>
      </c>
      <c r="R702" s="66">
        <v>42551</v>
      </c>
      <c r="S702" s="187">
        <f t="shared" si="84"/>
        <v>12</v>
      </c>
    </row>
    <row r="703" spans="1:19" s="3" customFormat="1" hidden="1" x14ac:dyDescent="0.25">
      <c r="A703" s="30">
        <f>+closed!A702+1</f>
        <v>76</v>
      </c>
      <c r="B703" s="24">
        <v>42531</v>
      </c>
      <c r="C703" s="1">
        <v>114</v>
      </c>
      <c r="D703" s="1">
        <v>3000029860</v>
      </c>
      <c r="E703" s="1" t="s">
        <v>17</v>
      </c>
      <c r="F703" s="16">
        <v>47</v>
      </c>
      <c r="G703" s="25">
        <v>42521</v>
      </c>
      <c r="H703" s="74"/>
      <c r="I703" s="74">
        <v>42525</v>
      </c>
      <c r="J703" s="1" t="s">
        <v>8</v>
      </c>
      <c r="K703" s="77">
        <v>19</v>
      </c>
      <c r="L703" s="1">
        <v>19</v>
      </c>
      <c r="M703" s="88">
        <f t="shared" si="85"/>
        <v>19</v>
      </c>
      <c r="N703" s="7">
        <f t="shared" si="83"/>
        <v>42539</v>
      </c>
      <c r="O703" s="1">
        <v>1031700</v>
      </c>
      <c r="P703" s="107">
        <f t="shared" si="86"/>
        <v>1031700</v>
      </c>
      <c r="Q703" s="178">
        <v>42551</v>
      </c>
      <c r="R703" s="66">
        <v>42551</v>
      </c>
      <c r="S703" s="187">
        <f t="shared" si="84"/>
        <v>12</v>
      </c>
    </row>
    <row r="704" spans="1:19" s="3" customFormat="1" hidden="1" x14ac:dyDescent="0.25">
      <c r="A704" s="30">
        <f>+closed!A703+1</f>
        <v>77</v>
      </c>
      <c r="B704" s="24">
        <v>42531</v>
      </c>
      <c r="C704" s="1">
        <v>114</v>
      </c>
      <c r="D704" s="1">
        <v>3000029860</v>
      </c>
      <c r="E704" s="1" t="s">
        <v>17</v>
      </c>
      <c r="F704" s="1">
        <v>51</v>
      </c>
      <c r="G704" s="25">
        <v>42524</v>
      </c>
      <c r="H704" s="74"/>
      <c r="I704" s="74">
        <v>42529</v>
      </c>
      <c r="J704" s="1" t="s">
        <v>8</v>
      </c>
      <c r="K704" s="77">
        <v>27.23</v>
      </c>
      <c r="L704" s="1">
        <v>27.15</v>
      </c>
      <c r="M704" s="88">
        <f t="shared" si="85"/>
        <v>27.15</v>
      </c>
      <c r="N704" s="7">
        <f t="shared" si="83"/>
        <v>42543</v>
      </c>
      <c r="O704" s="1">
        <v>1478589</v>
      </c>
      <c r="P704" s="107">
        <f t="shared" si="86"/>
        <v>1474245</v>
      </c>
      <c r="Q704" s="178">
        <v>42551</v>
      </c>
      <c r="R704" s="66">
        <v>42551</v>
      </c>
      <c r="S704" s="187">
        <f t="shared" si="84"/>
        <v>8</v>
      </c>
    </row>
    <row r="705" spans="1:19" s="3" customFormat="1" hidden="1" x14ac:dyDescent="0.25">
      <c r="A705" s="30">
        <f>+closed!A718+1</f>
        <v>56</v>
      </c>
      <c r="B705" s="24">
        <v>42538</v>
      </c>
      <c r="C705" s="1">
        <v>114</v>
      </c>
      <c r="D705" s="1">
        <v>3000029860</v>
      </c>
      <c r="E705" s="1" t="s">
        <v>17</v>
      </c>
      <c r="F705" s="1">
        <v>53</v>
      </c>
      <c r="G705" s="25">
        <v>42532</v>
      </c>
      <c r="H705" s="74"/>
      <c r="I705" s="74">
        <v>42534</v>
      </c>
      <c r="J705" s="1" t="s">
        <v>8</v>
      </c>
      <c r="K705" s="77">
        <v>27.38</v>
      </c>
      <c r="L705" s="1">
        <v>27.33</v>
      </c>
      <c r="M705" s="88">
        <f t="shared" si="85"/>
        <v>27.33</v>
      </c>
      <c r="N705" s="7">
        <f t="shared" si="83"/>
        <v>42548</v>
      </c>
      <c r="O705" s="1">
        <v>1486734</v>
      </c>
      <c r="P705" s="107">
        <f t="shared" si="86"/>
        <v>1484019</v>
      </c>
      <c r="Q705" s="178">
        <v>42551</v>
      </c>
      <c r="R705" s="66">
        <v>42551</v>
      </c>
      <c r="S705" s="187">
        <f t="shared" si="84"/>
        <v>3</v>
      </c>
    </row>
    <row r="706" spans="1:19" s="3" customFormat="1" hidden="1" x14ac:dyDescent="0.25">
      <c r="A706" s="30">
        <f>+closed!A696+1</f>
        <v>16</v>
      </c>
      <c r="B706" s="24">
        <v>42527</v>
      </c>
      <c r="C706" s="1">
        <v>114</v>
      </c>
      <c r="D706" s="1">
        <v>3000028331</v>
      </c>
      <c r="E706" s="1" t="s">
        <v>15</v>
      </c>
      <c r="F706" s="1">
        <v>3056</v>
      </c>
      <c r="G706" s="25">
        <v>42517</v>
      </c>
      <c r="H706" s="74"/>
      <c r="I706" s="74">
        <v>42523</v>
      </c>
      <c r="J706" s="1" t="s">
        <v>16</v>
      </c>
      <c r="K706" s="77">
        <v>18.704999999999998</v>
      </c>
      <c r="L706" s="1">
        <v>18.649999999999999</v>
      </c>
      <c r="M706" s="1">
        <f t="shared" si="85"/>
        <v>18.649999999999999</v>
      </c>
      <c r="N706" s="7">
        <f t="shared" si="83"/>
        <v>42537</v>
      </c>
      <c r="O706" s="1">
        <v>907193</v>
      </c>
      <c r="P706" s="36">
        <f t="shared" si="86"/>
        <v>904525.49852980487</v>
      </c>
      <c r="Q706" s="178">
        <v>42551</v>
      </c>
      <c r="R706" s="66">
        <v>42552</v>
      </c>
      <c r="S706" s="187">
        <f t="shared" si="84"/>
        <v>15</v>
      </c>
    </row>
    <row r="707" spans="1:19" s="3" customFormat="1" hidden="1" x14ac:dyDescent="0.25">
      <c r="A707" s="30">
        <f>+closed!A597+1</f>
        <v>19</v>
      </c>
      <c r="B707" s="24">
        <v>42527</v>
      </c>
      <c r="C707" s="1">
        <v>114</v>
      </c>
      <c r="D707" s="1">
        <v>3000030052</v>
      </c>
      <c r="E707" s="1" t="s">
        <v>15</v>
      </c>
      <c r="F707" s="1">
        <v>3060</v>
      </c>
      <c r="G707" s="25">
        <v>42520</v>
      </c>
      <c r="H707" s="74"/>
      <c r="I707" s="74">
        <v>42524</v>
      </c>
      <c r="J707" s="1" t="s">
        <v>8</v>
      </c>
      <c r="K707" s="77">
        <v>27.954999999999998</v>
      </c>
      <c r="L707" s="1">
        <v>27.91</v>
      </c>
      <c r="M707" s="1">
        <f t="shared" si="85"/>
        <v>27.91</v>
      </c>
      <c r="N707" s="7">
        <f t="shared" si="83"/>
        <v>42538</v>
      </c>
      <c r="O707" s="1">
        <v>1523548</v>
      </c>
      <c r="P707" s="36">
        <f t="shared" si="86"/>
        <v>1521095.4991951352</v>
      </c>
      <c r="Q707" s="178">
        <v>42551</v>
      </c>
      <c r="R707" s="66">
        <v>42552</v>
      </c>
      <c r="S707" s="187">
        <f t="shared" si="84"/>
        <v>14</v>
      </c>
    </row>
    <row r="708" spans="1:19" s="3" customFormat="1" hidden="1" x14ac:dyDescent="0.25">
      <c r="A708" s="30">
        <f>+closed!A707+1</f>
        <v>20</v>
      </c>
      <c r="B708" s="24">
        <v>42527</v>
      </c>
      <c r="C708" s="1">
        <v>114</v>
      </c>
      <c r="D708" s="1">
        <v>3000028871</v>
      </c>
      <c r="E708" s="1" t="s">
        <v>15</v>
      </c>
      <c r="F708" s="16">
        <v>3065</v>
      </c>
      <c r="G708" s="25">
        <v>42522</v>
      </c>
      <c r="H708" s="74"/>
      <c r="I708" s="74">
        <v>42524</v>
      </c>
      <c r="J708" s="1" t="s">
        <v>8</v>
      </c>
      <c r="K708" s="77">
        <v>6.3650000000000002</v>
      </c>
      <c r="L708" s="1">
        <v>6.3650000000000002</v>
      </c>
      <c r="M708" s="1">
        <f t="shared" si="85"/>
        <v>6.3650000000000002</v>
      </c>
      <c r="N708" s="7">
        <f t="shared" si="83"/>
        <v>42538</v>
      </c>
      <c r="O708" s="1">
        <v>289608</v>
      </c>
      <c r="P708" s="36">
        <f t="shared" si="86"/>
        <v>289608</v>
      </c>
      <c r="Q708" s="178">
        <v>42551</v>
      </c>
      <c r="R708" s="66">
        <v>42552</v>
      </c>
      <c r="S708" s="187">
        <f t="shared" si="84"/>
        <v>14</v>
      </c>
    </row>
    <row r="709" spans="1:19" s="3" customFormat="1" hidden="1" x14ac:dyDescent="0.25">
      <c r="A709" s="30">
        <f>+closed!A708+1</f>
        <v>21</v>
      </c>
      <c r="B709" s="24">
        <v>42527</v>
      </c>
      <c r="C709" s="1">
        <v>114</v>
      </c>
      <c r="D709" s="1">
        <v>3000030052</v>
      </c>
      <c r="E709" s="1" t="s">
        <v>15</v>
      </c>
      <c r="F709" s="16">
        <v>3065</v>
      </c>
      <c r="G709" s="25">
        <v>42522</v>
      </c>
      <c r="H709" s="74"/>
      <c r="I709" s="74">
        <v>42524</v>
      </c>
      <c r="J709" s="1" t="s">
        <v>8</v>
      </c>
      <c r="K709" s="77">
        <v>15</v>
      </c>
      <c r="L709" s="1">
        <v>14.914999999999999</v>
      </c>
      <c r="M709" s="1">
        <f t="shared" si="85"/>
        <v>14.914999999999999</v>
      </c>
      <c r="N709" s="7">
        <f t="shared" ref="N709:N741" si="87">+I709+15-1</f>
        <v>42538</v>
      </c>
      <c r="O709" s="1">
        <v>817500</v>
      </c>
      <c r="P709" s="36">
        <f t="shared" si="86"/>
        <v>812867.5</v>
      </c>
      <c r="Q709" s="178">
        <v>42551</v>
      </c>
      <c r="R709" s="66">
        <v>42552</v>
      </c>
      <c r="S709" s="187">
        <f t="shared" ref="S709:S740" si="88">R709-N709</f>
        <v>14</v>
      </c>
    </row>
    <row r="710" spans="1:19" s="3" customFormat="1" hidden="1" x14ac:dyDescent="0.25">
      <c r="A710" s="30">
        <f>+closed!A709+1</f>
        <v>22</v>
      </c>
      <c r="B710" s="24">
        <v>42527</v>
      </c>
      <c r="C710" s="1">
        <v>114</v>
      </c>
      <c r="D710" s="1">
        <v>3000028667</v>
      </c>
      <c r="E710" s="1" t="s">
        <v>15</v>
      </c>
      <c r="F710" s="16">
        <v>3065</v>
      </c>
      <c r="G710" s="25">
        <v>42522</v>
      </c>
      <c r="H710" s="74"/>
      <c r="I710" s="74">
        <v>42524</v>
      </c>
      <c r="J710" s="1" t="s">
        <v>8</v>
      </c>
      <c r="K710" s="77">
        <v>8</v>
      </c>
      <c r="L710" s="1">
        <v>8</v>
      </c>
      <c r="M710" s="1">
        <f t="shared" si="85"/>
        <v>8</v>
      </c>
      <c r="N710" s="7">
        <f t="shared" si="87"/>
        <v>42538</v>
      </c>
      <c r="O710" s="1">
        <v>369600</v>
      </c>
      <c r="P710" s="36">
        <f t="shared" si="86"/>
        <v>369600</v>
      </c>
      <c r="Q710" s="178">
        <v>42551</v>
      </c>
      <c r="R710" s="66">
        <v>42552</v>
      </c>
      <c r="S710" s="187">
        <f t="shared" si="88"/>
        <v>14</v>
      </c>
    </row>
    <row r="711" spans="1:19" s="3" customFormat="1" hidden="1" x14ac:dyDescent="0.25">
      <c r="A711" s="30">
        <f>+closed!A710+1</f>
        <v>23</v>
      </c>
      <c r="B711" s="24">
        <v>42527</v>
      </c>
      <c r="C711" s="1">
        <v>114</v>
      </c>
      <c r="D711" s="1">
        <v>3000030906</v>
      </c>
      <c r="E711" s="1" t="s">
        <v>15</v>
      </c>
      <c r="F711" s="1">
        <v>3066</v>
      </c>
      <c r="G711" s="25">
        <v>42522</v>
      </c>
      <c r="H711" s="74"/>
      <c r="I711" s="74">
        <v>42525</v>
      </c>
      <c r="J711" s="1" t="s">
        <v>16</v>
      </c>
      <c r="K711" s="77">
        <v>27.76</v>
      </c>
      <c r="L711" s="1">
        <v>27.72</v>
      </c>
      <c r="M711" s="1">
        <f t="shared" si="85"/>
        <v>27.72</v>
      </c>
      <c r="N711" s="7">
        <f t="shared" si="87"/>
        <v>42539</v>
      </c>
      <c r="O711" s="1">
        <v>1396328</v>
      </c>
      <c r="P711" s="36">
        <f t="shared" si="86"/>
        <v>1394316</v>
      </c>
      <c r="Q711" s="178">
        <v>42551</v>
      </c>
      <c r="R711" s="66">
        <v>42552</v>
      </c>
      <c r="S711" s="187">
        <f t="shared" si="88"/>
        <v>13</v>
      </c>
    </row>
    <row r="712" spans="1:19" s="3" customFormat="1" hidden="1" x14ac:dyDescent="0.25">
      <c r="A712" s="30">
        <f>+closed!A711+1</f>
        <v>24</v>
      </c>
      <c r="B712" s="24">
        <v>42527</v>
      </c>
      <c r="C712" s="1">
        <v>114</v>
      </c>
      <c r="D712" s="1">
        <v>3000030906</v>
      </c>
      <c r="E712" s="1" t="s">
        <v>15</v>
      </c>
      <c r="F712" s="1">
        <v>3067</v>
      </c>
      <c r="G712" s="25">
        <v>42522</v>
      </c>
      <c r="H712" s="74"/>
      <c r="I712" s="74">
        <v>42524</v>
      </c>
      <c r="J712" s="1" t="s">
        <v>16</v>
      </c>
      <c r="K712" s="77">
        <v>19.45</v>
      </c>
      <c r="L712" s="1">
        <v>19.37</v>
      </c>
      <c r="M712" s="1">
        <f t="shared" si="85"/>
        <v>19.37</v>
      </c>
      <c r="N712" s="7">
        <f t="shared" si="87"/>
        <v>42538</v>
      </c>
      <c r="O712" s="1">
        <v>978335</v>
      </c>
      <c r="P712" s="36">
        <f t="shared" si="86"/>
        <v>974311</v>
      </c>
      <c r="Q712" s="178">
        <v>42551</v>
      </c>
      <c r="R712" s="66">
        <v>42552</v>
      </c>
      <c r="S712" s="187">
        <f t="shared" si="88"/>
        <v>14</v>
      </c>
    </row>
    <row r="713" spans="1:19" s="3" customFormat="1" hidden="1" x14ac:dyDescent="0.25">
      <c r="A713" s="30">
        <f>+closed!A666+1</f>
        <v>73</v>
      </c>
      <c r="B713" s="24">
        <v>42531</v>
      </c>
      <c r="C713" s="1">
        <v>114</v>
      </c>
      <c r="D713" s="1">
        <v>3000030305</v>
      </c>
      <c r="E713" s="1" t="s">
        <v>15</v>
      </c>
      <c r="F713" s="1">
        <v>3068</v>
      </c>
      <c r="G713" s="25">
        <v>42524</v>
      </c>
      <c r="H713" s="74"/>
      <c r="I713" s="74">
        <v>42528</v>
      </c>
      <c r="J713" s="1" t="s">
        <v>8</v>
      </c>
      <c r="K713" s="77">
        <v>38.18</v>
      </c>
      <c r="L713" s="1">
        <v>38.11</v>
      </c>
      <c r="M713" s="88">
        <f t="shared" si="85"/>
        <v>38.11</v>
      </c>
      <c r="N713" s="7">
        <f t="shared" si="87"/>
        <v>42542</v>
      </c>
      <c r="O713" s="1">
        <v>2130444</v>
      </c>
      <c r="P713" s="36">
        <f t="shared" si="86"/>
        <v>2126538</v>
      </c>
      <c r="Q713" s="178">
        <v>42551</v>
      </c>
      <c r="R713" s="66">
        <v>42552</v>
      </c>
      <c r="S713" s="187">
        <f t="shared" si="88"/>
        <v>10</v>
      </c>
    </row>
    <row r="714" spans="1:19" s="3" customFormat="1" hidden="1" x14ac:dyDescent="0.25">
      <c r="A714" s="30">
        <f>+closed!A713+1</f>
        <v>74</v>
      </c>
      <c r="B714" s="24">
        <v>42531</v>
      </c>
      <c r="C714" s="1">
        <v>114</v>
      </c>
      <c r="D714" s="1">
        <v>3000030305</v>
      </c>
      <c r="E714" s="1" t="s">
        <v>15</v>
      </c>
      <c r="F714" s="1">
        <v>3069</v>
      </c>
      <c r="G714" s="25">
        <v>42526</v>
      </c>
      <c r="H714" s="74"/>
      <c r="I714" s="74">
        <v>42529</v>
      </c>
      <c r="J714" s="1" t="s">
        <v>8</v>
      </c>
      <c r="K714" s="77">
        <v>29.96</v>
      </c>
      <c r="L714" s="1">
        <v>29.85</v>
      </c>
      <c r="M714" s="88">
        <f t="shared" si="85"/>
        <v>29.85</v>
      </c>
      <c r="N714" s="7">
        <f t="shared" si="87"/>
        <v>42543</v>
      </c>
      <c r="O714" s="1">
        <v>1671768</v>
      </c>
      <c r="P714" s="36">
        <f t="shared" si="86"/>
        <v>1665630</v>
      </c>
      <c r="Q714" s="178">
        <v>42551</v>
      </c>
      <c r="R714" s="66">
        <v>42552</v>
      </c>
      <c r="S714" s="187">
        <f t="shared" si="88"/>
        <v>9</v>
      </c>
    </row>
    <row r="715" spans="1:19" s="3" customFormat="1" hidden="1" x14ac:dyDescent="0.25">
      <c r="A715" s="30">
        <f>+closed!A736+1</f>
        <v>112</v>
      </c>
      <c r="B715" s="24">
        <v>42535</v>
      </c>
      <c r="C715" s="1">
        <v>114</v>
      </c>
      <c r="D715" s="1">
        <v>3000030412</v>
      </c>
      <c r="E715" s="1" t="s">
        <v>15</v>
      </c>
      <c r="F715" s="16">
        <v>3070</v>
      </c>
      <c r="G715" s="25">
        <v>42528</v>
      </c>
      <c r="H715" s="74"/>
      <c r="I715" s="74">
        <v>42531</v>
      </c>
      <c r="J715" s="1" t="s">
        <v>8</v>
      </c>
      <c r="K715" s="77">
        <v>2.6</v>
      </c>
      <c r="L715" s="1">
        <v>2.6</v>
      </c>
      <c r="M715" s="88">
        <f t="shared" si="85"/>
        <v>2.6</v>
      </c>
      <c r="N715" s="7">
        <f t="shared" si="87"/>
        <v>42545</v>
      </c>
      <c r="O715" s="1">
        <v>141960</v>
      </c>
      <c r="P715" s="36">
        <f t="shared" si="86"/>
        <v>141960</v>
      </c>
      <c r="Q715" s="178">
        <v>42551</v>
      </c>
      <c r="R715" s="66">
        <v>42552</v>
      </c>
      <c r="S715" s="187">
        <f t="shared" si="88"/>
        <v>7</v>
      </c>
    </row>
    <row r="716" spans="1:19" s="3" customFormat="1" hidden="1" x14ac:dyDescent="0.25">
      <c r="A716" s="30">
        <f>+closed!A715+1</f>
        <v>113</v>
      </c>
      <c r="B716" s="24">
        <v>42535</v>
      </c>
      <c r="C716" s="1">
        <v>114</v>
      </c>
      <c r="D716" s="1">
        <v>3000028871</v>
      </c>
      <c r="E716" s="1" t="s">
        <v>15</v>
      </c>
      <c r="F716" s="16">
        <v>3070</v>
      </c>
      <c r="G716" s="25">
        <v>42528</v>
      </c>
      <c r="H716" s="74"/>
      <c r="I716" s="74">
        <v>42531</v>
      </c>
      <c r="J716" s="1" t="s">
        <v>8</v>
      </c>
      <c r="K716" s="77">
        <v>20</v>
      </c>
      <c r="L716" s="1">
        <v>20</v>
      </c>
      <c r="M716" s="88">
        <f t="shared" si="85"/>
        <v>20</v>
      </c>
      <c r="N716" s="7">
        <f t="shared" si="87"/>
        <v>42545</v>
      </c>
      <c r="O716" s="1">
        <v>910000</v>
      </c>
      <c r="P716" s="36">
        <f t="shared" si="86"/>
        <v>910000</v>
      </c>
      <c r="Q716" s="178">
        <v>42551</v>
      </c>
      <c r="R716" s="66">
        <v>42552</v>
      </c>
      <c r="S716" s="187">
        <f t="shared" si="88"/>
        <v>7</v>
      </c>
    </row>
    <row r="717" spans="1:19" s="3" customFormat="1" hidden="1" x14ac:dyDescent="0.25">
      <c r="A717" s="30">
        <f>+closed!A716+1</f>
        <v>114</v>
      </c>
      <c r="B717" s="24">
        <v>42535</v>
      </c>
      <c r="C717" s="1">
        <v>114</v>
      </c>
      <c r="D717" s="1">
        <v>3000030305</v>
      </c>
      <c r="E717" s="1" t="s">
        <v>15</v>
      </c>
      <c r="F717" s="16">
        <v>3070</v>
      </c>
      <c r="G717" s="25">
        <v>42528</v>
      </c>
      <c r="H717" s="74"/>
      <c r="I717" s="74">
        <v>42531</v>
      </c>
      <c r="J717" s="1" t="s">
        <v>8</v>
      </c>
      <c r="K717" s="77">
        <v>6.8550000000000004</v>
      </c>
      <c r="L717" s="1">
        <v>6.81</v>
      </c>
      <c r="M717" s="88">
        <f t="shared" si="85"/>
        <v>6.81</v>
      </c>
      <c r="N717" s="7">
        <f t="shared" si="87"/>
        <v>42545</v>
      </c>
      <c r="O717" s="1">
        <v>382509</v>
      </c>
      <c r="P717" s="36">
        <f t="shared" si="86"/>
        <v>379998</v>
      </c>
      <c r="Q717" s="178">
        <v>42551</v>
      </c>
      <c r="R717" s="66">
        <v>42552</v>
      </c>
      <c r="S717" s="187">
        <f t="shared" si="88"/>
        <v>7</v>
      </c>
    </row>
    <row r="718" spans="1:19" s="3" customFormat="1" hidden="1" x14ac:dyDescent="0.25">
      <c r="A718" s="30">
        <f>+closed!A698+1</f>
        <v>55</v>
      </c>
      <c r="B718" s="24">
        <v>42538</v>
      </c>
      <c r="C718" s="1">
        <v>114</v>
      </c>
      <c r="D718" s="1">
        <v>3000030412</v>
      </c>
      <c r="E718" s="1" t="s">
        <v>15</v>
      </c>
      <c r="F718" s="1">
        <v>3073</v>
      </c>
      <c r="G718" s="25">
        <v>42532</v>
      </c>
      <c r="H718" s="74"/>
      <c r="I718" s="74">
        <v>42534</v>
      </c>
      <c r="J718" s="1" t="s">
        <v>8</v>
      </c>
      <c r="K718" s="77">
        <v>26.504999999999999</v>
      </c>
      <c r="L718" s="1">
        <v>26.44</v>
      </c>
      <c r="M718" s="88">
        <f t="shared" si="85"/>
        <v>26.44</v>
      </c>
      <c r="N718" s="7">
        <f t="shared" si="87"/>
        <v>42548</v>
      </c>
      <c r="O718" s="1">
        <v>1447173</v>
      </c>
      <c r="P718" s="36">
        <f t="shared" si="86"/>
        <v>1443624</v>
      </c>
      <c r="Q718" s="178">
        <v>42551</v>
      </c>
      <c r="R718" s="66">
        <v>42552</v>
      </c>
      <c r="S718" s="187">
        <f t="shared" si="88"/>
        <v>4</v>
      </c>
    </row>
    <row r="719" spans="1:19" s="3" customFormat="1" hidden="1" x14ac:dyDescent="0.25">
      <c r="A719" s="30">
        <f>+closed!A700+1</f>
        <v>13</v>
      </c>
      <c r="B719" s="24">
        <v>42541</v>
      </c>
      <c r="C719" s="1">
        <v>114</v>
      </c>
      <c r="D719" s="1">
        <v>3000030921</v>
      </c>
      <c r="E719" s="1" t="s">
        <v>15</v>
      </c>
      <c r="F719" s="16">
        <v>3074</v>
      </c>
      <c r="G719" s="25">
        <v>42533</v>
      </c>
      <c r="H719" s="74"/>
      <c r="I719" s="74">
        <v>42535</v>
      </c>
      <c r="J719" s="1" t="s">
        <v>8</v>
      </c>
      <c r="K719" s="77">
        <v>10</v>
      </c>
      <c r="L719" s="1">
        <v>10</v>
      </c>
      <c r="M719" s="88">
        <f t="shared" si="85"/>
        <v>10</v>
      </c>
      <c r="N719" s="7">
        <f t="shared" si="87"/>
        <v>42549</v>
      </c>
      <c r="O719" s="1">
        <v>530000</v>
      </c>
      <c r="P719" s="36">
        <f t="shared" si="86"/>
        <v>530000</v>
      </c>
      <c r="Q719" s="178">
        <v>42551</v>
      </c>
      <c r="R719" s="66">
        <v>42552</v>
      </c>
      <c r="S719" s="187">
        <f t="shared" si="88"/>
        <v>3</v>
      </c>
    </row>
    <row r="720" spans="1:19" s="3" customFormat="1" hidden="1" x14ac:dyDescent="0.25">
      <c r="A720" s="30">
        <f>+closed!A719+1</f>
        <v>14</v>
      </c>
      <c r="B720" s="24">
        <v>42541</v>
      </c>
      <c r="C720" s="1">
        <v>114</v>
      </c>
      <c r="D720" s="1">
        <v>3000030412</v>
      </c>
      <c r="E720" s="1" t="s">
        <v>15</v>
      </c>
      <c r="F720" s="16">
        <v>3074</v>
      </c>
      <c r="G720" s="25">
        <v>42533</v>
      </c>
      <c r="H720" s="74"/>
      <c r="I720" s="74">
        <v>42535</v>
      </c>
      <c r="J720" s="1" t="s">
        <v>8</v>
      </c>
      <c r="K720" s="77">
        <v>15.935</v>
      </c>
      <c r="L720" s="1">
        <v>15.86</v>
      </c>
      <c r="M720" s="88">
        <f t="shared" si="85"/>
        <v>15.86</v>
      </c>
      <c r="N720" s="7">
        <f t="shared" si="87"/>
        <v>42549</v>
      </c>
      <c r="O720" s="1">
        <v>870051</v>
      </c>
      <c r="P720" s="36">
        <f t="shared" si="86"/>
        <v>865956</v>
      </c>
      <c r="Q720" s="178">
        <v>42551</v>
      </c>
      <c r="R720" s="66">
        <v>42552</v>
      </c>
      <c r="S720" s="187">
        <f t="shared" si="88"/>
        <v>3</v>
      </c>
    </row>
    <row r="721" spans="1:19" s="3" customFormat="1" hidden="1" x14ac:dyDescent="0.25">
      <c r="A721" s="30">
        <f>+closed!A720+1</f>
        <v>15</v>
      </c>
      <c r="B721" s="24">
        <v>42541</v>
      </c>
      <c r="C721" s="1">
        <v>114</v>
      </c>
      <c r="D721" s="1">
        <v>3000028871</v>
      </c>
      <c r="E721" s="1" t="s">
        <v>15</v>
      </c>
      <c r="F721" s="16">
        <v>3074</v>
      </c>
      <c r="G721" s="25">
        <v>42533</v>
      </c>
      <c r="H721" s="74"/>
      <c r="I721" s="74">
        <v>42535</v>
      </c>
      <c r="J721" s="1" t="s">
        <v>8</v>
      </c>
      <c r="K721" s="77">
        <v>2</v>
      </c>
      <c r="L721" s="1">
        <v>2</v>
      </c>
      <c r="M721" s="88">
        <f t="shared" si="85"/>
        <v>2</v>
      </c>
      <c r="N721" s="7">
        <f t="shared" si="87"/>
        <v>42549</v>
      </c>
      <c r="O721" s="1">
        <v>91000</v>
      </c>
      <c r="P721" s="36">
        <f t="shared" si="86"/>
        <v>91000</v>
      </c>
      <c r="Q721" s="178">
        <v>42551</v>
      </c>
      <c r="R721" s="66">
        <v>42552</v>
      </c>
      <c r="S721" s="187">
        <f t="shared" si="88"/>
        <v>3</v>
      </c>
    </row>
    <row r="722" spans="1:19" s="3" customFormat="1" hidden="1" x14ac:dyDescent="0.25">
      <c r="A722" s="30">
        <f>+closed!A712+1</f>
        <v>25</v>
      </c>
      <c r="B722" s="24">
        <v>42527</v>
      </c>
      <c r="C722" s="1">
        <v>114</v>
      </c>
      <c r="D722" s="1">
        <v>3000029897</v>
      </c>
      <c r="E722" s="1" t="s">
        <v>30</v>
      </c>
      <c r="F722" s="1">
        <v>113</v>
      </c>
      <c r="G722" s="25">
        <v>42522</v>
      </c>
      <c r="H722" s="74"/>
      <c r="I722" s="74">
        <v>42525</v>
      </c>
      <c r="J722" s="1" t="s">
        <v>31</v>
      </c>
      <c r="K722" s="77">
        <v>27.6</v>
      </c>
      <c r="L722" s="1">
        <v>27.5</v>
      </c>
      <c r="M722" s="1">
        <f t="shared" si="85"/>
        <v>27.5</v>
      </c>
      <c r="N722" s="7">
        <f t="shared" si="87"/>
        <v>42539</v>
      </c>
      <c r="O722" s="1">
        <v>1407600</v>
      </c>
      <c r="P722" s="107">
        <f t="shared" si="86"/>
        <v>1402500</v>
      </c>
      <c r="Q722" s="178">
        <v>42551</v>
      </c>
      <c r="R722" s="66">
        <v>42551</v>
      </c>
      <c r="S722" s="187">
        <f t="shared" si="88"/>
        <v>12</v>
      </c>
    </row>
    <row r="723" spans="1:19" s="3" customFormat="1" hidden="1" x14ac:dyDescent="0.25">
      <c r="A723" s="30">
        <f>+closed!A697+1</f>
        <v>116</v>
      </c>
      <c r="B723" s="24">
        <v>42535</v>
      </c>
      <c r="C723" s="1">
        <v>114</v>
      </c>
      <c r="D723" s="1">
        <v>3000029897</v>
      </c>
      <c r="E723" s="1" t="s">
        <v>30</v>
      </c>
      <c r="F723" s="1">
        <v>120</v>
      </c>
      <c r="G723" s="25">
        <v>42527</v>
      </c>
      <c r="H723" s="74"/>
      <c r="I723" s="74">
        <v>42530</v>
      </c>
      <c r="J723" s="1" t="s">
        <v>31</v>
      </c>
      <c r="K723" s="77">
        <v>27.18</v>
      </c>
      <c r="L723" s="1">
        <v>27.1</v>
      </c>
      <c r="M723" s="88">
        <f t="shared" si="85"/>
        <v>27.1</v>
      </c>
      <c r="N723" s="7">
        <f t="shared" si="87"/>
        <v>42544</v>
      </c>
      <c r="O723" s="1">
        <v>1386180</v>
      </c>
      <c r="P723" s="107">
        <f t="shared" si="86"/>
        <v>1382100</v>
      </c>
      <c r="Q723" s="178">
        <v>42551</v>
      </c>
      <c r="R723" s="66">
        <v>42551</v>
      </c>
      <c r="S723" s="187">
        <f t="shared" si="88"/>
        <v>7</v>
      </c>
    </row>
    <row r="724" spans="1:19" s="3" customFormat="1" hidden="1" x14ac:dyDescent="0.25">
      <c r="A724" s="30">
        <f>+closed!A675+1</f>
        <v>65</v>
      </c>
      <c r="B724" s="24">
        <v>42531</v>
      </c>
      <c r="C724" s="1">
        <v>114</v>
      </c>
      <c r="D724" s="1">
        <v>3000030841</v>
      </c>
      <c r="E724" s="39" t="s">
        <v>36</v>
      </c>
      <c r="F724" s="1">
        <v>1152</v>
      </c>
      <c r="G724" s="25">
        <v>42520</v>
      </c>
      <c r="H724" s="74"/>
      <c r="I724" s="74">
        <v>42527</v>
      </c>
      <c r="J724" s="1" t="s">
        <v>16</v>
      </c>
      <c r="K724" s="77">
        <v>21.46</v>
      </c>
      <c r="L724" s="1">
        <v>21.4</v>
      </c>
      <c r="M724" s="88">
        <f t="shared" si="85"/>
        <v>21.4</v>
      </c>
      <c r="N724" s="7">
        <f t="shared" si="87"/>
        <v>42541</v>
      </c>
      <c r="O724" s="1">
        <v>1094460</v>
      </c>
      <c r="P724" s="26">
        <f t="shared" si="86"/>
        <v>1091400</v>
      </c>
      <c r="Q724" s="178">
        <v>42551</v>
      </c>
      <c r="R724" s="66">
        <v>42551</v>
      </c>
      <c r="S724" s="187">
        <f t="shared" si="88"/>
        <v>10</v>
      </c>
    </row>
    <row r="725" spans="1:19" s="3" customFormat="1" hidden="1" x14ac:dyDescent="0.25">
      <c r="A725" s="30">
        <f>+closed!A840+1</f>
        <v>8</v>
      </c>
      <c r="B725" s="24">
        <v>42538</v>
      </c>
      <c r="C725" s="1">
        <v>103</v>
      </c>
      <c r="D725" s="1" t="s">
        <v>173</v>
      </c>
      <c r="E725" s="1" t="s">
        <v>160</v>
      </c>
      <c r="F725" s="1">
        <v>3202901136</v>
      </c>
      <c r="G725" s="25">
        <v>42527</v>
      </c>
      <c r="H725" s="74"/>
      <c r="I725" s="74">
        <v>42527</v>
      </c>
      <c r="J725" s="1" t="s">
        <v>16</v>
      </c>
      <c r="K725" s="77">
        <v>27.36</v>
      </c>
      <c r="L725" s="1">
        <v>27.36</v>
      </c>
      <c r="M725" s="88">
        <f t="shared" si="85"/>
        <v>27.36</v>
      </c>
      <c r="N725" s="7">
        <f t="shared" si="87"/>
        <v>42541</v>
      </c>
      <c r="O725" s="1">
        <v>1290359</v>
      </c>
      <c r="P725" s="36">
        <f t="shared" si="86"/>
        <v>1290359</v>
      </c>
      <c r="Q725" s="178">
        <v>42551</v>
      </c>
      <c r="R725" s="66">
        <v>42552</v>
      </c>
      <c r="S725" s="187">
        <f t="shared" si="88"/>
        <v>11</v>
      </c>
    </row>
    <row r="726" spans="1:19" s="3" customFormat="1" hidden="1" x14ac:dyDescent="0.25">
      <c r="A726" s="30">
        <f>+closed!A538+1</f>
        <v>118</v>
      </c>
      <c r="B726" s="24">
        <v>42535</v>
      </c>
      <c r="C726" s="1">
        <v>103</v>
      </c>
      <c r="D726" s="1">
        <v>3000031147</v>
      </c>
      <c r="E726" s="1" t="s">
        <v>160</v>
      </c>
      <c r="F726" s="1">
        <v>3202901137</v>
      </c>
      <c r="G726" s="25">
        <v>42527</v>
      </c>
      <c r="H726" s="74"/>
      <c r="I726" s="74">
        <v>42527</v>
      </c>
      <c r="J726" s="1" t="s">
        <v>16</v>
      </c>
      <c r="K726" s="77">
        <v>27.274999999999999</v>
      </c>
      <c r="L726" s="1">
        <v>27.274999999999999</v>
      </c>
      <c r="M726" s="88">
        <f t="shared" si="85"/>
        <v>27.274999999999999</v>
      </c>
      <c r="N726" s="7">
        <f t="shared" si="87"/>
        <v>42541</v>
      </c>
      <c r="O726" s="1">
        <v>1286351</v>
      </c>
      <c r="P726" s="36">
        <f t="shared" ref="P726:P757" si="89">(+O726/K726*M726)</f>
        <v>1286351</v>
      </c>
      <c r="Q726" s="178">
        <v>42551</v>
      </c>
      <c r="R726" s="66">
        <v>42552</v>
      </c>
      <c r="S726" s="187">
        <f t="shared" si="88"/>
        <v>11</v>
      </c>
    </row>
    <row r="727" spans="1:19" s="3" customFormat="1" hidden="1" x14ac:dyDescent="0.25">
      <c r="A727" s="30">
        <f>+closed!A726+1</f>
        <v>119</v>
      </c>
      <c r="B727" s="24">
        <v>42535</v>
      </c>
      <c r="C727" s="1">
        <v>103</v>
      </c>
      <c r="D727" s="1">
        <v>3000031147</v>
      </c>
      <c r="E727" s="1" t="s">
        <v>160</v>
      </c>
      <c r="F727" s="1">
        <v>3202901151</v>
      </c>
      <c r="G727" s="25">
        <v>42528</v>
      </c>
      <c r="H727" s="74"/>
      <c r="I727" s="74">
        <v>42528</v>
      </c>
      <c r="J727" s="1" t="s">
        <v>16</v>
      </c>
      <c r="K727" s="77">
        <v>26.64</v>
      </c>
      <c r="L727" s="1">
        <v>26.64</v>
      </c>
      <c r="M727" s="88">
        <f t="shared" si="85"/>
        <v>26.64</v>
      </c>
      <c r="N727" s="7">
        <f t="shared" si="87"/>
        <v>42542</v>
      </c>
      <c r="O727" s="1">
        <v>1256402</v>
      </c>
      <c r="P727" s="36">
        <f t="shared" si="89"/>
        <v>1256402</v>
      </c>
      <c r="Q727" s="178">
        <v>42551</v>
      </c>
      <c r="R727" s="66">
        <v>42552</v>
      </c>
      <c r="S727" s="187">
        <f t="shared" si="88"/>
        <v>10</v>
      </c>
    </row>
    <row r="728" spans="1:19" s="3" customFormat="1" hidden="1" x14ac:dyDescent="0.25">
      <c r="A728" s="30">
        <f>+closed!A618+1</f>
        <v>87</v>
      </c>
      <c r="B728" s="24">
        <v>42536</v>
      </c>
      <c r="C728" s="1">
        <v>103</v>
      </c>
      <c r="D728" s="1">
        <v>3000031147</v>
      </c>
      <c r="E728" s="1" t="s">
        <v>160</v>
      </c>
      <c r="F728" s="1">
        <v>3202901176</v>
      </c>
      <c r="G728" s="25">
        <v>42529</v>
      </c>
      <c r="H728" s="74"/>
      <c r="I728" s="74">
        <v>42529</v>
      </c>
      <c r="J728" s="1" t="s">
        <v>16</v>
      </c>
      <c r="K728" s="77">
        <v>23.725000000000001</v>
      </c>
      <c r="L728" s="1">
        <v>23.725000000000001</v>
      </c>
      <c r="M728" s="88">
        <f t="shared" si="85"/>
        <v>23.725000000000001</v>
      </c>
      <c r="N728" s="7">
        <f t="shared" si="87"/>
        <v>42543</v>
      </c>
      <c r="O728" s="1">
        <v>1118925</v>
      </c>
      <c r="P728" s="36">
        <f t="shared" si="89"/>
        <v>1118925</v>
      </c>
      <c r="Q728" s="178">
        <v>42551</v>
      </c>
      <c r="R728" s="66">
        <v>42552</v>
      </c>
      <c r="S728" s="187">
        <f t="shared" si="88"/>
        <v>9</v>
      </c>
    </row>
    <row r="729" spans="1:19" s="3" customFormat="1" hidden="1" x14ac:dyDescent="0.25">
      <c r="A729" s="30">
        <f>+closed!A728+1</f>
        <v>88</v>
      </c>
      <c r="B729" s="24">
        <v>42536</v>
      </c>
      <c r="C729" s="1">
        <v>103</v>
      </c>
      <c r="D729" s="1">
        <v>3000031433</v>
      </c>
      <c r="E729" s="1" t="s">
        <v>160</v>
      </c>
      <c r="F729" s="1">
        <v>3202901175</v>
      </c>
      <c r="G729" s="25">
        <v>42529</v>
      </c>
      <c r="H729" s="74"/>
      <c r="I729" s="74">
        <v>42529</v>
      </c>
      <c r="J729" s="1" t="s">
        <v>16</v>
      </c>
      <c r="K729" s="77">
        <v>2.335</v>
      </c>
      <c r="L729" s="1">
        <v>2.335</v>
      </c>
      <c r="M729" s="88">
        <f t="shared" si="85"/>
        <v>2.335</v>
      </c>
      <c r="N729" s="7">
        <f t="shared" si="87"/>
        <v>42543</v>
      </c>
      <c r="O729" s="1">
        <v>113876</v>
      </c>
      <c r="P729" s="36">
        <f t="shared" si="89"/>
        <v>113875.99999999999</v>
      </c>
      <c r="Q729" s="178">
        <v>42551</v>
      </c>
      <c r="R729" s="66">
        <v>42552</v>
      </c>
      <c r="S729" s="187">
        <f t="shared" si="88"/>
        <v>9</v>
      </c>
    </row>
    <row r="730" spans="1:19" s="3" customFormat="1" hidden="1" x14ac:dyDescent="0.25">
      <c r="A730" s="30">
        <f>+closed!A670+1</f>
        <v>105</v>
      </c>
      <c r="B730" s="24">
        <v>42535</v>
      </c>
      <c r="C730" s="1">
        <v>114</v>
      </c>
      <c r="D730" s="1">
        <v>3000030920</v>
      </c>
      <c r="E730" s="1" t="s">
        <v>18</v>
      </c>
      <c r="F730" s="1">
        <v>21</v>
      </c>
      <c r="G730" s="25">
        <v>42525</v>
      </c>
      <c r="H730" s="74"/>
      <c r="I730" s="74">
        <v>42530</v>
      </c>
      <c r="J730" s="1" t="s">
        <v>8</v>
      </c>
      <c r="K730" s="77">
        <v>27.67</v>
      </c>
      <c r="L730" s="1">
        <v>27.6</v>
      </c>
      <c r="M730" s="88">
        <f t="shared" si="85"/>
        <v>27.6</v>
      </c>
      <c r="N730" s="7">
        <f t="shared" si="87"/>
        <v>42544</v>
      </c>
      <c r="O730" s="1">
        <v>1466510</v>
      </c>
      <c r="P730" s="107">
        <f t="shared" si="89"/>
        <v>1462800</v>
      </c>
      <c r="Q730" s="178">
        <v>42551</v>
      </c>
      <c r="R730" s="66">
        <v>42551</v>
      </c>
      <c r="S730" s="187">
        <f t="shared" si="88"/>
        <v>7</v>
      </c>
    </row>
    <row r="731" spans="1:19" s="3" customFormat="1" hidden="1" x14ac:dyDescent="0.25">
      <c r="A731" s="30">
        <f>+closed!A730+1</f>
        <v>106</v>
      </c>
      <c r="B731" s="24">
        <v>42535</v>
      </c>
      <c r="C731" s="1">
        <v>114</v>
      </c>
      <c r="D731" s="1">
        <v>3000030920</v>
      </c>
      <c r="E731" s="1" t="s">
        <v>18</v>
      </c>
      <c r="F731" s="16">
        <v>22</v>
      </c>
      <c r="G731" s="25">
        <v>42527</v>
      </c>
      <c r="H731" s="74"/>
      <c r="I731" s="74">
        <v>42531</v>
      </c>
      <c r="J731" s="1" t="s">
        <v>8</v>
      </c>
      <c r="K731" s="77">
        <v>2.33</v>
      </c>
      <c r="L731" s="1">
        <v>2.33</v>
      </c>
      <c r="M731" s="88">
        <f t="shared" si="85"/>
        <v>2.33</v>
      </c>
      <c r="N731" s="7">
        <f t="shared" si="87"/>
        <v>42545</v>
      </c>
      <c r="O731" s="1">
        <v>123490</v>
      </c>
      <c r="P731" s="107">
        <f t="shared" si="89"/>
        <v>123490</v>
      </c>
      <c r="Q731" s="178">
        <v>42551</v>
      </c>
      <c r="R731" s="66">
        <v>42551</v>
      </c>
      <c r="S731" s="187">
        <f t="shared" si="88"/>
        <v>6</v>
      </c>
    </row>
    <row r="732" spans="1:19" s="3" customFormat="1" hidden="1" x14ac:dyDescent="0.25">
      <c r="A732" s="30">
        <f>+closed!A731+1</f>
        <v>107</v>
      </c>
      <c r="B732" s="24">
        <v>42535</v>
      </c>
      <c r="C732" s="1">
        <v>114</v>
      </c>
      <c r="D732" s="1">
        <v>3000031194</v>
      </c>
      <c r="E732" s="1" t="s">
        <v>18</v>
      </c>
      <c r="F732" s="16">
        <v>22</v>
      </c>
      <c r="G732" s="25">
        <v>42527</v>
      </c>
      <c r="H732" s="74"/>
      <c r="I732" s="74">
        <v>42531</v>
      </c>
      <c r="J732" s="1" t="s">
        <v>8</v>
      </c>
      <c r="K732" s="77">
        <v>23.81</v>
      </c>
      <c r="L732" s="1">
        <v>26.87</v>
      </c>
      <c r="M732" s="88">
        <f t="shared" si="85"/>
        <v>23.81</v>
      </c>
      <c r="N732" s="7">
        <f t="shared" si="87"/>
        <v>42545</v>
      </c>
      <c r="O732" s="1">
        <v>1259549</v>
      </c>
      <c r="P732" s="107">
        <f t="shared" si="89"/>
        <v>1259549</v>
      </c>
      <c r="Q732" s="178">
        <v>42551</v>
      </c>
      <c r="R732" s="66">
        <v>42551</v>
      </c>
      <c r="S732" s="187">
        <f t="shared" si="88"/>
        <v>6</v>
      </c>
    </row>
    <row r="733" spans="1:19" s="3" customFormat="1" hidden="1" x14ac:dyDescent="0.25">
      <c r="A733" s="30">
        <f>+closed!A732+1</f>
        <v>108</v>
      </c>
      <c r="B733" s="24">
        <v>42535</v>
      </c>
      <c r="C733" s="1">
        <v>114</v>
      </c>
      <c r="D733" s="1">
        <v>3000030409</v>
      </c>
      <c r="E733" s="1" t="s">
        <v>37</v>
      </c>
      <c r="F733" s="16">
        <v>44</v>
      </c>
      <c r="G733" s="25">
        <v>42527</v>
      </c>
      <c r="H733" s="74"/>
      <c r="I733" s="74">
        <v>42530</v>
      </c>
      <c r="J733" s="1" t="s">
        <v>8</v>
      </c>
      <c r="K733" s="77">
        <v>28.25</v>
      </c>
      <c r="L733" s="1">
        <v>28.18</v>
      </c>
      <c r="M733" s="88">
        <f t="shared" si="85"/>
        <v>28.18</v>
      </c>
      <c r="N733" s="7">
        <f t="shared" si="87"/>
        <v>42544</v>
      </c>
      <c r="O733" s="1">
        <v>1542450</v>
      </c>
      <c r="P733" s="36">
        <f t="shared" si="89"/>
        <v>1538628</v>
      </c>
      <c r="Q733" s="178">
        <v>42551</v>
      </c>
      <c r="R733" s="66">
        <v>42551</v>
      </c>
      <c r="S733" s="187">
        <f t="shared" si="88"/>
        <v>7</v>
      </c>
    </row>
    <row r="734" spans="1:19" s="3" customFormat="1" hidden="1" x14ac:dyDescent="0.25">
      <c r="A734" s="30">
        <f>+closed!A733+1</f>
        <v>109</v>
      </c>
      <c r="B734" s="24">
        <v>42535</v>
      </c>
      <c r="C734" s="1">
        <v>114</v>
      </c>
      <c r="D734" s="1">
        <v>3000030919</v>
      </c>
      <c r="E734" s="1" t="s">
        <v>37</v>
      </c>
      <c r="F734" s="16">
        <v>44</v>
      </c>
      <c r="G734" s="25">
        <v>42527</v>
      </c>
      <c r="H734" s="74"/>
      <c r="I734" s="74">
        <v>42530</v>
      </c>
      <c r="J734" s="1" t="s">
        <v>8</v>
      </c>
      <c r="K734" s="77">
        <v>0.78</v>
      </c>
      <c r="L734" s="1">
        <v>0.78</v>
      </c>
      <c r="M734" s="88">
        <f t="shared" si="85"/>
        <v>0.78</v>
      </c>
      <c r="N734" s="7">
        <f t="shared" si="87"/>
        <v>42544</v>
      </c>
      <c r="O734" s="1">
        <v>41340</v>
      </c>
      <c r="P734" s="36">
        <f t="shared" si="89"/>
        <v>41340</v>
      </c>
      <c r="Q734" s="178">
        <v>42551</v>
      </c>
      <c r="R734" s="66">
        <v>42551</v>
      </c>
      <c r="S734" s="187">
        <f t="shared" si="88"/>
        <v>7</v>
      </c>
    </row>
    <row r="735" spans="1:19" s="3" customFormat="1" hidden="1" x14ac:dyDescent="0.25">
      <c r="A735" s="30">
        <f>+closed!A734+1</f>
        <v>110</v>
      </c>
      <c r="B735" s="24">
        <v>42535</v>
      </c>
      <c r="C735" s="1">
        <v>114</v>
      </c>
      <c r="D735" s="1">
        <v>3000029818</v>
      </c>
      <c r="E735" s="1" t="s">
        <v>37</v>
      </c>
      <c r="F735" s="16">
        <v>45</v>
      </c>
      <c r="G735" s="25">
        <v>42527</v>
      </c>
      <c r="H735" s="74"/>
      <c r="I735" s="74">
        <v>42530</v>
      </c>
      <c r="J735" s="1" t="s">
        <v>16</v>
      </c>
      <c r="K735" s="77">
        <v>3.67</v>
      </c>
      <c r="L735" s="1">
        <v>3.605</v>
      </c>
      <c r="M735" s="88">
        <f t="shared" si="85"/>
        <v>3.605</v>
      </c>
      <c r="N735" s="7">
        <f t="shared" si="87"/>
        <v>42544</v>
      </c>
      <c r="O735" s="1">
        <v>198180</v>
      </c>
      <c r="P735" s="36">
        <f t="shared" si="89"/>
        <v>194670</v>
      </c>
      <c r="Q735" s="178">
        <v>42551</v>
      </c>
      <c r="R735" s="66">
        <v>42551</v>
      </c>
      <c r="S735" s="187">
        <f t="shared" si="88"/>
        <v>7</v>
      </c>
    </row>
    <row r="736" spans="1:19" s="3" customFormat="1" hidden="1" x14ac:dyDescent="0.25">
      <c r="A736" s="30">
        <f>+closed!A735+1</f>
        <v>111</v>
      </c>
      <c r="B736" s="24">
        <v>42535</v>
      </c>
      <c r="C736" s="1">
        <v>114</v>
      </c>
      <c r="D736" s="1">
        <v>3000030907</v>
      </c>
      <c r="E736" s="1" t="s">
        <v>37</v>
      </c>
      <c r="F736" s="16">
        <v>45</v>
      </c>
      <c r="G736" s="25">
        <v>42527</v>
      </c>
      <c r="H736" s="74"/>
      <c r="I736" s="74">
        <v>42530</v>
      </c>
      <c r="J736" s="1" t="s">
        <v>16</v>
      </c>
      <c r="K736" s="77">
        <v>19.364999999999998</v>
      </c>
      <c r="L736" s="1">
        <v>19.364999999999998</v>
      </c>
      <c r="M736" s="88">
        <f t="shared" si="85"/>
        <v>19.364999999999998</v>
      </c>
      <c r="N736" s="7">
        <f t="shared" si="87"/>
        <v>42544</v>
      </c>
      <c r="O736" s="1">
        <v>974060</v>
      </c>
      <c r="P736" s="36">
        <f t="shared" si="89"/>
        <v>974060</v>
      </c>
      <c r="Q736" s="178">
        <v>42551</v>
      </c>
      <c r="R736" s="66">
        <v>42551</v>
      </c>
      <c r="S736" s="187">
        <f t="shared" si="88"/>
        <v>7</v>
      </c>
    </row>
    <row r="737" spans="1:19" s="3" customFormat="1" hidden="1" x14ac:dyDescent="0.25">
      <c r="A737" s="30">
        <f>+closed!A671+1</f>
        <v>52</v>
      </c>
      <c r="B737" s="24">
        <v>42538</v>
      </c>
      <c r="C737" s="1">
        <v>114</v>
      </c>
      <c r="D737" s="1">
        <v>3000030919</v>
      </c>
      <c r="E737" s="1" t="s">
        <v>37</v>
      </c>
      <c r="F737" s="1">
        <v>47</v>
      </c>
      <c r="G737" s="25">
        <v>42528</v>
      </c>
      <c r="H737" s="74"/>
      <c r="I737" s="74">
        <v>42533</v>
      </c>
      <c r="J737" s="1" t="s">
        <v>8</v>
      </c>
      <c r="K737" s="77">
        <v>30.274999999999999</v>
      </c>
      <c r="L737" s="1">
        <v>30.21</v>
      </c>
      <c r="M737" s="88">
        <f t="shared" si="85"/>
        <v>30.21</v>
      </c>
      <c r="N737" s="7">
        <f t="shared" si="87"/>
        <v>42547</v>
      </c>
      <c r="O737" s="1">
        <v>1604575</v>
      </c>
      <c r="P737" s="36">
        <f t="shared" si="89"/>
        <v>1601130</v>
      </c>
      <c r="Q737" s="178">
        <v>42551</v>
      </c>
      <c r="R737" s="66">
        <v>42551</v>
      </c>
      <c r="S737" s="187">
        <f t="shared" si="88"/>
        <v>4</v>
      </c>
    </row>
    <row r="738" spans="1:19" s="3" customFormat="1" hidden="1" x14ac:dyDescent="0.25">
      <c r="A738" s="30">
        <f>+closed!A689+1</f>
        <v>48</v>
      </c>
      <c r="B738" s="24">
        <v>42538</v>
      </c>
      <c r="C738" s="1">
        <v>114</v>
      </c>
      <c r="D738" s="1">
        <v>3000030919</v>
      </c>
      <c r="E738" s="1" t="s">
        <v>37</v>
      </c>
      <c r="F738" s="16">
        <v>51</v>
      </c>
      <c r="G738" s="25">
        <v>42530</v>
      </c>
      <c r="H738" s="74"/>
      <c r="I738" s="74">
        <v>42532</v>
      </c>
      <c r="J738" s="1" t="s">
        <v>8</v>
      </c>
      <c r="K738" s="77">
        <v>28.94</v>
      </c>
      <c r="L738" s="1">
        <v>28.94</v>
      </c>
      <c r="M738" s="88">
        <f t="shared" si="85"/>
        <v>28.94</v>
      </c>
      <c r="N738" s="7">
        <f t="shared" si="87"/>
        <v>42546</v>
      </c>
      <c r="O738" s="1">
        <v>1533820</v>
      </c>
      <c r="P738" s="36">
        <f t="shared" si="89"/>
        <v>1533820</v>
      </c>
      <c r="Q738" s="178">
        <v>42551</v>
      </c>
      <c r="R738" s="66">
        <v>42551</v>
      </c>
      <c r="S738" s="187">
        <f t="shared" si="88"/>
        <v>5</v>
      </c>
    </row>
    <row r="739" spans="1:19" s="3" customFormat="1" hidden="1" x14ac:dyDescent="0.25">
      <c r="A739" s="30">
        <f>+closed!A626+1</f>
        <v>50</v>
      </c>
      <c r="B739" s="24">
        <v>42538</v>
      </c>
      <c r="C739" s="1">
        <v>114</v>
      </c>
      <c r="D739" s="1">
        <v>3000031321</v>
      </c>
      <c r="E739" s="1" t="s">
        <v>37</v>
      </c>
      <c r="F739" s="16">
        <v>51</v>
      </c>
      <c r="G739" s="25">
        <v>42530</v>
      </c>
      <c r="H739" s="74"/>
      <c r="I739" s="74">
        <v>42532</v>
      </c>
      <c r="J739" s="1" t="s">
        <v>8</v>
      </c>
      <c r="K739" s="77">
        <v>3.2850000000000001</v>
      </c>
      <c r="L739" s="1">
        <v>3.23</v>
      </c>
      <c r="M739" s="88">
        <f t="shared" si="85"/>
        <v>3.23</v>
      </c>
      <c r="N739" s="7">
        <f t="shared" si="87"/>
        <v>42546</v>
      </c>
      <c r="O739" s="1">
        <v>174105</v>
      </c>
      <c r="P739" s="36">
        <f t="shared" si="89"/>
        <v>171190</v>
      </c>
      <c r="Q739" s="178">
        <v>42551</v>
      </c>
      <c r="R739" s="66">
        <v>42551</v>
      </c>
      <c r="S739" s="187">
        <f t="shared" si="88"/>
        <v>5</v>
      </c>
    </row>
    <row r="740" spans="1:19" s="3" customFormat="1" hidden="1" x14ac:dyDescent="0.25">
      <c r="A740" s="30">
        <f>+closed!A692+1</f>
        <v>59</v>
      </c>
      <c r="B740" s="24">
        <v>42538</v>
      </c>
      <c r="C740" s="1">
        <v>114</v>
      </c>
      <c r="D740" s="1">
        <v>3000031321</v>
      </c>
      <c r="E740" s="1" t="s">
        <v>37</v>
      </c>
      <c r="F740" s="16">
        <v>53</v>
      </c>
      <c r="G740" s="25">
        <v>42532</v>
      </c>
      <c r="H740" s="74"/>
      <c r="I740" s="74">
        <v>42535</v>
      </c>
      <c r="J740" s="1" t="s">
        <v>8</v>
      </c>
      <c r="K740" s="77">
        <v>7.3150000000000004</v>
      </c>
      <c r="L740" s="1">
        <v>7.23</v>
      </c>
      <c r="M740" s="88">
        <f t="shared" si="85"/>
        <v>7.23</v>
      </c>
      <c r="N740" s="7">
        <f t="shared" si="87"/>
        <v>42549</v>
      </c>
      <c r="O740" s="1">
        <v>387695</v>
      </c>
      <c r="P740" s="36">
        <f t="shared" si="89"/>
        <v>383190</v>
      </c>
      <c r="Q740" s="178">
        <v>42551</v>
      </c>
      <c r="R740" s="66">
        <v>42551</v>
      </c>
      <c r="S740" s="187">
        <f t="shared" si="88"/>
        <v>2</v>
      </c>
    </row>
    <row r="741" spans="1:19" s="3" customFormat="1" hidden="1" x14ac:dyDescent="0.25">
      <c r="A741" s="30">
        <f>+closed!A740+1</f>
        <v>60</v>
      </c>
      <c r="B741" s="24">
        <v>42538</v>
      </c>
      <c r="C741" s="1">
        <v>114</v>
      </c>
      <c r="D741" s="1">
        <v>3000031327</v>
      </c>
      <c r="E741" s="1" t="s">
        <v>37</v>
      </c>
      <c r="F741" s="16">
        <v>53</v>
      </c>
      <c r="G741" s="25">
        <v>42532</v>
      </c>
      <c r="H741" s="74"/>
      <c r="I741" s="74">
        <v>42535</v>
      </c>
      <c r="J741" s="1" t="s">
        <v>8</v>
      </c>
      <c r="K741" s="77">
        <v>22.14</v>
      </c>
      <c r="L741" s="1">
        <v>22.14</v>
      </c>
      <c r="M741" s="88">
        <f t="shared" si="85"/>
        <v>22.14</v>
      </c>
      <c r="N741" s="7">
        <f t="shared" si="87"/>
        <v>42549</v>
      </c>
      <c r="O741" s="1">
        <v>1173420</v>
      </c>
      <c r="P741" s="36">
        <f t="shared" si="89"/>
        <v>1173420</v>
      </c>
      <c r="Q741" s="178">
        <v>42551</v>
      </c>
      <c r="R741" s="66">
        <v>42551</v>
      </c>
      <c r="S741" s="187">
        <f t="shared" ref="S741:S771" si="90">R741-N741</f>
        <v>2</v>
      </c>
    </row>
    <row r="742" spans="1:19" s="3" customFormat="1" hidden="1" x14ac:dyDescent="0.25">
      <c r="A742" s="30" t="e">
        <f>+closed!A838+1</f>
        <v>#REF!</v>
      </c>
      <c r="B742" s="24">
        <v>42544</v>
      </c>
      <c r="C742" s="1">
        <v>103</v>
      </c>
      <c r="D742" s="1">
        <v>3000029676</v>
      </c>
      <c r="E742" s="1" t="s">
        <v>77</v>
      </c>
      <c r="F742" s="1">
        <v>41</v>
      </c>
      <c r="G742" s="25">
        <v>42534</v>
      </c>
      <c r="H742" s="25"/>
      <c r="I742" s="25">
        <v>42538</v>
      </c>
      <c r="J742" s="1" t="s">
        <v>61</v>
      </c>
      <c r="K742" s="77">
        <v>19.98</v>
      </c>
      <c r="L742" s="1">
        <v>19.79</v>
      </c>
      <c r="M742" s="1">
        <f t="shared" ref="M742:M805" si="91">IF(L742&gt;K742,K742,L742)</f>
        <v>19.79</v>
      </c>
      <c r="N742" s="7">
        <f>+I742+7-1</f>
        <v>42544</v>
      </c>
      <c r="O742" s="1">
        <v>1718280</v>
      </c>
      <c r="P742" s="107">
        <f t="shared" si="89"/>
        <v>1701940</v>
      </c>
      <c r="Q742" s="178">
        <v>42551</v>
      </c>
      <c r="R742" s="66">
        <v>42552</v>
      </c>
      <c r="S742" s="187">
        <f t="shared" si="90"/>
        <v>8</v>
      </c>
    </row>
    <row r="743" spans="1:19" s="3" customFormat="1" hidden="1" x14ac:dyDescent="0.25">
      <c r="A743" s="30">
        <f>+closed!A624+1</f>
        <v>47</v>
      </c>
      <c r="B743" s="24">
        <v>42529</v>
      </c>
      <c r="C743" s="1">
        <v>103</v>
      </c>
      <c r="D743" s="1">
        <v>3000030829</v>
      </c>
      <c r="E743" s="1" t="s">
        <v>60</v>
      </c>
      <c r="F743" s="1">
        <v>202</v>
      </c>
      <c r="G743" s="25">
        <v>42522</v>
      </c>
      <c r="H743" s="74"/>
      <c r="I743" s="74">
        <v>42526</v>
      </c>
      <c r="J743" s="1" t="s">
        <v>61</v>
      </c>
      <c r="K743" s="77">
        <v>20.81</v>
      </c>
      <c r="L743" s="1">
        <v>20.72</v>
      </c>
      <c r="M743" s="1">
        <f t="shared" si="91"/>
        <v>20.72</v>
      </c>
      <c r="N743" s="7">
        <f t="shared" ref="N743:N753" si="92">+I743+20-1</f>
        <v>42545</v>
      </c>
      <c r="O743" s="1">
        <v>1747978</v>
      </c>
      <c r="P743" s="36">
        <f t="shared" si="89"/>
        <v>1740418.2681403172</v>
      </c>
      <c r="Q743" s="178">
        <v>42551</v>
      </c>
      <c r="R743" s="66">
        <v>42552</v>
      </c>
      <c r="S743" s="187">
        <f t="shared" si="90"/>
        <v>7</v>
      </c>
    </row>
    <row r="744" spans="1:19" s="3" customFormat="1" hidden="1" x14ac:dyDescent="0.25">
      <c r="A744" s="30">
        <f>+closed!A758+1</f>
        <v>55</v>
      </c>
      <c r="B744" s="24">
        <v>42531</v>
      </c>
      <c r="C744" s="1">
        <v>103</v>
      </c>
      <c r="D744" s="1">
        <v>3000030829</v>
      </c>
      <c r="E744" s="1" t="s">
        <v>60</v>
      </c>
      <c r="F744" s="1">
        <v>213</v>
      </c>
      <c r="G744" s="25">
        <v>42523</v>
      </c>
      <c r="H744" s="74"/>
      <c r="I744" s="74">
        <v>42527</v>
      </c>
      <c r="J744" s="1" t="s">
        <v>61</v>
      </c>
      <c r="K744" s="77">
        <v>15.71</v>
      </c>
      <c r="L744" s="1">
        <v>15.61</v>
      </c>
      <c r="M744" s="1">
        <f t="shared" si="91"/>
        <v>15.61</v>
      </c>
      <c r="N744" s="7">
        <f t="shared" si="92"/>
        <v>42546</v>
      </c>
      <c r="O744" s="1">
        <v>1319593</v>
      </c>
      <c r="P744" s="36">
        <f t="shared" si="89"/>
        <v>1311193.2991725015</v>
      </c>
      <c r="Q744" s="178">
        <v>42551</v>
      </c>
      <c r="R744" s="66">
        <v>42552</v>
      </c>
      <c r="S744" s="187">
        <f t="shared" si="90"/>
        <v>6</v>
      </c>
    </row>
    <row r="745" spans="1:19" s="3" customFormat="1" hidden="1" x14ac:dyDescent="0.25">
      <c r="A745" s="30">
        <f>+closed!A743+1</f>
        <v>48</v>
      </c>
      <c r="B745" s="24">
        <v>42529</v>
      </c>
      <c r="C745" s="1">
        <v>103</v>
      </c>
      <c r="D745" s="1">
        <v>3000030829</v>
      </c>
      <c r="E745" s="1" t="s">
        <v>60</v>
      </c>
      <c r="F745" s="1">
        <v>214</v>
      </c>
      <c r="G745" s="25">
        <v>42523</v>
      </c>
      <c r="H745" s="74"/>
      <c r="I745" s="74">
        <v>42526</v>
      </c>
      <c r="J745" s="1" t="s">
        <v>61</v>
      </c>
      <c r="K745" s="77">
        <v>20.11</v>
      </c>
      <c r="L745" s="1">
        <v>20.05</v>
      </c>
      <c r="M745" s="1">
        <f t="shared" si="91"/>
        <v>20.05</v>
      </c>
      <c r="N745" s="7">
        <f t="shared" si="92"/>
        <v>42545</v>
      </c>
      <c r="O745" s="1">
        <v>1689180</v>
      </c>
      <c r="P745" s="36">
        <f t="shared" si="89"/>
        <v>1684140.1790154155</v>
      </c>
      <c r="Q745" s="178">
        <v>42551</v>
      </c>
      <c r="R745" s="66">
        <v>42552</v>
      </c>
      <c r="S745" s="187">
        <f t="shared" si="90"/>
        <v>7</v>
      </c>
    </row>
    <row r="746" spans="1:19" s="3" customFormat="1" hidden="1" x14ac:dyDescent="0.25">
      <c r="A746" s="30">
        <f>+closed!A744+1</f>
        <v>56</v>
      </c>
      <c r="B746" s="24">
        <v>42531</v>
      </c>
      <c r="C746" s="1">
        <v>103</v>
      </c>
      <c r="D746" s="1">
        <v>3000030845</v>
      </c>
      <c r="E746" s="1" t="s">
        <v>60</v>
      </c>
      <c r="F746" s="1">
        <v>215</v>
      </c>
      <c r="G746" s="25">
        <v>42524</v>
      </c>
      <c r="H746" s="74"/>
      <c r="I746" s="74">
        <v>42529</v>
      </c>
      <c r="J746" s="1" t="s">
        <v>61</v>
      </c>
      <c r="K746" s="77">
        <v>24.27</v>
      </c>
      <c r="L746" s="1">
        <v>24.18</v>
      </c>
      <c r="M746" s="1">
        <f t="shared" si="91"/>
        <v>24.18</v>
      </c>
      <c r="N746" s="7">
        <f t="shared" si="92"/>
        <v>42548</v>
      </c>
      <c r="O746" s="1">
        <v>2038608</v>
      </c>
      <c r="P746" s="36">
        <f t="shared" si="89"/>
        <v>2031048.2669962917</v>
      </c>
      <c r="Q746" s="178">
        <v>42551</v>
      </c>
      <c r="R746" s="66">
        <v>42552</v>
      </c>
      <c r="S746" s="187">
        <f t="shared" si="90"/>
        <v>4</v>
      </c>
    </row>
    <row r="747" spans="1:19" s="3" customFormat="1" hidden="1" x14ac:dyDescent="0.25">
      <c r="A747" s="30">
        <f>+closed!A746+1</f>
        <v>57</v>
      </c>
      <c r="B747" s="24">
        <v>42531</v>
      </c>
      <c r="C747" s="1">
        <v>103</v>
      </c>
      <c r="D747" s="1">
        <v>3000030845</v>
      </c>
      <c r="E747" s="1" t="s">
        <v>60</v>
      </c>
      <c r="F747" s="1">
        <v>220</v>
      </c>
      <c r="G747" s="25">
        <v>42525</v>
      </c>
      <c r="H747" s="74"/>
      <c r="I747" s="74">
        <v>42528</v>
      </c>
      <c r="J747" s="1" t="s">
        <v>61</v>
      </c>
      <c r="K747" s="77">
        <v>20.100000000000001</v>
      </c>
      <c r="L747" s="1">
        <v>20.05</v>
      </c>
      <c r="M747" s="1">
        <f t="shared" si="91"/>
        <v>20.05</v>
      </c>
      <c r="N747" s="7">
        <f t="shared" si="92"/>
        <v>42547</v>
      </c>
      <c r="O747" s="1">
        <v>1688340</v>
      </c>
      <c r="P747" s="36">
        <f t="shared" si="89"/>
        <v>1684140.1492537311</v>
      </c>
      <c r="Q747" s="178">
        <v>42551</v>
      </c>
      <c r="R747" s="66">
        <v>42552</v>
      </c>
      <c r="S747" s="187">
        <f t="shared" si="90"/>
        <v>5</v>
      </c>
    </row>
    <row r="748" spans="1:19" s="3" customFormat="1" hidden="1" x14ac:dyDescent="0.25">
      <c r="A748" s="30">
        <f>+closed!A759+1</f>
        <v>90</v>
      </c>
      <c r="B748" s="24">
        <v>42535</v>
      </c>
      <c r="C748" s="1">
        <v>103</v>
      </c>
      <c r="D748" s="1">
        <v>3000030845</v>
      </c>
      <c r="E748" s="1" t="s">
        <v>60</v>
      </c>
      <c r="F748" s="1">
        <v>227</v>
      </c>
      <c r="G748" s="25">
        <v>42526</v>
      </c>
      <c r="H748" s="74"/>
      <c r="I748" s="74">
        <v>42530</v>
      </c>
      <c r="J748" s="1" t="s">
        <v>61</v>
      </c>
      <c r="K748" s="77">
        <v>19.920000000000002</v>
      </c>
      <c r="L748" s="1">
        <v>19.87</v>
      </c>
      <c r="M748" s="88">
        <f t="shared" si="91"/>
        <v>19.87</v>
      </c>
      <c r="N748" s="7">
        <f t="shared" si="92"/>
        <v>42549</v>
      </c>
      <c r="O748" s="1">
        <v>1673220</v>
      </c>
      <c r="P748" s="36">
        <f t="shared" si="89"/>
        <v>1669020.1506024096</v>
      </c>
      <c r="Q748" s="178">
        <v>42551</v>
      </c>
      <c r="R748" s="66">
        <v>42552</v>
      </c>
      <c r="S748" s="187">
        <f t="shared" si="90"/>
        <v>3</v>
      </c>
    </row>
    <row r="749" spans="1:19" s="3" customFormat="1" hidden="1" x14ac:dyDescent="0.25">
      <c r="A749" s="30">
        <f>+closed!A750+1</f>
        <v>83</v>
      </c>
      <c r="B749" s="24">
        <v>42536</v>
      </c>
      <c r="C749" s="1">
        <v>103</v>
      </c>
      <c r="D749" s="1">
        <v>3000030845</v>
      </c>
      <c r="E749" s="1" t="s">
        <v>60</v>
      </c>
      <c r="F749" s="1">
        <v>238</v>
      </c>
      <c r="G749" s="25">
        <v>42527</v>
      </c>
      <c r="H749" s="74"/>
      <c r="I749" s="74">
        <v>42532</v>
      </c>
      <c r="J749" s="1" t="s">
        <v>61</v>
      </c>
      <c r="K749" s="77">
        <v>16.23</v>
      </c>
      <c r="L749" s="1">
        <v>16.190000000000001</v>
      </c>
      <c r="M749" s="88">
        <f t="shared" si="91"/>
        <v>16.190000000000001</v>
      </c>
      <c r="N749" s="7">
        <f t="shared" si="92"/>
        <v>42551</v>
      </c>
      <c r="O749" s="1">
        <v>1363272</v>
      </c>
      <c r="P749" s="36">
        <f t="shared" si="89"/>
        <v>1359912.1182994456</v>
      </c>
      <c r="Q749" s="178">
        <v>42551</v>
      </c>
      <c r="R749" s="66">
        <v>42552</v>
      </c>
      <c r="S749" s="187">
        <f t="shared" si="90"/>
        <v>1</v>
      </c>
    </row>
    <row r="750" spans="1:19" s="3" customFormat="1" hidden="1" x14ac:dyDescent="0.25">
      <c r="A750" s="30">
        <f>+closed!A765+1</f>
        <v>82</v>
      </c>
      <c r="B750" s="24">
        <v>42536</v>
      </c>
      <c r="C750" s="1">
        <v>103</v>
      </c>
      <c r="D750" s="1">
        <v>3000030845</v>
      </c>
      <c r="E750" s="1" t="s">
        <v>60</v>
      </c>
      <c r="F750" s="1">
        <v>243</v>
      </c>
      <c r="G750" s="25">
        <v>42529</v>
      </c>
      <c r="H750" s="74"/>
      <c r="I750" s="74">
        <v>42533</v>
      </c>
      <c r="J750" s="1" t="s">
        <v>61</v>
      </c>
      <c r="K750" s="77">
        <v>19.22</v>
      </c>
      <c r="L750" s="1">
        <v>19.170000000000002</v>
      </c>
      <c r="M750" s="88">
        <f t="shared" si="91"/>
        <v>19.170000000000002</v>
      </c>
      <c r="N750" s="7">
        <f t="shared" si="92"/>
        <v>42552</v>
      </c>
      <c r="O750" s="1">
        <v>1614422</v>
      </c>
      <c r="P750" s="36">
        <f t="shared" si="89"/>
        <v>1610222.1508844956</v>
      </c>
      <c r="Q750" s="178">
        <v>42551</v>
      </c>
      <c r="R750" s="66">
        <v>42552</v>
      </c>
      <c r="S750" s="187">
        <f t="shared" si="90"/>
        <v>0</v>
      </c>
    </row>
    <row r="751" spans="1:19" s="3" customFormat="1" hidden="1" x14ac:dyDescent="0.25">
      <c r="A751" s="30">
        <f>+closed!A747+1</f>
        <v>58</v>
      </c>
      <c r="B751" s="24">
        <v>42531</v>
      </c>
      <c r="C751" s="1">
        <v>103</v>
      </c>
      <c r="D751" s="1">
        <v>3000030941</v>
      </c>
      <c r="E751" s="1" t="s">
        <v>145</v>
      </c>
      <c r="F751" s="1">
        <v>24</v>
      </c>
      <c r="G751" s="25">
        <v>42520</v>
      </c>
      <c r="H751" s="74"/>
      <c r="I751" s="74">
        <v>42528</v>
      </c>
      <c r="J751" s="1" t="s">
        <v>61</v>
      </c>
      <c r="K751" s="77">
        <v>19.785</v>
      </c>
      <c r="L751" s="1">
        <v>19.75</v>
      </c>
      <c r="M751" s="1">
        <f t="shared" si="91"/>
        <v>19.75</v>
      </c>
      <c r="N751" s="7">
        <f t="shared" si="92"/>
        <v>42547</v>
      </c>
      <c r="O751" s="1">
        <v>1661881</v>
      </c>
      <c r="P751" s="107">
        <f t="shared" si="89"/>
        <v>1658941.1043719992</v>
      </c>
      <c r="Q751" s="178">
        <v>42551</v>
      </c>
      <c r="R751" s="66">
        <v>42551</v>
      </c>
      <c r="S751" s="187">
        <f t="shared" si="90"/>
        <v>4</v>
      </c>
    </row>
    <row r="752" spans="1:19" s="3" customFormat="1" hidden="1" x14ac:dyDescent="0.25">
      <c r="A752" s="30">
        <f>+closed!A753+1</f>
        <v>92</v>
      </c>
      <c r="B752" s="24">
        <v>42535</v>
      </c>
      <c r="C752" s="1">
        <v>103</v>
      </c>
      <c r="D752" s="1">
        <v>3000030956</v>
      </c>
      <c r="E752" s="1" t="s">
        <v>145</v>
      </c>
      <c r="F752" s="1">
        <v>26</v>
      </c>
      <c r="G752" s="25">
        <v>42522</v>
      </c>
      <c r="H752" s="74"/>
      <c r="I752" s="74">
        <v>42531</v>
      </c>
      <c r="J752" s="1" t="s">
        <v>61</v>
      </c>
      <c r="K752" s="77">
        <v>19.98</v>
      </c>
      <c r="L752" s="1">
        <v>19.87</v>
      </c>
      <c r="M752" s="88">
        <f t="shared" si="91"/>
        <v>19.87</v>
      </c>
      <c r="N752" s="7">
        <f t="shared" si="92"/>
        <v>42550</v>
      </c>
      <c r="O752" s="1">
        <v>1588590</v>
      </c>
      <c r="P752" s="107">
        <f t="shared" si="89"/>
        <v>1579844.009009009</v>
      </c>
      <c r="Q752" s="178">
        <v>42551</v>
      </c>
      <c r="R752" s="66">
        <v>42551</v>
      </c>
      <c r="S752" s="187">
        <f t="shared" si="90"/>
        <v>1</v>
      </c>
    </row>
    <row r="753" spans="1:19" s="3" customFormat="1" hidden="1" x14ac:dyDescent="0.25">
      <c r="A753" s="30">
        <f>+closed!A748+1</f>
        <v>91</v>
      </c>
      <c r="B753" s="24">
        <v>42535</v>
      </c>
      <c r="C753" s="1">
        <v>103</v>
      </c>
      <c r="D753" s="1">
        <v>3000030956</v>
      </c>
      <c r="E753" s="1" t="s">
        <v>145</v>
      </c>
      <c r="F753" s="1">
        <v>27</v>
      </c>
      <c r="G753" s="25">
        <v>42524</v>
      </c>
      <c r="H753" s="74"/>
      <c r="I753" s="74">
        <v>42530</v>
      </c>
      <c r="J753" s="1" t="s">
        <v>61</v>
      </c>
      <c r="K753" s="77">
        <v>19.88</v>
      </c>
      <c r="L753" s="1">
        <v>19.829999999999998</v>
      </c>
      <c r="M753" s="88">
        <f t="shared" si="91"/>
        <v>19.829999999999998</v>
      </c>
      <c r="N753" s="7">
        <f t="shared" si="92"/>
        <v>42549</v>
      </c>
      <c r="O753" s="1">
        <v>1580639</v>
      </c>
      <c r="P753" s="107">
        <f t="shared" si="89"/>
        <v>1576663.5497987927</v>
      </c>
      <c r="Q753" s="178">
        <v>42551</v>
      </c>
      <c r="R753" s="66">
        <v>42551</v>
      </c>
      <c r="S753" s="187">
        <f t="shared" si="90"/>
        <v>2</v>
      </c>
    </row>
    <row r="754" spans="1:19" s="3" customFormat="1" hidden="1" x14ac:dyDescent="0.25">
      <c r="A754" s="30">
        <f>+closed!A494+1</f>
        <v>41</v>
      </c>
      <c r="B754" s="24">
        <v>42529</v>
      </c>
      <c r="C754" s="1">
        <v>103</v>
      </c>
      <c r="D754" s="1">
        <v>3000030787</v>
      </c>
      <c r="E754" s="1" t="s">
        <v>146</v>
      </c>
      <c r="F754" s="1">
        <v>1101</v>
      </c>
      <c r="G754" s="25">
        <v>42520</v>
      </c>
      <c r="H754" s="74"/>
      <c r="I754" s="74">
        <v>42524</v>
      </c>
      <c r="J754" s="1" t="s">
        <v>61</v>
      </c>
      <c r="K754" s="77">
        <v>19.96</v>
      </c>
      <c r="L754" s="1">
        <v>19.920000000000002</v>
      </c>
      <c r="M754" s="1">
        <f t="shared" si="91"/>
        <v>19.920000000000002</v>
      </c>
      <c r="N754" s="7">
        <f>+I754+25-1</f>
        <v>42548</v>
      </c>
      <c r="O754" s="1">
        <v>1686620</v>
      </c>
      <c r="P754" s="36">
        <f t="shared" si="89"/>
        <v>1683240.0000000002</v>
      </c>
      <c r="Q754" s="178">
        <v>42551</v>
      </c>
      <c r="R754" s="66">
        <v>42551</v>
      </c>
      <c r="S754" s="187">
        <f t="shared" si="90"/>
        <v>3</v>
      </c>
    </row>
    <row r="755" spans="1:19" s="3" customFormat="1" hidden="1" x14ac:dyDescent="0.25">
      <c r="A755" s="30">
        <f>+closed!A754+1</f>
        <v>42</v>
      </c>
      <c r="B755" s="24">
        <v>42529</v>
      </c>
      <c r="C755" s="1">
        <v>103</v>
      </c>
      <c r="D755" s="1">
        <v>3000030924</v>
      </c>
      <c r="E755" s="1" t="s">
        <v>146</v>
      </c>
      <c r="F755" s="1">
        <v>1103</v>
      </c>
      <c r="G755" s="25">
        <v>42521</v>
      </c>
      <c r="H755" s="74"/>
      <c r="I755" s="74">
        <v>42525</v>
      </c>
      <c r="J755" s="1" t="s">
        <v>61</v>
      </c>
      <c r="K755" s="77">
        <v>19.899999999999999</v>
      </c>
      <c r="L755" s="1">
        <v>19.87</v>
      </c>
      <c r="M755" s="1">
        <f t="shared" si="91"/>
        <v>19.87</v>
      </c>
      <c r="N755" s="7">
        <f>+I755+25-1</f>
        <v>42549</v>
      </c>
      <c r="O755" s="1">
        <v>1651700</v>
      </c>
      <c r="P755" s="36">
        <f t="shared" si="89"/>
        <v>1649210</v>
      </c>
      <c r="Q755" s="178">
        <v>42551</v>
      </c>
      <c r="R755" s="66">
        <v>42551</v>
      </c>
      <c r="S755" s="187">
        <f t="shared" si="90"/>
        <v>2</v>
      </c>
    </row>
    <row r="756" spans="1:19" s="3" customFormat="1" hidden="1" x14ac:dyDescent="0.25">
      <c r="A756" s="30">
        <f>+closed!A620+1</f>
        <v>52</v>
      </c>
      <c r="B756" s="24">
        <v>42530</v>
      </c>
      <c r="C756" s="1">
        <v>103</v>
      </c>
      <c r="D756" s="1">
        <v>3000030924</v>
      </c>
      <c r="E756" s="1" t="s">
        <v>146</v>
      </c>
      <c r="F756" s="1">
        <v>1105</v>
      </c>
      <c r="G756" s="25">
        <v>42522</v>
      </c>
      <c r="H756" s="74"/>
      <c r="I756" s="74">
        <v>42526</v>
      </c>
      <c r="J756" s="1" t="s">
        <v>61</v>
      </c>
      <c r="K756" s="77">
        <v>20.309999999999999</v>
      </c>
      <c r="L756" s="1">
        <v>20.29</v>
      </c>
      <c r="M756" s="1">
        <f t="shared" si="91"/>
        <v>20.29</v>
      </c>
      <c r="N756" s="7">
        <f>+I756+25-1</f>
        <v>42550</v>
      </c>
      <c r="O756" s="1">
        <v>1685730</v>
      </c>
      <c r="P756" s="36">
        <f t="shared" si="89"/>
        <v>1684070</v>
      </c>
      <c r="Q756" s="178">
        <v>42551</v>
      </c>
      <c r="R756" s="66">
        <v>42551</v>
      </c>
      <c r="S756" s="187">
        <f t="shared" si="90"/>
        <v>1</v>
      </c>
    </row>
    <row r="757" spans="1:19" s="3" customFormat="1" hidden="1" x14ac:dyDescent="0.25">
      <c r="A757" s="30">
        <f>+closed!A756+1</f>
        <v>53</v>
      </c>
      <c r="B757" s="24">
        <v>42531</v>
      </c>
      <c r="C757" s="1">
        <v>103</v>
      </c>
      <c r="D757" s="1">
        <v>3000030924</v>
      </c>
      <c r="E757" s="1" t="s">
        <v>146</v>
      </c>
      <c r="F757" s="1">
        <v>1106</v>
      </c>
      <c r="G757" s="25">
        <v>42522</v>
      </c>
      <c r="H757" s="74"/>
      <c r="I757" s="74">
        <v>42527</v>
      </c>
      <c r="J757" s="1" t="s">
        <v>61</v>
      </c>
      <c r="K757" s="77">
        <v>20.45</v>
      </c>
      <c r="L757" s="1">
        <v>20.399999999999999</v>
      </c>
      <c r="M757" s="1">
        <f t="shared" si="91"/>
        <v>20.399999999999999</v>
      </c>
      <c r="N757" s="7">
        <f>+I757+25-1</f>
        <v>42551</v>
      </c>
      <c r="O757" s="1">
        <v>1697350</v>
      </c>
      <c r="P757" s="36">
        <f t="shared" si="89"/>
        <v>1693199.9999999998</v>
      </c>
      <c r="Q757" s="178">
        <v>42551</v>
      </c>
      <c r="R757" s="66">
        <v>42551</v>
      </c>
      <c r="S757" s="187">
        <f t="shared" si="90"/>
        <v>0</v>
      </c>
    </row>
    <row r="758" spans="1:19" s="3" customFormat="1" hidden="1" x14ac:dyDescent="0.25">
      <c r="A758" s="30">
        <f>+closed!A757+1</f>
        <v>54</v>
      </c>
      <c r="B758" s="24">
        <v>42531</v>
      </c>
      <c r="C758" s="1">
        <v>103</v>
      </c>
      <c r="D758" s="1">
        <v>3000030924</v>
      </c>
      <c r="E758" s="1" t="s">
        <v>146</v>
      </c>
      <c r="F758" s="1">
        <v>1110</v>
      </c>
      <c r="G758" s="25">
        <v>42524</v>
      </c>
      <c r="H758" s="74"/>
      <c r="I758" s="74">
        <v>42528</v>
      </c>
      <c r="J758" s="1" t="s">
        <v>61</v>
      </c>
      <c r="K758" s="77">
        <v>20.18</v>
      </c>
      <c r="L758" s="1">
        <v>20.13</v>
      </c>
      <c r="M758" s="1">
        <f t="shared" si="91"/>
        <v>20.13</v>
      </c>
      <c r="N758" s="7">
        <f>+I758+25-1</f>
        <v>42552</v>
      </c>
      <c r="O758" s="1">
        <v>1674940</v>
      </c>
      <c r="P758" s="36">
        <f t="shared" ref="P758:P770" si="93">(+O758/K758*M758)</f>
        <v>1670790</v>
      </c>
      <c r="Q758" s="178">
        <v>42551</v>
      </c>
      <c r="R758" s="66">
        <v>42551</v>
      </c>
      <c r="S758" s="187">
        <f t="shared" si="90"/>
        <v>-1</v>
      </c>
    </row>
    <row r="759" spans="1:19" s="3" customFormat="1" hidden="1" x14ac:dyDescent="0.25">
      <c r="A759" s="30">
        <f>+closed!A802+1</f>
        <v>89</v>
      </c>
      <c r="B759" s="24">
        <v>42535</v>
      </c>
      <c r="C759" s="1">
        <v>103</v>
      </c>
      <c r="D759" s="1">
        <v>3000031406</v>
      </c>
      <c r="E759" s="1" t="s">
        <v>158</v>
      </c>
      <c r="F759" s="1">
        <v>29</v>
      </c>
      <c r="G759" s="25">
        <v>42525</v>
      </c>
      <c r="H759" s="74"/>
      <c r="I759" s="74">
        <v>42530</v>
      </c>
      <c r="J759" s="1" t="s">
        <v>61</v>
      </c>
      <c r="K759" s="77">
        <v>20.13</v>
      </c>
      <c r="L759" s="1">
        <v>20.11</v>
      </c>
      <c r="M759" s="88">
        <f t="shared" si="91"/>
        <v>20.11</v>
      </c>
      <c r="N759" s="7">
        <f>+I759+20-1</f>
        <v>42549</v>
      </c>
      <c r="O759" s="1">
        <v>1570140</v>
      </c>
      <c r="P759" s="107">
        <f t="shared" si="93"/>
        <v>1568580</v>
      </c>
      <c r="Q759" s="178">
        <v>42551</v>
      </c>
      <c r="R759" s="66">
        <v>42552</v>
      </c>
      <c r="S759" s="187">
        <f t="shared" si="90"/>
        <v>3</v>
      </c>
    </row>
    <row r="760" spans="1:19" s="3" customFormat="1" hidden="1" x14ac:dyDescent="0.25">
      <c r="A760" s="30">
        <f>+closed!A540+1</f>
        <v>80</v>
      </c>
      <c r="B760" s="24">
        <v>42536</v>
      </c>
      <c r="C760" s="1">
        <v>103</v>
      </c>
      <c r="D760" s="1">
        <v>3000031406</v>
      </c>
      <c r="E760" s="1" t="s">
        <v>158</v>
      </c>
      <c r="F760" s="1">
        <v>30</v>
      </c>
      <c r="G760" s="25">
        <v>42526</v>
      </c>
      <c r="H760" s="74"/>
      <c r="I760" s="74">
        <v>42533</v>
      </c>
      <c r="J760" s="1" t="s">
        <v>61</v>
      </c>
      <c r="K760" s="77">
        <v>20.100000000000001</v>
      </c>
      <c r="L760" s="1">
        <v>20.07</v>
      </c>
      <c r="M760" s="88">
        <f t="shared" si="91"/>
        <v>20.07</v>
      </c>
      <c r="N760" s="7">
        <f>+I760+20-1</f>
        <v>42552</v>
      </c>
      <c r="O760" s="1">
        <v>1567800</v>
      </c>
      <c r="P760" s="107">
        <f t="shared" si="93"/>
        <v>1565460</v>
      </c>
      <c r="Q760" s="178">
        <v>42551</v>
      </c>
      <c r="R760" s="66">
        <v>42552</v>
      </c>
      <c r="S760" s="187">
        <f t="shared" si="90"/>
        <v>0</v>
      </c>
    </row>
    <row r="761" spans="1:19" s="3" customFormat="1" hidden="1" x14ac:dyDescent="0.25">
      <c r="A761" s="30">
        <f>+closed!A752+1</f>
        <v>93</v>
      </c>
      <c r="B761" s="24">
        <v>42535</v>
      </c>
      <c r="C761" s="1">
        <v>103</v>
      </c>
      <c r="D761" s="1">
        <v>3000031497</v>
      </c>
      <c r="E761" s="1" t="s">
        <v>159</v>
      </c>
      <c r="F761" s="1">
        <v>227</v>
      </c>
      <c r="G761" s="25">
        <v>42528</v>
      </c>
      <c r="H761" s="74"/>
      <c r="I761" s="74">
        <v>42532</v>
      </c>
      <c r="J761" s="1" t="s">
        <v>61</v>
      </c>
      <c r="K761" s="77">
        <v>19.98</v>
      </c>
      <c r="L761" s="1">
        <v>19.88</v>
      </c>
      <c r="M761" s="88">
        <f t="shared" si="91"/>
        <v>19.88</v>
      </c>
      <c r="N761" s="7">
        <f>+I761+20-1</f>
        <v>42551</v>
      </c>
      <c r="O761" s="1">
        <v>1598401</v>
      </c>
      <c r="P761" s="36">
        <f t="shared" si="93"/>
        <v>1590400.994994995</v>
      </c>
      <c r="Q761" s="178">
        <v>42551</v>
      </c>
      <c r="R761" s="66">
        <v>42552</v>
      </c>
      <c r="S761" s="187">
        <f t="shared" si="90"/>
        <v>1</v>
      </c>
    </row>
    <row r="762" spans="1:19" s="3" customFormat="1" hidden="1" x14ac:dyDescent="0.25">
      <c r="A762" s="30">
        <f>+closed!A749+1</f>
        <v>84</v>
      </c>
      <c r="B762" s="24">
        <v>42536</v>
      </c>
      <c r="C762" s="1">
        <v>103</v>
      </c>
      <c r="D762" s="1">
        <v>3000031497</v>
      </c>
      <c r="E762" s="1" t="s">
        <v>159</v>
      </c>
      <c r="F762" s="1">
        <v>229</v>
      </c>
      <c r="G762" s="25">
        <v>42528</v>
      </c>
      <c r="H762" s="74"/>
      <c r="I762" s="74">
        <v>42533</v>
      </c>
      <c r="J762" s="1" t="s">
        <v>61</v>
      </c>
      <c r="K762" s="77">
        <v>20.16</v>
      </c>
      <c r="L762" s="1">
        <v>20.07</v>
      </c>
      <c r="M762" s="88">
        <f t="shared" si="91"/>
        <v>20.07</v>
      </c>
      <c r="N762" s="7">
        <f>+I762+20-1</f>
        <v>42552</v>
      </c>
      <c r="O762" s="1">
        <v>1612801</v>
      </c>
      <c r="P762" s="36">
        <f t="shared" si="93"/>
        <v>1605600.9955357143</v>
      </c>
      <c r="Q762" s="178">
        <v>42551</v>
      </c>
      <c r="R762" s="66">
        <v>42552</v>
      </c>
      <c r="S762" s="187">
        <f t="shared" si="90"/>
        <v>0</v>
      </c>
    </row>
    <row r="763" spans="1:19" s="3" customFormat="1" hidden="1" x14ac:dyDescent="0.25">
      <c r="A763" s="30">
        <f>+closed!A944+1</f>
        <v>25</v>
      </c>
      <c r="B763" s="24">
        <v>42543</v>
      </c>
      <c r="C763" s="1">
        <v>114</v>
      </c>
      <c r="D763" s="1">
        <v>3000031538</v>
      </c>
      <c r="E763" s="1" t="s">
        <v>159</v>
      </c>
      <c r="F763" s="1">
        <v>235</v>
      </c>
      <c r="G763" s="25">
        <v>42531</v>
      </c>
      <c r="H763" s="74"/>
      <c r="I763" s="74">
        <v>42539</v>
      </c>
      <c r="J763" s="1" t="s">
        <v>61</v>
      </c>
      <c r="K763" s="77">
        <v>20</v>
      </c>
      <c r="L763" s="1">
        <v>20.03</v>
      </c>
      <c r="M763" s="88">
        <f t="shared" si="91"/>
        <v>20</v>
      </c>
      <c r="N763" s="7">
        <f>+I763+15-1</f>
        <v>42553</v>
      </c>
      <c r="O763" s="1">
        <v>1679999</v>
      </c>
      <c r="P763" s="36">
        <f t="shared" si="93"/>
        <v>1679999</v>
      </c>
      <c r="Q763" s="178">
        <v>42551</v>
      </c>
      <c r="R763" s="66">
        <v>42552</v>
      </c>
      <c r="S763" s="187">
        <f t="shared" si="90"/>
        <v>-1</v>
      </c>
    </row>
    <row r="764" spans="1:19" s="3" customFormat="1" hidden="1" x14ac:dyDescent="0.25">
      <c r="A764" s="30">
        <f>+closed!A721+1</f>
        <v>16</v>
      </c>
      <c r="B764" s="24">
        <v>42541</v>
      </c>
      <c r="C764" s="1">
        <v>114</v>
      </c>
      <c r="D764" s="1">
        <v>3000030406</v>
      </c>
      <c r="E764" s="1" t="s">
        <v>39</v>
      </c>
      <c r="F764" s="1">
        <v>22</v>
      </c>
      <c r="G764" s="25">
        <v>42535</v>
      </c>
      <c r="H764" s="74"/>
      <c r="I764" s="74">
        <v>42537</v>
      </c>
      <c r="J764" s="1" t="s">
        <v>8</v>
      </c>
      <c r="K764" s="77">
        <v>29.215</v>
      </c>
      <c r="L764" s="1">
        <v>29.15</v>
      </c>
      <c r="M764" s="88">
        <f t="shared" si="91"/>
        <v>29.15</v>
      </c>
      <c r="N764" s="7">
        <f>+I764+15-1</f>
        <v>42551</v>
      </c>
      <c r="O764" s="1">
        <v>1612668</v>
      </c>
      <c r="P764" s="26">
        <f t="shared" si="93"/>
        <v>1609080</v>
      </c>
      <c r="Q764" s="178">
        <v>42551</v>
      </c>
      <c r="R764" s="66">
        <v>42551</v>
      </c>
      <c r="S764" s="187">
        <f t="shared" si="90"/>
        <v>0</v>
      </c>
    </row>
    <row r="765" spans="1:19" s="3" customFormat="1" x14ac:dyDescent="0.25">
      <c r="A765" s="30">
        <f>+closed!A760+1</f>
        <v>81</v>
      </c>
      <c r="B765" s="24">
        <v>42536</v>
      </c>
      <c r="C765" s="1">
        <v>103</v>
      </c>
      <c r="D765" s="1">
        <v>3000030763</v>
      </c>
      <c r="E765" s="1" t="s">
        <v>144</v>
      </c>
      <c r="F765" s="1">
        <v>468</v>
      </c>
      <c r="G765" s="25">
        <v>42530</v>
      </c>
      <c r="H765" s="74"/>
      <c r="I765" s="74">
        <v>42534</v>
      </c>
      <c r="J765" s="1" t="s">
        <v>61</v>
      </c>
      <c r="K765" s="77">
        <v>20.5</v>
      </c>
      <c r="L765" s="1">
        <v>20.329999999999998</v>
      </c>
      <c r="M765" s="88">
        <f t="shared" si="91"/>
        <v>20.329999999999998</v>
      </c>
      <c r="N765" s="7">
        <f>+I765+20-1</f>
        <v>42553</v>
      </c>
      <c r="O765" s="1">
        <v>1721938</v>
      </c>
      <c r="P765" s="36">
        <f t="shared" si="93"/>
        <v>1707658.5141463415</v>
      </c>
      <c r="Q765" s="178">
        <v>42551</v>
      </c>
      <c r="R765" s="66">
        <v>42551</v>
      </c>
      <c r="S765" s="187">
        <f t="shared" si="90"/>
        <v>-2</v>
      </c>
    </row>
    <row r="766" spans="1:19" s="3" customFormat="1" hidden="1" x14ac:dyDescent="0.25">
      <c r="A766" s="30">
        <f>+closed!A609+1</f>
        <v>471</v>
      </c>
      <c r="B766" s="24">
        <v>42543</v>
      </c>
      <c r="C766" s="1">
        <v>114</v>
      </c>
      <c r="D766" s="1">
        <v>3000031535</v>
      </c>
      <c r="E766" s="1" t="s">
        <v>180</v>
      </c>
      <c r="F766" s="1">
        <v>96</v>
      </c>
      <c r="G766" s="25">
        <v>42527</v>
      </c>
      <c r="H766" s="74"/>
      <c r="I766" s="74">
        <v>42539</v>
      </c>
      <c r="J766" s="1" t="s">
        <v>61</v>
      </c>
      <c r="K766" s="77">
        <v>20.11</v>
      </c>
      <c r="L766" s="1">
        <v>20.149999999999999</v>
      </c>
      <c r="M766" s="88">
        <f t="shared" si="91"/>
        <v>20.11</v>
      </c>
      <c r="N766" s="7">
        <f t="shared" ref="N766:N771" si="94">+I766+15-1</f>
        <v>42553</v>
      </c>
      <c r="O766" s="1">
        <v>1689410</v>
      </c>
      <c r="P766" s="26">
        <f t="shared" si="93"/>
        <v>1689410.0000000002</v>
      </c>
      <c r="Q766" s="178">
        <v>42551</v>
      </c>
      <c r="R766" s="66">
        <v>42552</v>
      </c>
      <c r="S766" s="187">
        <f t="shared" si="90"/>
        <v>-1</v>
      </c>
    </row>
    <row r="767" spans="1:19" s="3" customFormat="1" hidden="1" x14ac:dyDescent="0.25">
      <c r="A767" s="30">
        <f>+closed!A833+1</f>
        <v>33</v>
      </c>
      <c r="B767" s="24">
        <v>42545</v>
      </c>
      <c r="C767" s="1">
        <v>114</v>
      </c>
      <c r="D767" s="1">
        <v>3000031535</v>
      </c>
      <c r="E767" s="1" t="s">
        <v>180</v>
      </c>
      <c r="F767" s="1">
        <v>97</v>
      </c>
      <c r="G767" s="25">
        <v>42527</v>
      </c>
      <c r="H767" s="25"/>
      <c r="I767" s="25">
        <v>42539</v>
      </c>
      <c r="J767" s="1" t="s">
        <v>61</v>
      </c>
      <c r="K767" s="77">
        <v>20</v>
      </c>
      <c r="L767" s="1">
        <v>19.98</v>
      </c>
      <c r="M767" s="1">
        <f t="shared" si="91"/>
        <v>19.98</v>
      </c>
      <c r="N767" s="7">
        <f t="shared" si="94"/>
        <v>42553</v>
      </c>
      <c r="O767" s="1">
        <v>1680200</v>
      </c>
      <c r="P767" s="26">
        <f t="shared" si="93"/>
        <v>1678519.8</v>
      </c>
      <c r="Q767" s="178">
        <v>42551</v>
      </c>
      <c r="R767" s="66">
        <v>42552</v>
      </c>
      <c r="S767" s="187">
        <f t="shared" si="90"/>
        <v>-1</v>
      </c>
    </row>
    <row r="768" spans="1:19" s="3" customFormat="1" hidden="1" x14ac:dyDescent="0.25">
      <c r="A768" s="30">
        <f>+closed!A767+1</f>
        <v>34</v>
      </c>
      <c r="B768" s="24">
        <v>42545</v>
      </c>
      <c r="C768" s="1">
        <v>114</v>
      </c>
      <c r="D768" s="1">
        <v>3000031535</v>
      </c>
      <c r="E768" s="1" t="s">
        <v>180</v>
      </c>
      <c r="F768" s="1">
        <v>98</v>
      </c>
      <c r="G768" s="25">
        <v>42527</v>
      </c>
      <c r="H768" s="25"/>
      <c r="I768" s="25">
        <v>42539</v>
      </c>
      <c r="J768" s="1" t="s">
        <v>61</v>
      </c>
      <c r="K768" s="77">
        <v>20.079999999999998</v>
      </c>
      <c r="L768" s="1">
        <v>20.03</v>
      </c>
      <c r="M768" s="1">
        <f t="shared" si="91"/>
        <v>20.03</v>
      </c>
      <c r="N768" s="7">
        <f t="shared" si="94"/>
        <v>42553</v>
      </c>
      <c r="O768" s="1">
        <v>1686910</v>
      </c>
      <c r="P768" s="26">
        <f t="shared" si="93"/>
        <v>1682709.5268924306</v>
      </c>
      <c r="Q768" s="178">
        <v>42551</v>
      </c>
      <c r="R768" s="66">
        <v>42552</v>
      </c>
      <c r="S768" s="187">
        <f t="shared" si="90"/>
        <v>-1</v>
      </c>
    </row>
    <row r="769" spans="1:22" s="3" customFormat="1" hidden="1" x14ac:dyDescent="0.25">
      <c r="A769" s="30">
        <f>+closed!A766+1</f>
        <v>472</v>
      </c>
      <c r="B769" s="24">
        <v>42543</v>
      </c>
      <c r="C769" s="1">
        <v>114</v>
      </c>
      <c r="D769" s="1">
        <v>3000031535</v>
      </c>
      <c r="E769" s="1" t="s">
        <v>180</v>
      </c>
      <c r="F769" s="1">
        <v>99</v>
      </c>
      <c r="G769" s="25">
        <v>42527</v>
      </c>
      <c r="H769" s="74"/>
      <c r="I769" s="74">
        <v>42539</v>
      </c>
      <c r="J769" s="1" t="s">
        <v>61</v>
      </c>
      <c r="K769" s="77">
        <v>20.079999999999998</v>
      </c>
      <c r="L769" s="1">
        <v>20.11</v>
      </c>
      <c r="M769" s="88">
        <f t="shared" si="91"/>
        <v>20.079999999999998</v>
      </c>
      <c r="N769" s="7">
        <f t="shared" si="94"/>
        <v>42553</v>
      </c>
      <c r="O769" s="1">
        <v>1686910</v>
      </c>
      <c r="P769" s="26">
        <f t="shared" si="93"/>
        <v>1686910</v>
      </c>
      <c r="Q769" s="178">
        <v>42551</v>
      </c>
      <c r="R769" s="66">
        <v>42552</v>
      </c>
      <c r="S769" s="187">
        <f t="shared" si="90"/>
        <v>-1</v>
      </c>
    </row>
    <row r="770" spans="1:22" s="3" customFormat="1" hidden="1" x14ac:dyDescent="0.25">
      <c r="A770" s="30">
        <f>+closed!A769+1</f>
        <v>473</v>
      </c>
      <c r="B770" s="24">
        <v>42543</v>
      </c>
      <c r="C770" s="1">
        <v>114</v>
      </c>
      <c r="D770" s="1">
        <v>3000031535</v>
      </c>
      <c r="E770" s="1" t="s">
        <v>180</v>
      </c>
      <c r="F770" s="1">
        <v>100</v>
      </c>
      <c r="G770" s="25">
        <v>42527</v>
      </c>
      <c r="H770" s="74"/>
      <c r="I770" s="74">
        <v>42539</v>
      </c>
      <c r="J770" s="1" t="s">
        <v>61</v>
      </c>
      <c r="K770" s="77">
        <v>20.46</v>
      </c>
      <c r="L770" s="1">
        <v>20.5</v>
      </c>
      <c r="M770" s="88">
        <f t="shared" si="91"/>
        <v>20.46</v>
      </c>
      <c r="N770" s="7">
        <f t="shared" si="94"/>
        <v>42553</v>
      </c>
      <c r="O770" s="1">
        <v>1718850</v>
      </c>
      <c r="P770" s="26">
        <f t="shared" si="93"/>
        <v>1718850</v>
      </c>
      <c r="Q770" s="178">
        <v>42551</v>
      </c>
      <c r="R770" s="66">
        <v>42552</v>
      </c>
      <c r="S770" s="187">
        <f t="shared" si="90"/>
        <v>-1</v>
      </c>
    </row>
    <row r="771" spans="1:22" s="41" customFormat="1" hidden="1" x14ac:dyDescent="0.25">
      <c r="A771" s="122">
        <f>+closed!A652+1</f>
        <v>18</v>
      </c>
      <c r="B771" s="51">
        <v>42541</v>
      </c>
      <c r="C771" s="21">
        <v>103</v>
      </c>
      <c r="D771" s="21"/>
      <c r="E771" s="21" t="s">
        <v>175</v>
      </c>
      <c r="F771" s="27" t="s">
        <v>176</v>
      </c>
      <c r="G771" s="52">
        <v>42509</v>
      </c>
      <c r="H771" s="123"/>
      <c r="I771" s="123">
        <v>42509</v>
      </c>
      <c r="J771" s="21"/>
      <c r="K771" s="124"/>
      <c r="L771" s="21"/>
      <c r="M771" s="21">
        <f t="shared" si="91"/>
        <v>0</v>
      </c>
      <c r="N771" s="22">
        <f t="shared" si="94"/>
        <v>42523</v>
      </c>
      <c r="O771" s="21">
        <v>355686</v>
      </c>
      <c r="P771" s="108">
        <f>(O771- (O771*10%))</f>
        <v>320117.40000000002</v>
      </c>
      <c r="Q771" s="178">
        <v>42551</v>
      </c>
      <c r="R771" s="66">
        <v>42569</v>
      </c>
      <c r="S771" s="187">
        <f t="shared" si="90"/>
        <v>46</v>
      </c>
    </row>
    <row r="772" spans="1:22" s="3" customFormat="1" hidden="1" x14ac:dyDescent="0.25">
      <c r="A772" s="125">
        <f>+closed!A844+1</f>
        <v>53</v>
      </c>
      <c r="B772" s="126">
        <v>42551</v>
      </c>
      <c r="C772" s="16">
        <v>103</v>
      </c>
      <c r="D772" s="16">
        <v>3000030160</v>
      </c>
      <c r="E772" s="20" t="s">
        <v>26</v>
      </c>
      <c r="F772" s="16">
        <v>93</v>
      </c>
      <c r="G772" s="127">
        <v>42488</v>
      </c>
      <c r="H772" s="127"/>
      <c r="I772" s="127">
        <v>42488</v>
      </c>
      <c r="J772" s="20" t="s">
        <v>63</v>
      </c>
      <c r="K772" s="128">
        <v>18.3</v>
      </c>
      <c r="L772" s="16">
        <v>18.3</v>
      </c>
      <c r="M772" s="16">
        <f t="shared" si="91"/>
        <v>18.3</v>
      </c>
      <c r="N772" s="129">
        <f>+I772+20-1</f>
        <v>42507</v>
      </c>
      <c r="O772" s="16">
        <v>1453839</v>
      </c>
      <c r="P772" s="107">
        <f t="shared" ref="P772:P802" si="95">(+O772/K772*M772)</f>
        <v>1453839.0000000002</v>
      </c>
      <c r="Q772" s="178">
        <v>42551</v>
      </c>
      <c r="R772" s="66">
        <v>42551</v>
      </c>
    </row>
    <row r="773" spans="1:22" s="3" customFormat="1" hidden="1" x14ac:dyDescent="0.25">
      <c r="A773" s="125">
        <f>+closed!A772+1</f>
        <v>54</v>
      </c>
      <c r="B773" s="126">
        <v>42551</v>
      </c>
      <c r="C773" s="16">
        <v>103</v>
      </c>
      <c r="D773" s="16">
        <v>3000030160</v>
      </c>
      <c r="E773" s="16" t="s">
        <v>26</v>
      </c>
      <c r="F773" s="16">
        <v>94</v>
      </c>
      <c r="G773" s="127">
        <v>42488</v>
      </c>
      <c r="H773" s="127"/>
      <c r="I773" s="127">
        <v>42488</v>
      </c>
      <c r="J773" s="16" t="s">
        <v>63</v>
      </c>
      <c r="K773" s="128">
        <v>26.74</v>
      </c>
      <c r="L773" s="16">
        <v>26.74</v>
      </c>
      <c r="M773" s="16">
        <f t="shared" si="91"/>
        <v>26.74</v>
      </c>
      <c r="N773" s="129">
        <f>+I773+20-1</f>
        <v>42507</v>
      </c>
      <c r="O773" s="16">
        <v>2124352</v>
      </c>
      <c r="P773" s="107">
        <f t="shared" si="95"/>
        <v>2124352</v>
      </c>
      <c r="Q773" s="178">
        <v>42551</v>
      </c>
      <c r="R773" s="66">
        <v>42551</v>
      </c>
    </row>
    <row r="774" spans="1:22" s="3" customFormat="1" hidden="1" x14ac:dyDescent="0.25">
      <c r="A774" s="125">
        <f>+closed!A773+1</f>
        <v>55</v>
      </c>
      <c r="B774" s="126">
        <v>42551</v>
      </c>
      <c r="C774" s="16">
        <v>103</v>
      </c>
      <c r="D774" s="16">
        <v>3000030160</v>
      </c>
      <c r="E774" s="16" t="s">
        <v>26</v>
      </c>
      <c r="F774" s="16">
        <v>95</v>
      </c>
      <c r="G774" s="127">
        <v>42488</v>
      </c>
      <c r="H774" s="127"/>
      <c r="I774" s="127">
        <v>42488</v>
      </c>
      <c r="J774" s="16" t="s">
        <v>63</v>
      </c>
      <c r="K774" s="128">
        <v>28.2</v>
      </c>
      <c r="L774" s="16">
        <v>28.2</v>
      </c>
      <c r="M774" s="16">
        <f t="shared" si="91"/>
        <v>28.2</v>
      </c>
      <c r="N774" s="129">
        <f>+I774+20-1</f>
        <v>42507</v>
      </c>
      <c r="O774" s="16">
        <v>2240342</v>
      </c>
      <c r="P774" s="107">
        <f t="shared" si="95"/>
        <v>2240342</v>
      </c>
      <c r="Q774" s="178">
        <v>42551</v>
      </c>
      <c r="R774" s="66">
        <v>42551</v>
      </c>
    </row>
    <row r="775" spans="1:22" s="3" customFormat="1" hidden="1" x14ac:dyDescent="0.25">
      <c r="A775" s="125">
        <f>+closed!A774+1</f>
        <v>56</v>
      </c>
      <c r="B775" s="126">
        <v>42551</v>
      </c>
      <c r="C775" s="16">
        <v>103</v>
      </c>
      <c r="D775" s="16">
        <v>3000030160</v>
      </c>
      <c r="E775" s="16" t="s">
        <v>26</v>
      </c>
      <c r="F775" s="16">
        <v>96</v>
      </c>
      <c r="G775" s="127">
        <v>42488</v>
      </c>
      <c r="H775" s="127"/>
      <c r="I775" s="127">
        <v>42488</v>
      </c>
      <c r="J775" s="16" t="s">
        <v>63</v>
      </c>
      <c r="K775" s="128">
        <v>27.05</v>
      </c>
      <c r="L775" s="16">
        <v>27.05</v>
      </c>
      <c r="M775" s="16">
        <f t="shared" si="91"/>
        <v>27.05</v>
      </c>
      <c r="N775" s="129">
        <f>+I775+20-1</f>
        <v>42507</v>
      </c>
      <c r="O775" s="16">
        <v>2148980</v>
      </c>
      <c r="P775" s="107">
        <f t="shared" si="95"/>
        <v>2148980</v>
      </c>
      <c r="Q775" s="178">
        <v>42551</v>
      </c>
      <c r="R775" s="66">
        <v>42551</v>
      </c>
    </row>
    <row r="776" spans="1:22" s="3" customFormat="1" hidden="1" x14ac:dyDescent="0.25">
      <c r="A776" s="125">
        <f>+closed!A775+1</f>
        <v>57</v>
      </c>
      <c r="B776" s="126">
        <v>42551</v>
      </c>
      <c r="C776" s="16">
        <v>103</v>
      </c>
      <c r="D776" s="16">
        <v>3000030160</v>
      </c>
      <c r="E776" s="16" t="s">
        <v>26</v>
      </c>
      <c r="F776" s="16">
        <v>97</v>
      </c>
      <c r="G776" s="127">
        <v>42488</v>
      </c>
      <c r="H776" s="127"/>
      <c r="I776" s="127">
        <v>42488</v>
      </c>
      <c r="J776" s="16" t="s">
        <v>63</v>
      </c>
      <c r="K776" s="128">
        <v>26.73</v>
      </c>
      <c r="L776" s="16">
        <v>26.73</v>
      </c>
      <c r="M776" s="16">
        <f t="shared" si="91"/>
        <v>26.73</v>
      </c>
      <c r="N776" s="129">
        <f>+I776+20-1</f>
        <v>42507</v>
      </c>
      <c r="O776" s="16">
        <v>2123558</v>
      </c>
      <c r="P776" s="107">
        <f t="shared" si="95"/>
        <v>2123558</v>
      </c>
      <c r="Q776" s="178">
        <v>42551</v>
      </c>
      <c r="R776" s="66">
        <v>42551</v>
      </c>
      <c r="T776" s="15" t="s">
        <v>193</v>
      </c>
      <c r="U776" s="15"/>
      <c r="V776" s="15"/>
    </row>
    <row r="777" spans="1:22" s="3" customFormat="1" hidden="1" x14ac:dyDescent="0.25">
      <c r="A777" s="102">
        <f>+closed!A778+1</f>
        <v>520</v>
      </c>
      <c r="B777" s="103">
        <v>42523</v>
      </c>
      <c r="C777" s="8">
        <v>103</v>
      </c>
      <c r="D777" s="8">
        <v>3000030560</v>
      </c>
      <c r="E777" s="8" t="s">
        <v>23</v>
      </c>
      <c r="F777" s="8">
        <v>2602048482</v>
      </c>
      <c r="G777" s="104">
        <v>42511</v>
      </c>
      <c r="H777" s="105"/>
      <c r="I777" s="105">
        <v>42514</v>
      </c>
      <c r="J777" s="8" t="s">
        <v>43</v>
      </c>
      <c r="K777" s="106">
        <v>22.725000000000001</v>
      </c>
      <c r="L777" s="8">
        <v>22.74</v>
      </c>
      <c r="M777" s="8">
        <f t="shared" si="91"/>
        <v>22.725000000000001</v>
      </c>
      <c r="N777" s="11"/>
      <c r="O777" s="8">
        <v>1093145</v>
      </c>
      <c r="P777" s="57">
        <f t="shared" si="95"/>
        <v>1093145</v>
      </c>
      <c r="Q777" s="180">
        <v>42551</v>
      </c>
      <c r="R777" s="23">
        <v>42551</v>
      </c>
    </row>
    <row r="778" spans="1:22" s="3" customFormat="1" hidden="1" x14ac:dyDescent="0.25">
      <c r="A778" s="102">
        <f>+closed!A779+1</f>
        <v>519</v>
      </c>
      <c r="B778" s="103">
        <v>42523</v>
      </c>
      <c r="C778" s="8">
        <v>103</v>
      </c>
      <c r="D778" s="8">
        <v>3000030560</v>
      </c>
      <c r="E778" s="8" t="s">
        <v>23</v>
      </c>
      <c r="F778" s="8">
        <v>2602048454</v>
      </c>
      <c r="G778" s="104">
        <v>42511</v>
      </c>
      <c r="H778" s="105"/>
      <c r="I778" s="105">
        <v>42512</v>
      </c>
      <c r="J778" s="8" t="s">
        <v>43</v>
      </c>
      <c r="K778" s="106">
        <v>20.3</v>
      </c>
      <c r="L778" s="8">
        <v>20.29</v>
      </c>
      <c r="M778" s="8">
        <f t="shared" si="91"/>
        <v>20.29</v>
      </c>
      <c r="N778" s="11"/>
      <c r="O778" s="8">
        <v>976495</v>
      </c>
      <c r="P778" s="57">
        <f t="shared" si="95"/>
        <v>976013.96798029554</v>
      </c>
      <c r="Q778" s="180">
        <v>42551</v>
      </c>
      <c r="R778" s="23">
        <v>42551</v>
      </c>
    </row>
    <row r="779" spans="1:22" s="3" customFormat="1" hidden="1" x14ac:dyDescent="0.25">
      <c r="A779" s="102">
        <f>+closed!A780+1</f>
        <v>518</v>
      </c>
      <c r="B779" s="103">
        <v>42523</v>
      </c>
      <c r="C779" s="8">
        <v>103</v>
      </c>
      <c r="D779" s="8">
        <v>3000030560</v>
      </c>
      <c r="E779" s="8" t="s">
        <v>23</v>
      </c>
      <c r="F779" s="8">
        <v>2602048453</v>
      </c>
      <c r="G779" s="104">
        <v>42511</v>
      </c>
      <c r="H779" s="105"/>
      <c r="I779" s="105">
        <v>42512</v>
      </c>
      <c r="J779" s="8" t="s">
        <v>43</v>
      </c>
      <c r="K779" s="106">
        <v>19.75</v>
      </c>
      <c r="L779" s="8">
        <v>19.739999999999998</v>
      </c>
      <c r="M779" s="8">
        <f t="shared" si="91"/>
        <v>19.739999999999998</v>
      </c>
      <c r="N779" s="11"/>
      <c r="O779" s="8">
        <v>950038</v>
      </c>
      <c r="P779" s="57">
        <f t="shared" si="95"/>
        <v>949556.96810126572</v>
      </c>
      <c r="Q779" s="180">
        <v>42551</v>
      </c>
      <c r="R779" s="23">
        <v>42551</v>
      </c>
    </row>
    <row r="780" spans="1:22" s="3" customFormat="1" hidden="1" x14ac:dyDescent="0.25">
      <c r="A780" s="102">
        <f>+closed!A796+1</f>
        <v>517</v>
      </c>
      <c r="B780" s="103">
        <v>42523</v>
      </c>
      <c r="C780" s="8">
        <v>103</v>
      </c>
      <c r="D780" s="8">
        <v>3000030560</v>
      </c>
      <c r="E780" s="8" t="s">
        <v>23</v>
      </c>
      <c r="F780" s="8">
        <v>2602048424</v>
      </c>
      <c r="G780" s="104">
        <v>42510</v>
      </c>
      <c r="H780" s="105"/>
      <c r="I780" s="105">
        <v>42511</v>
      </c>
      <c r="J780" s="8" t="s">
        <v>43</v>
      </c>
      <c r="K780" s="106">
        <v>20.02</v>
      </c>
      <c r="L780" s="8">
        <v>20.03</v>
      </c>
      <c r="M780" s="8">
        <f t="shared" si="91"/>
        <v>20.02</v>
      </c>
      <c r="N780" s="11"/>
      <c r="O780" s="8">
        <v>963026</v>
      </c>
      <c r="P780" s="57">
        <f t="shared" si="95"/>
        <v>963026</v>
      </c>
      <c r="Q780" s="180">
        <v>42551</v>
      </c>
      <c r="R780" s="23">
        <v>42551</v>
      </c>
    </row>
    <row r="781" spans="1:22" s="3" customFormat="1" hidden="1" x14ac:dyDescent="0.25">
      <c r="A781" s="102">
        <f>+closed!A782+1</f>
        <v>514</v>
      </c>
      <c r="B781" s="103">
        <v>42523</v>
      </c>
      <c r="C781" s="8">
        <v>103</v>
      </c>
      <c r="D781" s="8">
        <v>3000030560</v>
      </c>
      <c r="E781" s="8" t="s">
        <v>23</v>
      </c>
      <c r="F781" s="8">
        <v>2602048336</v>
      </c>
      <c r="G781" s="104">
        <v>42507</v>
      </c>
      <c r="H781" s="105"/>
      <c r="I781" s="105">
        <v>42509</v>
      </c>
      <c r="J781" s="8" t="s">
        <v>43</v>
      </c>
      <c r="K781" s="106">
        <v>22.945</v>
      </c>
      <c r="L781" s="8">
        <v>22.95</v>
      </c>
      <c r="M781" s="8">
        <f t="shared" si="91"/>
        <v>22.945</v>
      </c>
      <c r="N781" s="11"/>
      <c r="O781" s="8">
        <v>1103728</v>
      </c>
      <c r="P781" s="57">
        <f t="shared" si="95"/>
        <v>1103728</v>
      </c>
      <c r="Q781" s="180">
        <v>42551</v>
      </c>
      <c r="R781" s="23">
        <v>42551</v>
      </c>
    </row>
    <row r="782" spans="1:22" s="3" customFormat="1" hidden="1" x14ac:dyDescent="0.25">
      <c r="A782" s="102">
        <f>+closed!A783+1</f>
        <v>513</v>
      </c>
      <c r="B782" s="103">
        <v>42523</v>
      </c>
      <c r="C782" s="8">
        <v>103</v>
      </c>
      <c r="D782" s="8">
        <v>3000030560</v>
      </c>
      <c r="E782" s="8" t="s">
        <v>23</v>
      </c>
      <c r="F782" s="8">
        <v>2602048335</v>
      </c>
      <c r="G782" s="104">
        <v>42506</v>
      </c>
      <c r="H782" s="105"/>
      <c r="I782" s="105">
        <v>42508</v>
      </c>
      <c r="J782" s="8" t="s">
        <v>43</v>
      </c>
      <c r="K782" s="106">
        <v>20.065000000000001</v>
      </c>
      <c r="L782" s="8">
        <v>20.059999999999999</v>
      </c>
      <c r="M782" s="8">
        <f t="shared" si="91"/>
        <v>20.059999999999999</v>
      </c>
      <c r="N782" s="11"/>
      <c r="O782" s="8">
        <v>965191</v>
      </c>
      <c r="P782" s="57">
        <f t="shared" si="95"/>
        <v>964950.48392723629</v>
      </c>
      <c r="Q782" s="180">
        <v>42551</v>
      </c>
      <c r="R782" s="23">
        <v>42551</v>
      </c>
    </row>
    <row r="783" spans="1:22" s="3" customFormat="1" hidden="1" x14ac:dyDescent="0.25">
      <c r="A783" s="102">
        <f>+closed!A784+1</f>
        <v>512</v>
      </c>
      <c r="B783" s="103">
        <v>42523</v>
      </c>
      <c r="C783" s="8">
        <v>103</v>
      </c>
      <c r="D783" s="8">
        <v>3000030560</v>
      </c>
      <c r="E783" s="8" t="s">
        <v>23</v>
      </c>
      <c r="F783" s="8">
        <v>2602048313</v>
      </c>
      <c r="G783" s="104">
        <v>42506</v>
      </c>
      <c r="H783" s="105"/>
      <c r="I783" s="105">
        <v>42508</v>
      </c>
      <c r="J783" s="8" t="s">
        <v>43</v>
      </c>
      <c r="K783" s="106">
        <v>19.614999999999998</v>
      </c>
      <c r="L783" s="8">
        <v>19.600000000000001</v>
      </c>
      <c r="M783" s="8">
        <f t="shared" si="91"/>
        <v>19.600000000000001</v>
      </c>
      <c r="N783" s="11"/>
      <c r="O783" s="8">
        <v>943545</v>
      </c>
      <c r="P783" s="57">
        <f t="shared" si="95"/>
        <v>942823.45144022442</v>
      </c>
      <c r="Q783" s="180">
        <v>42551</v>
      </c>
      <c r="R783" s="23">
        <v>42551</v>
      </c>
    </row>
    <row r="784" spans="1:22" s="3" customFormat="1" hidden="1" x14ac:dyDescent="0.25">
      <c r="A784" s="102">
        <f>+closed!A785+1</f>
        <v>511</v>
      </c>
      <c r="B784" s="103">
        <v>42523</v>
      </c>
      <c r="C784" s="8">
        <v>103</v>
      </c>
      <c r="D784" s="8">
        <v>3000030560</v>
      </c>
      <c r="E784" s="8" t="s">
        <v>23</v>
      </c>
      <c r="F784" s="8">
        <v>2602048310</v>
      </c>
      <c r="G784" s="104">
        <v>42505</v>
      </c>
      <c r="H784" s="105"/>
      <c r="I784" s="105">
        <v>42506</v>
      </c>
      <c r="J784" s="8" t="s">
        <v>43</v>
      </c>
      <c r="K784" s="106">
        <v>20.43</v>
      </c>
      <c r="L784" s="8">
        <v>20.440000000000001</v>
      </c>
      <c r="M784" s="8">
        <f t="shared" si="91"/>
        <v>20.43</v>
      </c>
      <c r="N784" s="11"/>
      <c r="O784" s="8">
        <v>982749</v>
      </c>
      <c r="P784" s="57">
        <f t="shared" si="95"/>
        <v>982749</v>
      </c>
      <c r="Q784" s="180">
        <v>42551</v>
      </c>
      <c r="R784" s="23">
        <v>42551</v>
      </c>
    </row>
    <row r="785" spans="1:22" s="3" customFormat="1" hidden="1" x14ac:dyDescent="0.25">
      <c r="A785" s="102">
        <f>+closed!A786+1</f>
        <v>510</v>
      </c>
      <c r="B785" s="103">
        <v>42523</v>
      </c>
      <c r="C785" s="8">
        <v>103</v>
      </c>
      <c r="D785" s="8">
        <v>3000030560</v>
      </c>
      <c r="E785" s="8" t="s">
        <v>23</v>
      </c>
      <c r="F785" s="8">
        <v>2602048309</v>
      </c>
      <c r="G785" s="104">
        <v>42504</v>
      </c>
      <c r="H785" s="105"/>
      <c r="I785" s="105">
        <v>42505</v>
      </c>
      <c r="J785" s="8" t="s">
        <v>43</v>
      </c>
      <c r="K785" s="106">
        <v>19.93</v>
      </c>
      <c r="L785" s="8">
        <v>19.899999999999999</v>
      </c>
      <c r="M785" s="8">
        <f t="shared" si="91"/>
        <v>19.899999999999999</v>
      </c>
      <c r="N785" s="11"/>
      <c r="O785" s="8">
        <v>958697</v>
      </c>
      <c r="P785" s="57">
        <f t="shared" si="95"/>
        <v>957253.90366281976</v>
      </c>
      <c r="Q785" s="180">
        <v>42551</v>
      </c>
      <c r="R785" s="23">
        <v>42551</v>
      </c>
    </row>
    <row r="786" spans="1:22" s="3" customFormat="1" hidden="1" x14ac:dyDescent="0.25">
      <c r="A786" s="102">
        <f>+closed!A787+1</f>
        <v>509</v>
      </c>
      <c r="B786" s="103">
        <v>42523</v>
      </c>
      <c r="C786" s="8">
        <v>103</v>
      </c>
      <c r="D786" s="8">
        <v>3000030560</v>
      </c>
      <c r="E786" s="8" t="s">
        <v>23</v>
      </c>
      <c r="F786" s="8">
        <v>2602048282</v>
      </c>
      <c r="G786" s="104">
        <v>42504</v>
      </c>
      <c r="H786" s="105"/>
      <c r="I786" s="105">
        <v>42505</v>
      </c>
      <c r="J786" s="8" t="s">
        <v>43</v>
      </c>
      <c r="K786" s="106">
        <v>19.59</v>
      </c>
      <c r="L786" s="8">
        <v>19.59</v>
      </c>
      <c r="M786" s="8">
        <f t="shared" si="91"/>
        <v>19.59</v>
      </c>
      <c r="N786" s="11"/>
      <c r="O786" s="8">
        <v>942342</v>
      </c>
      <c r="P786" s="57">
        <f t="shared" si="95"/>
        <v>942342</v>
      </c>
      <c r="Q786" s="180">
        <v>42551</v>
      </c>
      <c r="R786" s="23">
        <v>42551</v>
      </c>
    </row>
    <row r="787" spans="1:22" s="3" customFormat="1" hidden="1" x14ac:dyDescent="0.25">
      <c r="A787" s="102">
        <f>+closed!A788+1</f>
        <v>508</v>
      </c>
      <c r="B787" s="103">
        <v>42523</v>
      </c>
      <c r="C787" s="8">
        <v>103</v>
      </c>
      <c r="D787" s="8">
        <v>3000030560</v>
      </c>
      <c r="E787" s="8" t="s">
        <v>23</v>
      </c>
      <c r="F787" s="8">
        <v>2602048253</v>
      </c>
      <c r="G787" s="104">
        <v>42502</v>
      </c>
      <c r="H787" s="105"/>
      <c r="I787" s="105">
        <v>42504</v>
      </c>
      <c r="J787" s="8" t="s">
        <v>43</v>
      </c>
      <c r="K787" s="106">
        <v>19.760000000000002</v>
      </c>
      <c r="L787" s="8">
        <v>19.739999999999998</v>
      </c>
      <c r="M787" s="8">
        <f t="shared" si="91"/>
        <v>19.739999999999998</v>
      </c>
      <c r="N787" s="11"/>
      <c r="O787" s="8">
        <v>950519</v>
      </c>
      <c r="P787" s="57">
        <f t="shared" si="95"/>
        <v>949556.93623481772</v>
      </c>
      <c r="Q787" s="180">
        <v>42551</v>
      </c>
      <c r="R787" s="23">
        <v>42551</v>
      </c>
    </row>
    <row r="788" spans="1:22" s="3" customFormat="1" hidden="1" x14ac:dyDescent="0.25">
      <c r="A788" s="102">
        <f>+closed!A789+1</f>
        <v>507</v>
      </c>
      <c r="B788" s="103">
        <v>42523</v>
      </c>
      <c r="C788" s="8">
        <v>103</v>
      </c>
      <c r="D788" s="8">
        <v>3000030560</v>
      </c>
      <c r="E788" s="8" t="s">
        <v>23</v>
      </c>
      <c r="F788" s="8">
        <v>2602048224</v>
      </c>
      <c r="G788" s="104">
        <v>42502</v>
      </c>
      <c r="H788" s="105"/>
      <c r="I788" s="105">
        <v>42504</v>
      </c>
      <c r="J788" s="8" t="s">
        <v>43</v>
      </c>
      <c r="K788" s="106">
        <v>20.52</v>
      </c>
      <c r="L788" s="8">
        <v>20.53</v>
      </c>
      <c r="M788" s="8">
        <f t="shared" si="91"/>
        <v>20.52</v>
      </c>
      <c r="N788" s="11"/>
      <c r="O788" s="8">
        <v>987077</v>
      </c>
      <c r="P788" s="57">
        <f t="shared" si="95"/>
        <v>987076.99999999988</v>
      </c>
      <c r="Q788" s="180">
        <v>42551</v>
      </c>
      <c r="R788" s="23">
        <v>42551</v>
      </c>
    </row>
    <row r="789" spans="1:22" s="3" customFormat="1" hidden="1" x14ac:dyDescent="0.25">
      <c r="A789" s="102">
        <f>+closed!A790+1</f>
        <v>506</v>
      </c>
      <c r="B789" s="103">
        <v>42523</v>
      </c>
      <c r="C789" s="8">
        <v>103</v>
      </c>
      <c r="D789" s="8">
        <v>3000030560</v>
      </c>
      <c r="E789" s="8" t="s">
        <v>23</v>
      </c>
      <c r="F789" s="8">
        <v>2602048221</v>
      </c>
      <c r="G789" s="104">
        <v>42501</v>
      </c>
      <c r="H789" s="105"/>
      <c r="I789" s="105">
        <v>42504</v>
      </c>
      <c r="J789" s="8" t="s">
        <v>43</v>
      </c>
      <c r="K789" s="106">
        <v>19.495000000000001</v>
      </c>
      <c r="L789" s="8">
        <v>19.5</v>
      </c>
      <c r="M789" s="8">
        <f t="shared" si="91"/>
        <v>19.495000000000001</v>
      </c>
      <c r="N789" s="11"/>
      <c r="O789" s="8">
        <v>937772</v>
      </c>
      <c r="P789" s="57">
        <f t="shared" si="95"/>
        <v>937772.00000000012</v>
      </c>
      <c r="Q789" s="180">
        <v>42551</v>
      </c>
      <c r="R789" s="23">
        <v>42551</v>
      </c>
    </row>
    <row r="790" spans="1:22" s="3" customFormat="1" hidden="1" x14ac:dyDescent="0.25">
      <c r="A790" s="102">
        <f>+closed!A604+1</f>
        <v>505</v>
      </c>
      <c r="B790" s="103">
        <v>42523</v>
      </c>
      <c r="C790" s="8">
        <v>103</v>
      </c>
      <c r="D790" s="8">
        <v>3000030560</v>
      </c>
      <c r="E790" s="8" t="s">
        <v>23</v>
      </c>
      <c r="F790" s="8">
        <v>2602048220</v>
      </c>
      <c r="G790" s="104">
        <v>42501</v>
      </c>
      <c r="H790" s="105"/>
      <c r="I790" s="105">
        <v>42504</v>
      </c>
      <c r="J790" s="8" t="s">
        <v>43</v>
      </c>
      <c r="K790" s="106">
        <v>25.78</v>
      </c>
      <c r="L790" s="8">
        <v>25.78</v>
      </c>
      <c r="M790" s="8">
        <f t="shared" si="91"/>
        <v>25.78</v>
      </c>
      <c r="N790" s="11"/>
      <c r="O790" s="8">
        <v>1240101</v>
      </c>
      <c r="P790" s="57">
        <f t="shared" si="95"/>
        <v>1240101</v>
      </c>
      <c r="Q790" s="180">
        <v>42551</v>
      </c>
      <c r="R790" s="23">
        <v>42551</v>
      </c>
    </row>
    <row r="791" spans="1:22" s="3" customFormat="1" hidden="1" x14ac:dyDescent="0.25">
      <c r="A791" s="102">
        <f>+closed!A793+1</f>
        <v>523</v>
      </c>
      <c r="B791" s="103">
        <v>42523</v>
      </c>
      <c r="C791" s="8">
        <v>103</v>
      </c>
      <c r="D791" s="8">
        <v>3000030560</v>
      </c>
      <c r="E791" s="8" t="s">
        <v>23</v>
      </c>
      <c r="F791" s="8">
        <v>2602048540</v>
      </c>
      <c r="G791" s="104">
        <v>42515</v>
      </c>
      <c r="H791" s="105"/>
      <c r="I791" s="105">
        <v>42517</v>
      </c>
      <c r="J791" s="8" t="s">
        <v>43</v>
      </c>
      <c r="K791" s="106">
        <v>26.68</v>
      </c>
      <c r="L791" s="8">
        <v>26.65</v>
      </c>
      <c r="M791" s="8">
        <f t="shared" si="91"/>
        <v>26.65</v>
      </c>
      <c r="N791" s="11"/>
      <c r="O791" s="8">
        <v>1283394</v>
      </c>
      <c r="P791" s="57">
        <f t="shared" si="95"/>
        <v>1281950.9032983507</v>
      </c>
      <c r="Q791" s="180">
        <v>42551</v>
      </c>
      <c r="R791" s="23">
        <v>42551</v>
      </c>
    </row>
    <row r="792" spans="1:22" s="3" customFormat="1" hidden="1" x14ac:dyDescent="0.25">
      <c r="A792" s="102">
        <f>+closed!A791+1</f>
        <v>524</v>
      </c>
      <c r="B792" s="103">
        <v>42523</v>
      </c>
      <c r="C792" s="8">
        <v>103</v>
      </c>
      <c r="D792" s="8">
        <v>3000030560</v>
      </c>
      <c r="E792" s="8" t="s">
        <v>23</v>
      </c>
      <c r="F792" s="8">
        <v>2602048568</v>
      </c>
      <c r="G792" s="104">
        <v>42515</v>
      </c>
      <c r="H792" s="105"/>
      <c r="I792" s="105">
        <v>42517</v>
      </c>
      <c r="J792" s="8" t="s">
        <v>43</v>
      </c>
      <c r="K792" s="106">
        <v>26.33</v>
      </c>
      <c r="L792" s="8">
        <v>26.33</v>
      </c>
      <c r="M792" s="8">
        <f t="shared" si="91"/>
        <v>26.33</v>
      </c>
      <c r="N792" s="11"/>
      <c r="O792" s="8">
        <v>1266557</v>
      </c>
      <c r="P792" s="57">
        <f t="shared" si="95"/>
        <v>1266557</v>
      </c>
      <c r="Q792" s="180">
        <v>42551</v>
      </c>
      <c r="R792" s="23">
        <v>42551</v>
      </c>
    </row>
    <row r="793" spans="1:22" s="3" customFormat="1" hidden="1" x14ac:dyDescent="0.25">
      <c r="A793" s="102">
        <f>+closed!A794+1</f>
        <v>522</v>
      </c>
      <c r="B793" s="103">
        <v>42523</v>
      </c>
      <c r="C793" s="8">
        <v>103</v>
      </c>
      <c r="D793" s="8">
        <v>3000030560</v>
      </c>
      <c r="E793" s="8" t="s">
        <v>23</v>
      </c>
      <c r="F793" s="8">
        <v>2602048493</v>
      </c>
      <c r="G793" s="104">
        <v>42513</v>
      </c>
      <c r="H793" s="105"/>
      <c r="I793" s="105">
        <v>42515</v>
      </c>
      <c r="J793" s="8" t="s">
        <v>43</v>
      </c>
      <c r="K793" s="106">
        <v>20.329999999999998</v>
      </c>
      <c r="L793" s="8">
        <v>20.34</v>
      </c>
      <c r="M793" s="8">
        <f t="shared" si="91"/>
        <v>20.329999999999998</v>
      </c>
      <c r="N793" s="11"/>
      <c r="O793" s="8">
        <v>977938</v>
      </c>
      <c r="P793" s="57">
        <f t="shared" si="95"/>
        <v>977938</v>
      </c>
      <c r="Q793" s="180">
        <v>42551</v>
      </c>
      <c r="R793" s="23">
        <v>42551</v>
      </c>
    </row>
    <row r="794" spans="1:22" s="3" customFormat="1" hidden="1" x14ac:dyDescent="0.25">
      <c r="A794" s="102">
        <f>+closed!A777+1</f>
        <v>521</v>
      </c>
      <c r="B794" s="103">
        <v>42523</v>
      </c>
      <c r="C794" s="8">
        <v>103</v>
      </c>
      <c r="D794" s="8">
        <v>3000030560</v>
      </c>
      <c r="E794" s="8" t="s">
        <v>23</v>
      </c>
      <c r="F794" s="8">
        <v>2602048484</v>
      </c>
      <c r="G794" s="104">
        <v>42513</v>
      </c>
      <c r="H794" s="105"/>
      <c r="I794" s="105">
        <v>42515</v>
      </c>
      <c r="J794" s="8" t="s">
        <v>43</v>
      </c>
      <c r="K794" s="106">
        <v>20.170000000000002</v>
      </c>
      <c r="L794" s="8">
        <v>20.190000000000001</v>
      </c>
      <c r="M794" s="8">
        <f t="shared" si="91"/>
        <v>20.170000000000002</v>
      </c>
      <c r="N794" s="11"/>
      <c r="O794" s="8">
        <v>970241</v>
      </c>
      <c r="P794" s="57">
        <f t="shared" si="95"/>
        <v>970241</v>
      </c>
      <c r="Q794" s="180">
        <v>42551</v>
      </c>
      <c r="R794" s="23">
        <v>42551</v>
      </c>
    </row>
    <row r="795" spans="1:22" s="3" customFormat="1" hidden="1" x14ac:dyDescent="0.25">
      <c r="A795" s="102">
        <f>+closed!A781+1</f>
        <v>515</v>
      </c>
      <c r="B795" s="103">
        <v>42523</v>
      </c>
      <c r="C795" s="8">
        <v>103</v>
      </c>
      <c r="D795" s="8">
        <v>3000030560</v>
      </c>
      <c r="E795" s="8" t="s">
        <v>23</v>
      </c>
      <c r="F795" s="8">
        <v>2602048372</v>
      </c>
      <c r="G795" s="104">
        <v>42508</v>
      </c>
      <c r="H795" s="105"/>
      <c r="I795" s="105">
        <v>42509</v>
      </c>
      <c r="J795" s="8" t="s">
        <v>43</v>
      </c>
      <c r="K795" s="106">
        <v>19.774999999999999</v>
      </c>
      <c r="L795" s="8">
        <v>19.79</v>
      </c>
      <c r="M795" s="8">
        <f t="shared" si="91"/>
        <v>19.774999999999999</v>
      </c>
      <c r="N795" s="11"/>
      <c r="O795" s="8">
        <v>951241</v>
      </c>
      <c r="P795" s="57">
        <f t="shared" si="95"/>
        <v>951240.99999999988</v>
      </c>
      <c r="Q795" s="180">
        <v>42551</v>
      </c>
      <c r="R795" s="23">
        <v>42551</v>
      </c>
    </row>
    <row r="796" spans="1:22" s="3" customFormat="1" hidden="1" x14ac:dyDescent="0.25">
      <c r="A796" s="102">
        <f>+closed!A795+1</f>
        <v>516</v>
      </c>
      <c r="B796" s="103">
        <v>42523</v>
      </c>
      <c r="C796" s="8">
        <v>103</v>
      </c>
      <c r="D796" s="8">
        <v>3000030560</v>
      </c>
      <c r="E796" s="8" t="s">
        <v>23</v>
      </c>
      <c r="F796" s="8">
        <v>2602048397</v>
      </c>
      <c r="G796" s="104">
        <v>42508</v>
      </c>
      <c r="H796" s="105"/>
      <c r="I796" s="105">
        <v>42510</v>
      </c>
      <c r="J796" s="8" t="s">
        <v>43</v>
      </c>
      <c r="K796" s="106">
        <v>22.73</v>
      </c>
      <c r="L796" s="8">
        <v>22.73</v>
      </c>
      <c r="M796" s="8">
        <f t="shared" si="91"/>
        <v>22.73</v>
      </c>
      <c r="N796" s="11"/>
      <c r="O796" s="8">
        <v>1093386</v>
      </c>
      <c r="P796" s="57">
        <f t="shared" si="95"/>
        <v>1093386</v>
      </c>
      <c r="Q796" s="180">
        <v>42551</v>
      </c>
      <c r="R796" s="23">
        <v>42551</v>
      </c>
    </row>
    <row r="797" spans="1:22" s="3" customFormat="1" hidden="1" x14ac:dyDescent="0.25">
      <c r="A797" s="102">
        <f>+closed!A792+1</f>
        <v>525</v>
      </c>
      <c r="B797" s="103">
        <v>42523</v>
      </c>
      <c r="C797" s="8">
        <v>103</v>
      </c>
      <c r="D797" s="8">
        <v>3000030560</v>
      </c>
      <c r="E797" s="8" t="s">
        <v>23</v>
      </c>
      <c r="F797" s="8">
        <v>2602048605</v>
      </c>
      <c r="G797" s="104">
        <v>42516</v>
      </c>
      <c r="H797" s="105"/>
      <c r="I797" s="105">
        <v>42518</v>
      </c>
      <c r="J797" s="8" t="s">
        <v>43</v>
      </c>
      <c r="K797" s="106">
        <v>24.225000000000001</v>
      </c>
      <c r="L797" s="8">
        <v>24.2</v>
      </c>
      <c r="M797" s="8">
        <f t="shared" si="91"/>
        <v>24.2</v>
      </c>
      <c r="N797" s="11"/>
      <c r="O797" s="8">
        <v>1165300</v>
      </c>
      <c r="P797" s="57">
        <f t="shared" si="95"/>
        <v>1164097.4200206397</v>
      </c>
      <c r="Q797" s="180">
        <v>42551</v>
      </c>
      <c r="R797" s="23">
        <v>42551</v>
      </c>
      <c r="S797" s="15" t="s">
        <v>194</v>
      </c>
      <c r="T797" s="15" t="s">
        <v>195</v>
      </c>
      <c r="U797" s="15"/>
      <c r="V797" s="15"/>
    </row>
    <row r="798" spans="1:22" s="3" customFormat="1" hidden="1" x14ac:dyDescent="0.25">
      <c r="A798" s="30">
        <f>+closed!A741+1</f>
        <v>61</v>
      </c>
      <c r="B798" s="24">
        <v>42538</v>
      </c>
      <c r="C798" s="1">
        <v>103</v>
      </c>
      <c r="D798" s="1">
        <v>3000031542</v>
      </c>
      <c r="E798" s="1" t="s">
        <v>169</v>
      </c>
      <c r="F798" s="1">
        <v>54</v>
      </c>
      <c r="G798" s="25">
        <v>42531</v>
      </c>
      <c r="H798" s="74"/>
      <c r="I798" s="74">
        <v>42535</v>
      </c>
      <c r="J798" s="1" t="s">
        <v>61</v>
      </c>
      <c r="K798" s="77">
        <v>20.02</v>
      </c>
      <c r="L798" s="1">
        <v>19.96</v>
      </c>
      <c r="M798" s="88">
        <f t="shared" si="91"/>
        <v>19.96</v>
      </c>
      <c r="N798" s="7">
        <f>+I798+20-1</f>
        <v>42554</v>
      </c>
      <c r="O798" s="1">
        <v>1601600</v>
      </c>
      <c r="P798" s="26">
        <f t="shared" si="95"/>
        <v>1596800</v>
      </c>
      <c r="Q798" s="178">
        <v>42557</v>
      </c>
      <c r="R798" s="66">
        <v>42558</v>
      </c>
      <c r="S798" s="187">
        <f>R798-N798</f>
        <v>4</v>
      </c>
    </row>
    <row r="799" spans="1:22" s="3" customFormat="1" hidden="1" x14ac:dyDescent="0.25">
      <c r="A799" s="30">
        <f>+closed!A826+1</f>
        <v>65</v>
      </c>
      <c r="B799" s="24">
        <v>42538</v>
      </c>
      <c r="C799" s="1">
        <v>103</v>
      </c>
      <c r="D799" s="1">
        <v>3000031523</v>
      </c>
      <c r="E799" s="1" t="s">
        <v>171</v>
      </c>
      <c r="F799" s="1">
        <v>5</v>
      </c>
      <c r="G799" s="25">
        <v>42530</v>
      </c>
      <c r="H799" s="74"/>
      <c r="I799" s="74">
        <v>42535</v>
      </c>
      <c r="J799" s="1" t="s">
        <v>61</v>
      </c>
      <c r="K799" s="77">
        <v>20.149999999999999</v>
      </c>
      <c r="L799" s="1">
        <v>20.079999999999998</v>
      </c>
      <c r="M799" s="88">
        <f t="shared" si="91"/>
        <v>20.079999999999998</v>
      </c>
      <c r="N799" s="7">
        <f>+I799+20-1</f>
        <v>42554</v>
      </c>
      <c r="O799" s="1">
        <v>1571688</v>
      </c>
      <c r="P799" s="26">
        <f t="shared" si="95"/>
        <v>1566228.0416873449</v>
      </c>
      <c r="Q799" s="178">
        <v>42557</v>
      </c>
      <c r="R799" s="66">
        <v>42558</v>
      </c>
      <c r="S799" s="187">
        <f>R799-N799</f>
        <v>4</v>
      </c>
    </row>
    <row r="800" spans="1:22" s="3" customFormat="1" hidden="1" x14ac:dyDescent="0.25">
      <c r="A800" s="30">
        <f>+closed!A846+1</f>
        <v>35</v>
      </c>
      <c r="B800" s="24">
        <v>42548</v>
      </c>
      <c r="C800" s="1">
        <v>103</v>
      </c>
      <c r="D800" s="1">
        <v>3000031295</v>
      </c>
      <c r="E800" s="1" t="s">
        <v>50</v>
      </c>
      <c r="F800" s="1">
        <v>12</v>
      </c>
      <c r="G800" s="25">
        <v>42540</v>
      </c>
      <c r="H800" s="25"/>
      <c r="I800" s="25">
        <v>42540</v>
      </c>
      <c r="J800" s="1" t="s">
        <v>43</v>
      </c>
      <c r="K800" s="77">
        <v>27.64</v>
      </c>
      <c r="L800" s="1">
        <v>27.64</v>
      </c>
      <c r="M800" s="1">
        <f t="shared" si="91"/>
        <v>27.64</v>
      </c>
      <c r="N800" s="7">
        <f>+I800+15-1</f>
        <v>42554</v>
      </c>
      <c r="O800" s="1">
        <v>1614391</v>
      </c>
      <c r="P800" s="26">
        <f t="shared" si="95"/>
        <v>1614391</v>
      </c>
      <c r="Q800" s="178">
        <v>42557</v>
      </c>
      <c r="R800" s="66">
        <v>42558</v>
      </c>
      <c r="S800" s="187">
        <f>R800-N800</f>
        <v>4</v>
      </c>
    </row>
    <row r="801" spans="1:22" s="3" customFormat="1" hidden="1" x14ac:dyDescent="0.25">
      <c r="A801" s="30">
        <f>+closed!A934+1</f>
        <v>51</v>
      </c>
      <c r="B801" s="24">
        <v>42551</v>
      </c>
      <c r="C801" s="1">
        <v>103</v>
      </c>
      <c r="D801" s="1">
        <v>3000031295</v>
      </c>
      <c r="E801" s="1" t="s">
        <v>50</v>
      </c>
      <c r="F801" s="1">
        <v>13</v>
      </c>
      <c r="G801" s="25">
        <v>42541</v>
      </c>
      <c r="H801" s="25"/>
      <c r="I801" s="25">
        <v>42541</v>
      </c>
      <c r="J801" s="1" t="s">
        <v>43</v>
      </c>
      <c r="K801" s="77">
        <v>32.200000000000003</v>
      </c>
      <c r="L801" s="1">
        <v>32.200000000000003</v>
      </c>
      <c r="M801" s="1">
        <f t="shared" si="91"/>
        <v>32.200000000000003</v>
      </c>
      <c r="N801" s="7">
        <f>+I801+15-1</f>
        <v>42555</v>
      </c>
      <c r="O801" s="1">
        <v>1880730</v>
      </c>
      <c r="P801" s="26">
        <f t="shared" si="95"/>
        <v>1880730</v>
      </c>
      <c r="Q801" s="178">
        <v>42557</v>
      </c>
      <c r="R801" s="66">
        <v>42558</v>
      </c>
      <c r="S801" s="187">
        <f>R801-N801</f>
        <v>3</v>
      </c>
    </row>
    <row r="802" spans="1:22" s="3" customFormat="1" hidden="1" x14ac:dyDescent="0.25">
      <c r="A802" s="30">
        <f>+closed!A548+1</f>
        <v>88</v>
      </c>
      <c r="B802" s="24">
        <v>42535</v>
      </c>
      <c r="C802" s="1">
        <v>103</v>
      </c>
      <c r="D802" s="1">
        <v>3000030924</v>
      </c>
      <c r="E802" s="1" t="s">
        <v>146</v>
      </c>
      <c r="F802" s="1">
        <v>1108</v>
      </c>
      <c r="G802" s="25">
        <v>42523</v>
      </c>
      <c r="H802" s="74"/>
      <c r="I802" s="74">
        <v>42531</v>
      </c>
      <c r="J802" s="1" t="s">
        <v>61</v>
      </c>
      <c r="K802" s="77">
        <v>20.11</v>
      </c>
      <c r="L802" s="1">
        <v>20.059999999999999</v>
      </c>
      <c r="M802" s="88">
        <f t="shared" si="91"/>
        <v>20.059999999999999</v>
      </c>
      <c r="N802" s="7">
        <f>+I802+25-1</f>
        <v>42555</v>
      </c>
      <c r="O802" s="1">
        <v>1669130</v>
      </c>
      <c r="P802" s="26">
        <f t="shared" si="95"/>
        <v>1664980</v>
      </c>
      <c r="Q802" s="178">
        <v>42557</v>
      </c>
      <c r="R802" s="66">
        <v>42558</v>
      </c>
      <c r="S802" s="188">
        <f>R802-N802</f>
        <v>3</v>
      </c>
      <c r="T802" s="15" t="s">
        <v>207</v>
      </c>
      <c r="U802" s="15"/>
      <c r="V802" s="15"/>
    </row>
    <row r="803" spans="1:22" s="3" customFormat="1" hidden="1" x14ac:dyDescent="0.25">
      <c r="A803" s="30">
        <f>+closed!A821+1</f>
        <v>59</v>
      </c>
      <c r="B803" s="24">
        <v>42557</v>
      </c>
      <c r="C803" s="1">
        <v>103</v>
      </c>
      <c r="D803" s="1">
        <v>3000031777</v>
      </c>
      <c r="E803" s="63" t="s">
        <v>218</v>
      </c>
      <c r="F803" s="21">
        <v>9600523099</v>
      </c>
      <c r="G803" s="25">
        <v>42543</v>
      </c>
      <c r="H803" s="25"/>
      <c r="I803" s="25">
        <v>42543</v>
      </c>
      <c r="J803" s="1" t="s">
        <v>16</v>
      </c>
      <c r="K803" s="77">
        <v>24.79</v>
      </c>
      <c r="L803" s="1">
        <v>24.79</v>
      </c>
      <c r="M803" s="1">
        <f t="shared" si="91"/>
        <v>24.79</v>
      </c>
      <c r="N803" s="7">
        <f>+I803+7-1</f>
        <v>42549</v>
      </c>
      <c r="O803" s="1">
        <v>1250462</v>
      </c>
      <c r="P803" s="1">
        <v>1250462</v>
      </c>
      <c r="Q803" s="130" t="s">
        <v>217</v>
      </c>
      <c r="R803" s="66"/>
      <c r="S803" s="132"/>
    </row>
    <row r="804" spans="1:22" s="3" customFormat="1" hidden="1" x14ac:dyDescent="0.25">
      <c r="A804" s="30">
        <f>+closed!A803+1</f>
        <v>60</v>
      </c>
      <c r="B804" s="24">
        <v>42557</v>
      </c>
      <c r="C804" s="1">
        <v>103</v>
      </c>
      <c r="D804" s="1">
        <v>3000031777</v>
      </c>
      <c r="E804" s="63" t="s">
        <v>218</v>
      </c>
      <c r="F804" s="21">
        <v>9600523107</v>
      </c>
      <c r="G804" s="25">
        <v>42543</v>
      </c>
      <c r="H804" s="25"/>
      <c r="I804" s="25">
        <v>42543</v>
      </c>
      <c r="J804" s="1" t="s">
        <v>16</v>
      </c>
      <c r="K804" s="77">
        <v>19.71</v>
      </c>
      <c r="L804" s="1">
        <v>19.71</v>
      </c>
      <c r="M804" s="1">
        <f t="shared" si="91"/>
        <v>19.71</v>
      </c>
      <c r="N804" s="7">
        <f>+I804+7-1</f>
        <v>42549</v>
      </c>
      <c r="O804" s="1">
        <v>994215</v>
      </c>
      <c r="P804" s="1">
        <v>994215</v>
      </c>
      <c r="Q804" s="130" t="s">
        <v>217</v>
      </c>
      <c r="R804" s="66"/>
      <c r="S804" s="132"/>
    </row>
    <row r="805" spans="1:22" s="3" customFormat="1" hidden="1" x14ac:dyDescent="0.25">
      <c r="A805" s="30">
        <f>+closed!A804+1</f>
        <v>61</v>
      </c>
      <c r="B805" s="24">
        <v>42557</v>
      </c>
      <c r="C805" s="1">
        <v>103</v>
      </c>
      <c r="D805" s="1">
        <v>3000031777</v>
      </c>
      <c r="E805" s="63" t="s">
        <v>218</v>
      </c>
      <c r="F805" s="21">
        <v>9600523112</v>
      </c>
      <c r="G805" s="25">
        <v>42543</v>
      </c>
      <c r="H805" s="25"/>
      <c r="I805" s="25">
        <v>42543</v>
      </c>
      <c r="J805" s="1" t="s">
        <v>16</v>
      </c>
      <c r="K805" s="77">
        <v>25.36</v>
      </c>
      <c r="L805" s="1">
        <v>25.36</v>
      </c>
      <c r="M805" s="1">
        <f t="shared" si="91"/>
        <v>25.36</v>
      </c>
      <c r="N805" s="7">
        <f>+I805+7-1</f>
        <v>42549</v>
      </c>
      <c r="O805" s="1">
        <v>1279214</v>
      </c>
      <c r="P805" s="1">
        <v>1279214</v>
      </c>
      <c r="Q805" s="130" t="s">
        <v>217</v>
      </c>
      <c r="R805" s="66"/>
      <c r="S805" s="132"/>
    </row>
    <row r="806" spans="1:22" s="3" customFormat="1" hidden="1" x14ac:dyDescent="0.25">
      <c r="A806" s="30">
        <f>+closed!A805+1</f>
        <v>62</v>
      </c>
      <c r="B806" s="24">
        <v>42557</v>
      </c>
      <c r="C806" s="1">
        <v>103</v>
      </c>
      <c r="D806" s="1">
        <v>3000031777</v>
      </c>
      <c r="E806" s="63" t="s">
        <v>218</v>
      </c>
      <c r="F806" s="21">
        <v>9600523114</v>
      </c>
      <c r="G806" s="25">
        <v>42543</v>
      </c>
      <c r="H806" s="25"/>
      <c r="I806" s="25">
        <v>42543</v>
      </c>
      <c r="J806" s="1" t="s">
        <v>16</v>
      </c>
      <c r="K806" s="77">
        <v>22.76</v>
      </c>
      <c r="L806" s="1">
        <v>22.76</v>
      </c>
      <c r="M806" s="1">
        <f t="shared" ref="M806:M820" si="96">IF(L806&gt;K806,K806,L806)</f>
        <v>22.76</v>
      </c>
      <c r="N806" s="7">
        <f>+I806+7-1</f>
        <v>42549</v>
      </c>
      <c r="O806" s="1">
        <v>1148065</v>
      </c>
      <c r="P806" s="1">
        <v>1148065</v>
      </c>
      <c r="Q806" s="130" t="s">
        <v>217</v>
      </c>
      <c r="R806" s="66"/>
      <c r="S806" s="132"/>
    </row>
    <row r="807" spans="1:22" s="3" customFormat="1" hidden="1" x14ac:dyDescent="0.25">
      <c r="A807" s="30">
        <f>+closed!A625+1</f>
        <v>27</v>
      </c>
      <c r="B807" s="24">
        <v>42543</v>
      </c>
      <c r="C807" s="1">
        <v>103</v>
      </c>
      <c r="D807" s="1">
        <v>3000031411</v>
      </c>
      <c r="E807" s="1" t="s">
        <v>161</v>
      </c>
      <c r="F807" s="21">
        <v>9600522751</v>
      </c>
      <c r="G807" s="25">
        <v>42534</v>
      </c>
      <c r="H807" s="74"/>
      <c r="I807" s="74">
        <v>42534</v>
      </c>
      <c r="J807" s="1" t="s">
        <v>16</v>
      </c>
      <c r="K807" s="77">
        <v>20.37</v>
      </c>
      <c r="L807" s="1">
        <v>20.37</v>
      </c>
      <c r="M807" s="88">
        <f t="shared" si="96"/>
        <v>20.37</v>
      </c>
      <c r="N807" s="7"/>
      <c r="O807" s="1">
        <v>1017837</v>
      </c>
      <c r="P807" s="1">
        <v>1017837</v>
      </c>
      <c r="Q807" s="130" t="s">
        <v>217</v>
      </c>
      <c r="R807" s="1"/>
    </row>
    <row r="808" spans="1:22" s="3" customFormat="1" hidden="1" x14ac:dyDescent="0.25">
      <c r="A808" s="30">
        <f>+closed!A807+1</f>
        <v>28</v>
      </c>
      <c r="B808" s="24">
        <v>42543</v>
      </c>
      <c r="C808" s="1">
        <v>103</v>
      </c>
      <c r="D808" s="1">
        <v>3000031411</v>
      </c>
      <c r="E808" s="1" t="s">
        <v>161</v>
      </c>
      <c r="F808" s="21">
        <v>9600522731</v>
      </c>
      <c r="G808" s="25">
        <v>42534</v>
      </c>
      <c r="H808" s="74"/>
      <c r="I808" s="74">
        <v>42534</v>
      </c>
      <c r="J808" s="1" t="s">
        <v>16</v>
      </c>
      <c r="K808" s="77">
        <v>20.39</v>
      </c>
      <c r="L808" s="1">
        <v>20.39</v>
      </c>
      <c r="M808" s="88">
        <f t="shared" si="96"/>
        <v>20.39</v>
      </c>
      <c r="N808" s="7"/>
      <c r="O808" s="1">
        <v>1018836</v>
      </c>
      <c r="P808" s="1">
        <v>1018836</v>
      </c>
      <c r="Q808" s="130" t="s">
        <v>217</v>
      </c>
      <c r="R808" s="1"/>
    </row>
    <row r="809" spans="1:22" s="3" customFormat="1" hidden="1" x14ac:dyDescent="0.25">
      <c r="A809" s="30">
        <f>+closed!A808+1</f>
        <v>29</v>
      </c>
      <c r="B809" s="24">
        <v>42543</v>
      </c>
      <c r="C809" s="1">
        <v>103</v>
      </c>
      <c r="D809" s="1">
        <v>3000031411</v>
      </c>
      <c r="E809" s="1" t="s">
        <v>161</v>
      </c>
      <c r="F809" s="21">
        <v>9600522526</v>
      </c>
      <c r="G809" s="25">
        <v>42530</v>
      </c>
      <c r="H809" s="74"/>
      <c r="I809" s="74">
        <v>42530</v>
      </c>
      <c r="J809" s="1" t="s">
        <v>16</v>
      </c>
      <c r="K809" s="77">
        <v>19.43</v>
      </c>
      <c r="L809" s="1">
        <v>19.43</v>
      </c>
      <c r="M809" s="88">
        <f t="shared" si="96"/>
        <v>19.43</v>
      </c>
      <c r="N809" s="7"/>
      <c r="O809" s="1">
        <v>970867</v>
      </c>
      <c r="P809" s="1">
        <v>970867</v>
      </c>
      <c r="Q809" s="130" t="s">
        <v>217</v>
      </c>
      <c r="R809" s="1"/>
    </row>
    <row r="810" spans="1:22" s="3" customFormat="1" hidden="1" x14ac:dyDescent="0.25">
      <c r="A810" s="30">
        <f>+closed!A809+1</f>
        <v>30</v>
      </c>
      <c r="B810" s="24">
        <v>42543</v>
      </c>
      <c r="C810" s="1">
        <v>103</v>
      </c>
      <c r="D810" s="1">
        <v>3000031411</v>
      </c>
      <c r="E810" s="1" t="s">
        <v>161</v>
      </c>
      <c r="F810" s="21">
        <v>9600522541</v>
      </c>
      <c r="G810" s="25">
        <v>42530</v>
      </c>
      <c r="H810" s="74"/>
      <c r="I810" s="74">
        <v>42530</v>
      </c>
      <c r="J810" s="1" t="s">
        <v>16</v>
      </c>
      <c r="K810" s="77">
        <v>22.69</v>
      </c>
      <c r="L810" s="1">
        <v>22.69</v>
      </c>
      <c r="M810" s="88">
        <f t="shared" si="96"/>
        <v>22.69</v>
      </c>
      <c r="N810" s="7"/>
      <c r="O810" s="1">
        <v>1133761</v>
      </c>
      <c r="P810" s="1">
        <v>1133761</v>
      </c>
      <c r="Q810" s="130" t="s">
        <v>217</v>
      </c>
      <c r="R810" s="1"/>
    </row>
    <row r="811" spans="1:22" s="3" customFormat="1" hidden="1" x14ac:dyDescent="0.25">
      <c r="A811" s="30">
        <f>+closed!A810+1</f>
        <v>31</v>
      </c>
      <c r="B811" s="24">
        <v>42543</v>
      </c>
      <c r="C811" s="1">
        <v>103</v>
      </c>
      <c r="D811" s="1">
        <v>3000031411</v>
      </c>
      <c r="E811" s="1" t="s">
        <v>161</v>
      </c>
      <c r="F811" s="21">
        <v>9600522519</v>
      </c>
      <c r="G811" s="25">
        <v>42529</v>
      </c>
      <c r="H811" s="74"/>
      <c r="I811" s="74">
        <v>42529</v>
      </c>
      <c r="J811" s="1" t="s">
        <v>16</v>
      </c>
      <c r="K811" s="77">
        <v>19.25</v>
      </c>
      <c r="L811" s="1">
        <v>19.25</v>
      </c>
      <c r="M811" s="88">
        <f t="shared" si="96"/>
        <v>19.25</v>
      </c>
      <c r="N811" s="7"/>
      <c r="O811" s="1">
        <v>961873</v>
      </c>
      <c r="P811" s="1">
        <v>961873</v>
      </c>
      <c r="Q811" s="130" t="s">
        <v>217</v>
      </c>
      <c r="R811" s="1"/>
    </row>
    <row r="812" spans="1:22" s="3" customFormat="1" hidden="1" x14ac:dyDescent="0.25">
      <c r="A812" s="30">
        <f>+closed!A811+1</f>
        <v>32</v>
      </c>
      <c r="B812" s="24">
        <v>42543</v>
      </c>
      <c r="C812" s="1">
        <v>103</v>
      </c>
      <c r="D812" s="1">
        <v>3000031411</v>
      </c>
      <c r="E812" s="1" t="s">
        <v>161</v>
      </c>
      <c r="F812" s="21">
        <v>9600522517</v>
      </c>
      <c r="G812" s="25">
        <v>42529</v>
      </c>
      <c r="H812" s="74"/>
      <c r="I812" s="74">
        <v>42529</v>
      </c>
      <c r="J812" s="1" t="s">
        <v>16</v>
      </c>
      <c r="K812" s="77">
        <v>24.84</v>
      </c>
      <c r="L812" s="1">
        <v>24.84</v>
      </c>
      <c r="M812" s="88">
        <f t="shared" si="96"/>
        <v>24.84</v>
      </c>
      <c r="N812" s="7"/>
      <c r="O812" s="1">
        <v>1241192</v>
      </c>
      <c r="P812" s="1">
        <v>1241192</v>
      </c>
      <c r="Q812" s="130" t="s">
        <v>217</v>
      </c>
      <c r="R812" s="1"/>
    </row>
    <row r="813" spans="1:22" s="3" customFormat="1" hidden="1" x14ac:dyDescent="0.25">
      <c r="A813" s="30">
        <f>+closed!A812+1</f>
        <v>33</v>
      </c>
      <c r="B813" s="24">
        <v>42543</v>
      </c>
      <c r="C813" s="1">
        <v>103</v>
      </c>
      <c r="D813" s="1">
        <v>3000031411</v>
      </c>
      <c r="E813" s="1" t="s">
        <v>161</v>
      </c>
      <c r="F813" s="21">
        <v>9600522626</v>
      </c>
      <c r="G813" s="25">
        <v>42531</v>
      </c>
      <c r="H813" s="74"/>
      <c r="I813" s="74">
        <v>42531</v>
      </c>
      <c r="J813" s="1" t="s">
        <v>16</v>
      </c>
      <c r="K813" s="77">
        <v>23.51</v>
      </c>
      <c r="L813" s="1">
        <v>23.51</v>
      </c>
      <c r="M813" s="88">
        <f t="shared" si="96"/>
        <v>23.51</v>
      </c>
      <c r="N813" s="7"/>
      <c r="O813" s="1">
        <v>1174734</v>
      </c>
      <c r="P813" s="1">
        <v>1174734</v>
      </c>
      <c r="Q813" s="130" t="s">
        <v>217</v>
      </c>
      <c r="R813" s="1"/>
    </row>
    <row r="814" spans="1:22" s="3" customFormat="1" hidden="1" x14ac:dyDescent="0.25">
      <c r="A814" s="30">
        <f>+closed!A813+1</f>
        <v>34</v>
      </c>
      <c r="B814" s="24">
        <v>42543</v>
      </c>
      <c r="C814" s="1">
        <v>103</v>
      </c>
      <c r="D814" s="1">
        <v>3000031411</v>
      </c>
      <c r="E814" s="1" t="s">
        <v>161</v>
      </c>
      <c r="F814" s="21">
        <v>9600522680</v>
      </c>
      <c r="G814" s="25">
        <v>42532</v>
      </c>
      <c r="H814" s="74"/>
      <c r="I814" s="74">
        <v>42532</v>
      </c>
      <c r="J814" s="1" t="s">
        <v>16</v>
      </c>
      <c r="K814" s="77">
        <v>22.69</v>
      </c>
      <c r="L814" s="1">
        <v>22.69</v>
      </c>
      <c r="M814" s="88">
        <f t="shared" si="96"/>
        <v>22.69</v>
      </c>
      <c r="N814" s="7"/>
      <c r="O814" s="1">
        <v>1133761</v>
      </c>
      <c r="P814" s="1">
        <v>1133761</v>
      </c>
      <c r="Q814" s="130" t="s">
        <v>217</v>
      </c>
      <c r="R814" s="1"/>
    </row>
    <row r="815" spans="1:22" s="3" customFormat="1" hidden="1" x14ac:dyDescent="0.25">
      <c r="A815" s="30">
        <f>+closed!A814+1</f>
        <v>35</v>
      </c>
      <c r="B815" s="24">
        <v>42543</v>
      </c>
      <c r="C815" s="1">
        <v>103</v>
      </c>
      <c r="D815" s="1">
        <v>3000031411</v>
      </c>
      <c r="E815" s="1" t="s">
        <v>161</v>
      </c>
      <c r="F815" s="21">
        <v>9600522629</v>
      </c>
      <c r="G815" s="25">
        <v>42531</v>
      </c>
      <c r="H815" s="74"/>
      <c r="I815" s="74">
        <v>42531</v>
      </c>
      <c r="J815" s="1" t="s">
        <v>16</v>
      </c>
      <c r="K815" s="77">
        <v>20.71</v>
      </c>
      <c r="L815" s="1">
        <v>20.71</v>
      </c>
      <c r="M815" s="88">
        <f t="shared" si="96"/>
        <v>20.71</v>
      </c>
      <c r="N815" s="7"/>
      <c r="O815" s="1">
        <v>1034825</v>
      </c>
      <c r="P815" s="1">
        <v>1034825</v>
      </c>
      <c r="Q815" s="130" t="s">
        <v>217</v>
      </c>
      <c r="R815" s="1"/>
    </row>
    <row r="816" spans="1:22" s="3" customFormat="1" hidden="1" x14ac:dyDescent="0.25">
      <c r="A816" s="30">
        <f>+closed!A815+1</f>
        <v>36</v>
      </c>
      <c r="B816" s="24">
        <v>42543</v>
      </c>
      <c r="C816" s="1">
        <v>103</v>
      </c>
      <c r="D816" s="1">
        <v>3000031411</v>
      </c>
      <c r="E816" s="1" t="s">
        <v>161</v>
      </c>
      <c r="F816" s="21">
        <v>9600522600</v>
      </c>
      <c r="G816" s="25">
        <v>42531</v>
      </c>
      <c r="H816" s="74"/>
      <c r="I816" s="74">
        <v>42531</v>
      </c>
      <c r="J816" s="1" t="s">
        <v>16</v>
      </c>
      <c r="K816" s="77">
        <v>22.72</v>
      </c>
      <c r="L816" s="1">
        <v>22.72</v>
      </c>
      <c r="M816" s="88">
        <f t="shared" si="96"/>
        <v>22.72</v>
      </c>
      <c r="N816" s="7"/>
      <c r="O816" s="1">
        <v>1135260</v>
      </c>
      <c r="P816" s="1">
        <v>1135260</v>
      </c>
      <c r="Q816" s="130" t="s">
        <v>217</v>
      </c>
      <c r="R816" s="1"/>
    </row>
    <row r="817" spans="1:19" s="3" customFormat="1" hidden="1" x14ac:dyDescent="0.25">
      <c r="A817" s="30">
        <f>+closed!A816+1</f>
        <v>37</v>
      </c>
      <c r="B817" s="24">
        <v>42543</v>
      </c>
      <c r="C817" s="1">
        <v>103</v>
      </c>
      <c r="D817" s="1">
        <v>3000031411</v>
      </c>
      <c r="E817" s="1" t="s">
        <v>161</v>
      </c>
      <c r="F817" s="21">
        <v>9600522649</v>
      </c>
      <c r="G817" s="25">
        <v>42531</v>
      </c>
      <c r="H817" s="74"/>
      <c r="I817" s="74">
        <v>42531</v>
      </c>
      <c r="J817" s="1" t="s">
        <v>16</v>
      </c>
      <c r="K817" s="77">
        <v>20.59</v>
      </c>
      <c r="L817" s="1">
        <v>20.59</v>
      </c>
      <c r="M817" s="88">
        <f t="shared" si="96"/>
        <v>20.59</v>
      </c>
      <c r="N817" s="7"/>
      <c r="O817" s="1">
        <v>1028830</v>
      </c>
      <c r="P817" s="1">
        <v>1028830</v>
      </c>
      <c r="Q817" s="130" t="s">
        <v>217</v>
      </c>
      <c r="R817" s="1"/>
    </row>
    <row r="818" spans="1:19" s="3" customFormat="1" hidden="1" x14ac:dyDescent="0.25">
      <c r="A818" s="30">
        <f>+closed!A817+1</f>
        <v>38</v>
      </c>
      <c r="B818" s="24">
        <v>42543</v>
      </c>
      <c r="C818" s="1">
        <v>103</v>
      </c>
      <c r="D818" s="1">
        <v>3000031411</v>
      </c>
      <c r="E818" s="1" t="s">
        <v>161</v>
      </c>
      <c r="F818" s="21">
        <v>9600522651</v>
      </c>
      <c r="G818" s="25">
        <v>42531</v>
      </c>
      <c r="H818" s="74"/>
      <c r="I818" s="74">
        <v>42531</v>
      </c>
      <c r="J818" s="1" t="s">
        <v>16</v>
      </c>
      <c r="K818" s="77">
        <v>16</v>
      </c>
      <c r="L818" s="1">
        <v>16</v>
      </c>
      <c r="M818" s="88">
        <f t="shared" si="96"/>
        <v>16</v>
      </c>
      <c r="N818" s="7"/>
      <c r="O818" s="1">
        <v>799479</v>
      </c>
      <c r="P818" s="1">
        <v>799479</v>
      </c>
      <c r="Q818" s="130" t="s">
        <v>217</v>
      </c>
      <c r="R818" s="1"/>
    </row>
    <row r="819" spans="1:19" s="3" customFormat="1" hidden="1" x14ac:dyDescent="0.25">
      <c r="A819" s="30">
        <f>+closed!A818+1</f>
        <v>39</v>
      </c>
      <c r="B819" s="24">
        <v>42543</v>
      </c>
      <c r="C819" s="1">
        <v>103</v>
      </c>
      <c r="D819" s="1">
        <v>3000031411</v>
      </c>
      <c r="E819" s="1" t="s">
        <v>161</v>
      </c>
      <c r="F819" s="21">
        <v>9600522631</v>
      </c>
      <c r="G819" s="25">
        <v>42531</v>
      </c>
      <c r="H819" s="74"/>
      <c r="I819" s="74">
        <v>42531</v>
      </c>
      <c r="J819" s="1" t="s">
        <v>16</v>
      </c>
      <c r="K819" s="77">
        <v>24.88</v>
      </c>
      <c r="L819" s="1">
        <v>24.88</v>
      </c>
      <c r="M819" s="88">
        <f t="shared" si="96"/>
        <v>24.88</v>
      </c>
      <c r="N819" s="7"/>
      <c r="O819" s="1">
        <v>1243190</v>
      </c>
      <c r="P819" s="1">
        <v>1243190</v>
      </c>
      <c r="Q819" s="130" t="s">
        <v>217</v>
      </c>
      <c r="R819" s="1"/>
    </row>
    <row r="820" spans="1:19" s="3" customFormat="1" hidden="1" x14ac:dyDescent="0.25">
      <c r="A820" s="134">
        <f>+closed!A819+1</f>
        <v>40</v>
      </c>
      <c r="B820" s="90">
        <v>42543</v>
      </c>
      <c r="C820" s="91">
        <v>103</v>
      </c>
      <c r="D820" s="91">
        <v>3000031411</v>
      </c>
      <c r="E820" s="91" t="s">
        <v>161</v>
      </c>
      <c r="F820" s="135">
        <v>9600522633</v>
      </c>
      <c r="G820" s="92">
        <v>42531</v>
      </c>
      <c r="H820" s="93"/>
      <c r="I820" s="93">
        <v>42531</v>
      </c>
      <c r="J820" s="91" t="s">
        <v>16</v>
      </c>
      <c r="K820" s="136">
        <v>20.8</v>
      </c>
      <c r="L820" s="91">
        <v>20.8</v>
      </c>
      <c r="M820" s="137">
        <f t="shared" si="96"/>
        <v>20.8</v>
      </c>
      <c r="N820" s="94"/>
      <c r="O820" s="91">
        <v>1039323</v>
      </c>
      <c r="P820" s="91">
        <v>1039323</v>
      </c>
      <c r="Q820" s="181" t="s">
        <v>217</v>
      </c>
      <c r="R820" s="1"/>
    </row>
    <row r="821" spans="1:19" s="18" customFormat="1" hidden="1" x14ac:dyDescent="0.25">
      <c r="A821" s="18">
        <f>+closed!A776+1</f>
        <v>58</v>
      </c>
      <c r="B821" s="60">
        <v>42556</v>
      </c>
      <c r="C821" s="18">
        <v>103</v>
      </c>
      <c r="D821" s="18" t="s">
        <v>196</v>
      </c>
      <c r="E821" s="18" t="s">
        <v>25</v>
      </c>
      <c r="F821" s="63" t="s">
        <v>197</v>
      </c>
      <c r="G821" s="61">
        <v>42521</v>
      </c>
      <c r="H821" s="61"/>
      <c r="I821" s="61">
        <v>42521</v>
      </c>
      <c r="J821" s="133"/>
      <c r="N821" s="62">
        <f t="shared" ref="N821:N843" si="97">+I821+20-1</f>
        <v>42540</v>
      </c>
      <c r="O821" s="18">
        <v>71140</v>
      </c>
      <c r="P821" s="71">
        <f>(O821- (O821*10%))</f>
        <v>64026</v>
      </c>
      <c r="Q821" s="170">
        <v>42559</v>
      </c>
      <c r="R821" s="66">
        <v>42559</v>
      </c>
      <c r="S821" s="187">
        <f t="shared" ref="S821:S846" si="98">R821-N821</f>
        <v>19</v>
      </c>
    </row>
    <row r="822" spans="1:19" s="3" customFormat="1" hidden="1" x14ac:dyDescent="0.25">
      <c r="A822" s="138">
        <f>+closed!A1023+1</f>
        <v>154</v>
      </c>
      <c r="B822" s="139">
        <v>42562</v>
      </c>
      <c r="C822" s="140">
        <v>114</v>
      </c>
      <c r="D822" s="140">
        <v>3000028643</v>
      </c>
      <c r="E822" s="141" t="s">
        <v>47</v>
      </c>
      <c r="F822" s="140">
        <v>244</v>
      </c>
      <c r="G822" s="142">
        <v>42460</v>
      </c>
      <c r="H822" s="142"/>
      <c r="I822" s="142">
        <v>42460</v>
      </c>
      <c r="J822" s="140" t="s">
        <v>48</v>
      </c>
      <c r="K822" s="143" t="s">
        <v>208</v>
      </c>
      <c r="L822" s="140" t="s">
        <v>208</v>
      </c>
      <c r="M822" s="140" t="str">
        <f t="shared" ref="M822:M853" si="99">IF(L822&gt;K822,K822,L822)</f>
        <v>3000 kg</v>
      </c>
      <c r="N822" s="144">
        <f t="shared" si="97"/>
        <v>42479</v>
      </c>
      <c r="O822" s="140">
        <v>360682</v>
      </c>
      <c r="P822" s="145">
        <v>360682</v>
      </c>
      <c r="Q822" s="182">
        <v>42534</v>
      </c>
      <c r="R822" s="66">
        <v>42565</v>
      </c>
      <c r="S822" s="189">
        <f t="shared" si="98"/>
        <v>86</v>
      </c>
    </row>
    <row r="823" spans="1:19" s="3" customFormat="1" hidden="1" x14ac:dyDescent="0.25">
      <c r="A823" s="30">
        <f>+closed!A822+1</f>
        <v>155</v>
      </c>
      <c r="B823" s="24">
        <v>42562</v>
      </c>
      <c r="C823" s="1">
        <v>114</v>
      </c>
      <c r="D823" s="1">
        <v>3000028644</v>
      </c>
      <c r="E823" s="1" t="s">
        <v>47</v>
      </c>
      <c r="F823" s="1">
        <v>3</v>
      </c>
      <c r="G823" s="25">
        <v>42466</v>
      </c>
      <c r="H823" s="25"/>
      <c r="I823" s="25">
        <v>42466</v>
      </c>
      <c r="J823" s="1" t="s">
        <v>48</v>
      </c>
      <c r="K823" s="77" t="s">
        <v>209</v>
      </c>
      <c r="L823" s="1" t="s">
        <v>209</v>
      </c>
      <c r="M823" s="1" t="str">
        <f t="shared" si="99"/>
        <v>2000 kg</v>
      </c>
      <c r="N823" s="7">
        <f t="shared" si="97"/>
        <v>42485</v>
      </c>
      <c r="O823" s="1">
        <v>280092</v>
      </c>
      <c r="P823" s="36">
        <v>280092</v>
      </c>
      <c r="Q823" s="178">
        <v>42534</v>
      </c>
      <c r="R823" s="66">
        <v>42565</v>
      </c>
      <c r="S823" s="187">
        <f t="shared" si="98"/>
        <v>80</v>
      </c>
    </row>
    <row r="824" spans="1:19" s="3" customFormat="1" hidden="1" x14ac:dyDescent="0.25">
      <c r="A824" s="30">
        <f>+closed!A823+1</f>
        <v>156</v>
      </c>
      <c r="B824" s="24">
        <v>42562</v>
      </c>
      <c r="C824" s="1">
        <v>114</v>
      </c>
      <c r="D824" s="1" t="s">
        <v>210</v>
      </c>
      <c r="E824" s="8" t="s">
        <v>47</v>
      </c>
      <c r="F824" s="8" t="s">
        <v>211</v>
      </c>
      <c r="G824" s="25">
        <v>42534</v>
      </c>
      <c r="H824" s="25"/>
      <c r="I824" s="25">
        <v>42534</v>
      </c>
      <c r="J824" s="1"/>
      <c r="K824" s="77"/>
      <c r="L824" s="1"/>
      <c r="M824" s="1">
        <f t="shared" si="99"/>
        <v>0</v>
      </c>
      <c r="N824" s="7">
        <f t="shared" si="97"/>
        <v>42553</v>
      </c>
      <c r="O824" s="1">
        <v>17637</v>
      </c>
      <c r="P824" s="26">
        <v>17637</v>
      </c>
      <c r="Q824" s="178">
        <v>42534</v>
      </c>
      <c r="R824" s="66">
        <v>42565</v>
      </c>
      <c r="S824" s="187">
        <f t="shared" si="98"/>
        <v>12</v>
      </c>
    </row>
    <row r="825" spans="1:19" s="3" customFormat="1" hidden="1" x14ac:dyDescent="0.25">
      <c r="A825" s="30">
        <f>+closed!A798+1</f>
        <v>62</v>
      </c>
      <c r="B825" s="24">
        <v>42538</v>
      </c>
      <c r="C825" s="1">
        <v>103</v>
      </c>
      <c r="D825" s="1">
        <v>3000031542</v>
      </c>
      <c r="E825" s="1" t="s">
        <v>169</v>
      </c>
      <c r="F825" s="1">
        <v>53</v>
      </c>
      <c r="G825" s="25">
        <v>42531</v>
      </c>
      <c r="H825" s="74"/>
      <c r="I825" s="74">
        <v>42535</v>
      </c>
      <c r="J825" s="1" t="s">
        <v>61</v>
      </c>
      <c r="K825" s="77">
        <v>20.29</v>
      </c>
      <c r="L825" s="1">
        <v>20.23</v>
      </c>
      <c r="M825" s="88">
        <f t="shared" si="99"/>
        <v>20.23</v>
      </c>
      <c r="N825" s="7">
        <f t="shared" si="97"/>
        <v>42554</v>
      </c>
      <c r="O825" s="1">
        <v>1623200</v>
      </c>
      <c r="P825" s="26">
        <f t="shared" ref="P825:P872" si="100">(+O825/K825*M825)</f>
        <v>1618400</v>
      </c>
      <c r="Q825" s="178">
        <v>42534</v>
      </c>
      <c r="R825" s="66">
        <v>42565</v>
      </c>
      <c r="S825" s="187">
        <f t="shared" si="98"/>
        <v>11</v>
      </c>
    </row>
    <row r="826" spans="1:19" s="3" customFormat="1" hidden="1" x14ac:dyDescent="0.25">
      <c r="A826" s="30">
        <f>+closed!A835+1</f>
        <v>64</v>
      </c>
      <c r="B826" s="24">
        <v>42538</v>
      </c>
      <c r="C826" s="1">
        <v>103</v>
      </c>
      <c r="D826" s="1">
        <v>3000031556</v>
      </c>
      <c r="E826" s="18" t="s">
        <v>170</v>
      </c>
      <c r="F826" s="1">
        <v>18</v>
      </c>
      <c r="G826" s="25">
        <v>42530</v>
      </c>
      <c r="H826" s="74"/>
      <c r="I826" s="74">
        <v>42535</v>
      </c>
      <c r="J826" s="1" t="s">
        <v>61</v>
      </c>
      <c r="K826" s="77">
        <v>20.16</v>
      </c>
      <c r="L826" s="1">
        <v>20.059999999999999</v>
      </c>
      <c r="M826" s="88">
        <f t="shared" si="99"/>
        <v>20.059999999999999</v>
      </c>
      <c r="N826" s="7">
        <f t="shared" si="97"/>
        <v>42554</v>
      </c>
      <c r="O826" s="1">
        <v>1612800</v>
      </c>
      <c r="P826" s="26">
        <f t="shared" si="100"/>
        <v>1604800</v>
      </c>
      <c r="Q826" s="178">
        <v>42534</v>
      </c>
      <c r="R826" s="66">
        <v>42565</v>
      </c>
      <c r="S826" s="187">
        <f t="shared" si="98"/>
        <v>11</v>
      </c>
    </row>
    <row r="827" spans="1:19" s="3" customFormat="1" hidden="1" x14ac:dyDescent="0.25">
      <c r="A827" s="30">
        <f>+closed!A768+1</f>
        <v>35</v>
      </c>
      <c r="B827" s="24">
        <v>42545</v>
      </c>
      <c r="C827" s="1">
        <v>114</v>
      </c>
      <c r="D827" s="1">
        <v>3000031650</v>
      </c>
      <c r="E827" s="1" t="s">
        <v>170</v>
      </c>
      <c r="F827" s="1">
        <v>19</v>
      </c>
      <c r="G827" s="25">
        <v>42530</v>
      </c>
      <c r="H827" s="25"/>
      <c r="I827" s="25">
        <v>42540</v>
      </c>
      <c r="J827" s="1" t="s">
        <v>61</v>
      </c>
      <c r="K827" s="77">
        <v>20.28</v>
      </c>
      <c r="L827" s="1">
        <v>20.260000000000002</v>
      </c>
      <c r="M827" s="1">
        <f t="shared" si="99"/>
        <v>20.260000000000002</v>
      </c>
      <c r="N827" s="7">
        <f t="shared" si="97"/>
        <v>42559</v>
      </c>
      <c r="O827" s="1">
        <v>1703520</v>
      </c>
      <c r="P827" s="26">
        <f t="shared" si="100"/>
        <v>1701840.0000000002</v>
      </c>
      <c r="Q827" s="178">
        <v>42534</v>
      </c>
      <c r="R827" s="66">
        <v>42565</v>
      </c>
      <c r="S827" s="187">
        <f t="shared" si="98"/>
        <v>6</v>
      </c>
    </row>
    <row r="828" spans="1:19" s="3" customFormat="1" hidden="1" x14ac:dyDescent="0.25">
      <c r="A828" s="30">
        <f>+closed!A725+1</f>
        <v>9</v>
      </c>
      <c r="B828" s="24">
        <v>42541</v>
      </c>
      <c r="C828" s="1">
        <v>103</v>
      </c>
      <c r="D828" s="1">
        <v>3000031556</v>
      </c>
      <c r="E828" s="1" t="s">
        <v>170</v>
      </c>
      <c r="F828" s="1">
        <v>20</v>
      </c>
      <c r="G828" s="25">
        <v>42534</v>
      </c>
      <c r="H828" s="74"/>
      <c r="I828" s="74">
        <v>42538</v>
      </c>
      <c r="J828" s="1" t="s">
        <v>61</v>
      </c>
      <c r="K828" s="77">
        <v>20.239999999999998</v>
      </c>
      <c r="L828" s="1">
        <v>20.170000000000002</v>
      </c>
      <c r="M828" s="88">
        <f t="shared" si="99"/>
        <v>20.170000000000002</v>
      </c>
      <c r="N828" s="7">
        <f t="shared" si="97"/>
        <v>42557</v>
      </c>
      <c r="O828" s="1">
        <v>1619200</v>
      </c>
      <c r="P828" s="26">
        <f t="shared" si="100"/>
        <v>1613600.0000000002</v>
      </c>
      <c r="Q828" s="178">
        <v>42534</v>
      </c>
      <c r="R828" s="66">
        <v>42565</v>
      </c>
      <c r="S828" s="187">
        <f t="shared" si="98"/>
        <v>8</v>
      </c>
    </row>
    <row r="829" spans="1:19" s="3" customFormat="1" hidden="1" x14ac:dyDescent="0.25">
      <c r="A829" s="30" t="e">
        <f>+closed!A831+1</f>
        <v>#REF!</v>
      </c>
      <c r="B829" s="24">
        <v>42544</v>
      </c>
      <c r="C829" s="1">
        <v>103</v>
      </c>
      <c r="D829" s="1">
        <v>3000031540</v>
      </c>
      <c r="E829" s="1" t="s">
        <v>180</v>
      </c>
      <c r="F829" s="1">
        <v>105</v>
      </c>
      <c r="G829" s="25">
        <v>42529</v>
      </c>
      <c r="H829" s="25"/>
      <c r="I829" s="25">
        <v>42535</v>
      </c>
      <c r="J829" s="1" t="s">
        <v>61</v>
      </c>
      <c r="K829" s="77">
        <v>19.440000000000001</v>
      </c>
      <c r="L829" s="1">
        <v>19.41</v>
      </c>
      <c r="M829" s="1">
        <f t="shared" si="99"/>
        <v>19.41</v>
      </c>
      <c r="N829" s="7">
        <f t="shared" si="97"/>
        <v>42554</v>
      </c>
      <c r="O829" s="1">
        <v>1516320</v>
      </c>
      <c r="P829" s="38">
        <f t="shared" si="100"/>
        <v>1513980</v>
      </c>
      <c r="Q829" s="178">
        <v>42534</v>
      </c>
      <c r="R829" s="66">
        <v>42565</v>
      </c>
      <c r="S829" s="187">
        <f t="shared" si="98"/>
        <v>11</v>
      </c>
    </row>
    <row r="830" spans="1:19" s="3" customFormat="1" hidden="1" x14ac:dyDescent="0.25">
      <c r="A830" s="30" t="e">
        <f>+closed!#REF!+1</f>
        <v>#REF!</v>
      </c>
      <c r="B830" s="24">
        <v>42544</v>
      </c>
      <c r="C830" s="1">
        <v>103</v>
      </c>
      <c r="D830" s="1">
        <v>3000031540</v>
      </c>
      <c r="E830" s="1" t="s">
        <v>180</v>
      </c>
      <c r="F830" s="1">
        <v>106</v>
      </c>
      <c r="G830" s="25">
        <v>42530</v>
      </c>
      <c r="H830" s="25"/>
      <c r="I830" s="25">
        <v>42535</v>
      </c>
      <c r="J830" s="1" t="s">
        <v>61</v>
      </c>
      <c r="K830" s="77">
        <v>19.899999999999999</v>
      </c>
      <c r="L830" s="1">
        <v>19.82</v>
      </c>
      <c r="M830" s="1">
        <f t="shared" si="99"/>
        <v>19.82</v>
      </c>
      <c r="N830" s="7">
        <f t="shared" si="97"/>
        <v>42554</v>
      </c>
      <c r="O830" s="1">
        <v>1552200</v>
      </c>
      <c r="P830" s="38">
        <f t="shared" si="100"/>
        <v>1545960</v>
      </c>
      <c r="Q830" s="178">
        <v>42534</v>
      </c>
      <c r="R830" s="66">
        <v>42565</v>
      </c>
      <c r="S830" s="187">
        <f t="shared" si="98"/>
        <v>11</v>
      </c>
    </row>
    <row r="831" spans="1:19" s="3" customFormat="1" hidden="1" x14ac:dyDescent="0.25">
      <c r="A831" s="30" t="e">
        <f>+closed!A830+1</f>
        <v>#REF!</v>
      </c>
      <c r="B831" s="24">
        <v>115592</v>
      </c>
      <c r="C831" s="1">
        <v>103</v>
      </c>
      <c r="D831" s="1">
        <v>3000031544</v>
      </c>
      <c r="E831" s="1" t="s">
        <v>180</v>
      </c>
      <c r="F831" s="1">
        <v>109</v>
      </c>
      <c r="G831" s="25">
        <v>42535</v>
      </c>
      <c r="H831" s="25"/>
      <c r="I831" s="25">
        <v>42538</v>
      </c>
      <c r="J831" s="1" t="s">
        <v>61</v>
      </c>
      <c r="K831" s="77">
        <v>20.99</v>
      </c>
      <c r="L831" s="1">
        <v>20.97</v>
      </c>
      <c r="M831" s="1">
        <f t="shared" si="99"/>
        <v>20.97</v>
      </c>
      <c r="N831" s="7">
        <f t="shared" si="97"/>
        <v>42557</v>
      </c>
      <c r="O831" s="1">
        <v>1700190</v>
      </c>
      <c r="P831" s="38">
        <f t="shared" si="100"/>
        <v>1698570</v>
      </c>
      <c r="Q831" s="178">
        <v>42534</v>
      </c>
      <c r="R831" s="66">
        <v>42565</v>
      </c>
      <c r="S831" s="187">
        <f t="shared" si="98"/>
        <v>8</v>
      </c>
    </row>
    <row r="832" spans="1:19" s="3" customFormat="1" hidden="1" x14ac:dyDescent="0.25">
      <c r="A832" s="30">
        <f>+closed!A850+1</f>
        <v>28</v>
      </c>
      <c r="B832" s="24">
        <v>42544</v>
      </c>
      <c r="C832" s="1">
        <v>103</v>
      </c>
      <c r="D832" s="1">
        <v>3000031521</v>
      </c>
      <c r="E832" s="1" t="s">
        <v>158</v>
      </c>
      <c r="F832" s="1">
        <v>31</v>
      </c>
      <c r="G832" s="25">
        <v>42530</v>
      </c>
      <c r="H832" s="25"/>
      <c r="I832" s="25">
        <v>42535</v>
      </c>
      <c r="J832" s="1" t="s">
        <v>61</v>
      </c>
      <c r="K832" s="77">
        <v>24.19</v>
      </c>
      <c r="L832" s="1">
        <v>24.18</v>
      </c>
      <c r="M832" s="1">
        <f t="shared" si="99"/>
        <v>24.18</v>
      </c>
      <c r="N832" s="7">
        <f t="shared" si="97"/>
        <v>42554</v>
      </c>
      <c r="O832" s="1">
        <v>1959390</v>
      </c>
      <c r="P832" s="38">
        <f t="shared" si="100"/>
        <v>1958580</v>
      </c>
      <c r="Q832" s="178">
        <v>42534</v>
      </c>
      <c r="R832" s="66">
        <v>42565</v>
      </c>
      <c r="S832" s="187">
        <f t="shared" si="98"/>
        <v>11</v>
      </c>
    </row>
    <row r="833" spans="1:22" s="3" customFormat="1" hidden="1" x14ac:dyDescent="0.25">
      <c r="A833" s="30">
        <f>+closed!A845+1</f>
        <v>32</v>
      </c>
      <c r="B833" s="24">
        <v>42544</v>
      </c>
      <c r="C833" s="1">
        <v>103</v>
      </c>
      <c r="D833" s="1">
        <v>3000031521</v>
      </c>
      <c r="E833" s="1" t="s">
        <v>158</v>
      </c>
      <c r="F833" s="1">
        <v>32</v>
      </c>
      <c r="G833" s="25">
        <v>42530</v>
      </c>
      <c r="H833" s="25"/>
      <c r="I833" s="25">
        <v>42536</v>
      </c>
      <c r="J833" s="1" t="s">
        <v>61</v>
      </c>
      <c r="K833" s="77">
        <v>16.190000000000001</v>
      </c>
      <c r="L833" s="1">
        <v>16.14</v>
      </c>
      <c r="M833" s="1">
        <f t="shared" si="99"/>
        <v>16.14</v>
      </c>
      <c r="N833" s="7">
        <f t="shared" si="97"/>
        <v>42555</v>
      </c>
      <c r="O833" s="1">
        <v>1311390</v>
      </c>
      <c r="P833" s="38">
        <f t="shared" si="100"/>
        <v>1307340</v>
      </c>
      <c r="Q833" s="178">
        <v>42534</v>
      </c>
      <c r="R833" s="66">
        <v>42565</v>
      </c>
      <c r="S833" s="187">
        <f t="shared" si="98"/>
        <v>10</v>
      </c>
    </row>
    <row r="834" spans="1:22" s="3" customFormat="1" hidden="1" x14ac:dyDescent="0.25">
      <c r="A834" s="30">
        <v>6</v>
      </c>
      <c r="B834" s="24">
        <v>42538</v>
      </c>
      <c r="C834" s="1">
        <v>103</v>
      </c>
      <c r="D834" s="1">
        <v>3000030943</v>
      </c>
      <c r="E834" s="1" t="s">
        <v>60</v>
      </c>
      <c r="F834" s="1">
        <v>250</v>
      </c>
      <c r="G834" s="25">
        <v>42531</v>
      </c>
      <c r="H834" s="74"/>
      <c r="I834" s="74">
        <v>42537</v>
      </c>
      <c r="J834" s="1" t="s">
        <v>61</v>
      </c>
      <c r="K834" s="77">
        <v>24.39</v>
      </c>
      <c r="L834" s="1">
        <v>24.38</v>
      </c>
      <c r="M834" s="88">
        <f t="shared" si="99"/>
        <v>24.38</v>
      </c>
      <c r="N834" s="7">
        <f t="shared" si="97"/>
        <v>42556</v>
      </c>
      <c r="O834" s="1">
        <v>1938976</v>
      </c>
      <c r="P834" s="38">
        <f t="shared" si="100"/>
        <v>1938181.0118901187</v>
      </c>
      <c r="Q834" s="178">
        <v>42534</v>
      </c>
      <c r="R834" s="66">
        <v>42565</v>
      </c>
      <c r="S834" s="187">
        <f t="shared" si="98"/>
        <v>9</v>
      </c>
    </row>
    <row r="835" spans="1:22" s="3" customFormat="1" hidden="1" x14ac:dyDescent="0.25">
      <c r="A835" s="30">
        <f>+closed!A825+1</f>
        <v>63</v>
      </c>
      <c r="B835" s="24">
        <v>42538</v>
      </c>
      <c r="C835" s="1">
        <v>103</v>
      </c>
      <c r="D835" s="1">
        <v>3000030943</v>
      </c>
      <c r="E835" s="1" t="s">
        <v>60</v>
      </c>
      <c r="F835" s="1">
        <v>251</v>
      </c>
      <c r="G835" s="25">
        <v>42532</v>
      </c>
      <c r="H835" s="74"/>
      <c r="I835" s="74">
        <v>42536</v>
      </c>
      <c r="J835" s="1" t="s">
        <v>61</v>
      </c>
      <c r="K835" s="77">
        <v>15.72</v>
      </c>
      <c r="L835" s="1">
        <v>15.69</v>
      </c>
      <c r="M835" s="88">
        <f t="shared" si="99"/>
        <v>15.69</v>
      </c>
      <c r="N835" s="7">
        <f t="shared" si="97"/>
        <v>42555</v>
      </c>
      <c r="O835" s="1">
        <v>1249721</v>
      </c>
      <c r="P835" s="38">
        <f t="shared" si="100"/>
        <v>1247336.036259542</v>
      </c>
      <c r="Q835" s="178">
        <v>42534</v>
      </c>
      <c r="R835" s="66">
        <v>42565</v>
      </c>
      <c r="S835" s="187">
        <f t="shared" si="98"/>
        <v>10</v>
      </c>
    </row>
    <row r="836" spans="1:22" s="3" customFormat="1" hidden="1" x14ac:dyDescent="0.25">
      <c r="A836" s="30" t="e">
        <f>+closed!A829+1</f>
        <v>#REF!</v>
      </c>
      <c r="B836" s="24">
        <v>42544</v>
      </c>
      <c r="C836" s="1">
        <v>103</v>
      </c>
      <c r="D836" s="1">
        <v>3000030943</v>
      </c>
      <c r="E836" s="1" t="s">
        <v>60</v>
      </c>
      <c r="F836" s="1">
        <v>254</v>
      </c>
      <c r="G836" s="25">
        <v>42534</v>
      </c>
      <c r="H836" s="25"/>
      <c r="I836" s="25">
        <v>42538</v>
      </c>
      <c r="J836" s="1" t="s">
        <v>61</v>
      </c>
      <c r="K836" s="77">
        <v>16.47</v>
      </c>
      <c r="L836" s="1">
        <v>16.440000000000001</v>
      </c>
      <c r="M836" s="1">
        <f t="shared" si="99"/>
        <v>16.440000000000001</v>
      </c>
      <c r="N836" s="7">
        <f t="shared" si="97"/>
        <v>42557</v>
      </c>
      <c r="O836" s="1">
        <v>1309345</v>
      </c>
      <c r="P836" s="38">
        <f t="shared" si="100"/>
        <v>1306960.0364298727</v>
      </c>
      <c r="Q836" s="178">
        <v>42534</v>
      </c>
      <c r="R836" s="66">
        <v>42565</v>
      </c>
      <c r="S836" s="187">
        <f t="shared" si="98"/>
        <v>8</v>
      </c>
    </row>
    <row r="837" spans="1:22" s="3" customFormat="1" hidden="1" x14ac:dyDescent="0.25">
      <c r="A837" s="30" t="e">
        <f>+closed!A836+1</f>
        <v>#REF!</v>
      </c>
      <c r="B837" s="24">
        <v>42544</v>
      </c>
      <c r="C837" s="1">
        <v>103</v>
      </c>
      <c r="D837" s="1" t="s">
        <v>181</v>
      </c>
      <c r="E837" s="1" t="s">
        <v>60</v>
      </c>
      <c r="F837" s="1">
        <v>256</v>
      </c>
      <c r="G837" s="25">
        <v>42535</v>
      </c>
      <c r="H837" s="25"/>
      <c r="I837" s="25">
        <v>42540</v>
      </c>
      <c r="J837" s="1" t="s">
        <v>61</v>
      </c>
      <c r="K837" s="77">
        <v>16.79</v>
      </c>
      <c r="L837" s="1">
        <v>16.760000000000002</v>
      </c>
      <c r="M837" s="1">
        <f t="shared" si="99"/>
        <v>16.760000000000002</v>
      </c>
      <c r="N837" s="7">
        <f t="shared" si="97"/>
        <v>42559</v>
      </c>
      <c r="O837" s="1">
        <v>1334785</v>
      </c>
      <c r="P837" s="38">
        <f t="shared" si="100"/>
        <v>1332400.0357355571</v>
      </c>
      <c r="Q837" s="178">
        <v>42534</v>
      </c>
      <c r="R837" s="66">
        <v>42565</v>
      </c>
      <c r="S837" s="187">
        <f t="shared" si="98"/>
        <v>6</v>
      </c>
    </row>
    <row r="838" spans="1:22" s="3" customFormat="1" hidden="1" x14ac:dyDescent="0.25">
      <c r="A838" s="30" t="e">
        <f>+closed!A837+1</f>
        <v>#REF!</v>
      </c>
      <c r="B838" s="24">
        <v>42544</v>
      </c>
      <c r="C838" s="1">
        <v>103</v>
      </c>
      <c r="D838" s="1">
        <v>3000030955</v>
      </c>
      <c r="E838" s="1" t="s">
        <v>60</v>
      </c>
      <c r="F838" s="1">
        <v>257</v>
      </c>
      <c r="G838" s="25">
        <v>42535</v>
      </c>
      <c r="H838" s="25"/>
      <c r="I838" s="25">
        <v>42540</v>
      </c>
      <c r="J838" s="1" t="s">
        <v>61</v>
      </c>
      <c r="K838" s="77">
        <v>16.79</v>
      </c>
      <c r="L838" s="1">
        <v>16.72</v>
      </c>
      <c r="M838" s="1">
        <f t="shared" si="99"/>
        <v>16.72</v>
      </c>
      <c r="N838" s="7">
        <f t="shared" si="97"/>
        <v>42559</v>
      </c>
      <c r="O838" s="1">
        <v>1334785</v>
      </c>
      <c r="P838" s="38">
        <f t="shared" si="100"/>
        <v>1329220.083382966</v>
      </c>
      <c r="Q838" s="178">
        <v>42534</v>
      </c>
      <c r="R838" s="66">
        <v>42565</v>
      </c>
      <c r="S838" s="187">
        <f t="shared" si="98"/>
        <v>6</v>
      </c>
    </row>
    <row r="839" spans="1:22" s="3" customFormat="1" hidden="1" x14ac:dyDescent="0.25">
      <c r="A839" s="30">
        <f>+closed!A799+1</f>
        <v>66</v>
      </c>
      <c r="B839" s="24">
        <v>42538</v>
      </c>
      <c r="C839" s="1">
        <v>103</v>
      </c>
      <c r="D839" s="1">
        <v>3000031602</v>
      </c>
      <c r="E839" s="1" t="s">
        <v>172</v>
      </c>
      <c r="F839" s="1">
        <v>32</v>
      </c>
      <c r="G839" s="25">
        <v>42531</v>
      </c>
      <c r="H839" s="74"/>
      <c r="I839" s="74">
        <v>42536</v>
      </c>
      <c r="J839" s="1" t="s">
        <v>61</v>
      </c>
      <c r="K839" s="77">
        <v>19.97</v>
      </c>
      <c r="L839" s="1">
        <v>19.91</v>
      </c>
      <c r="M839" s="88">
        <f t="shared" si="99"/>
        <v>19.91</v>
      </c>
      <c r="N839" s="7">
        <f t="shared" si="97"/>
        <v>42555</v>
      </c>
      <c r="O839" s="1">
        <v>1597600</v>
      </c>
      <c r="P839" s="38">
        <f t="shared" si="100"/>
        <v>1592800</v>
      </c>
      <c r="Q839" s="178">
        <v>42534</v>
      </c>
      <c r="R839" s="66">
        <v>42565</v>
      </c>
      <c r="S839" s="187">
        <f t="shared" si="98"/>
        <v>10</v>
      </c>
    </row>
    <row r="840" spans="1:22" s="3" customFormat="1" hidden="1" x14ac:dyDescent="0.25">
      <c r="A840" s="30">
        <f>+closed!A834+1</f>
        <v>7</v>
      </c>
      <c r="B840" s="24">
        <v>42538</v>
      </c>
      <c r="C840" s="1">
        <v>103</v>
      </c>
      <c r="D840" s="1">
        <v>3000030956</v>
      </c>
      <c r="E840" s="1" t="s">
        <v>145</v>
      </c>
      <c r="F840" s="1">
        <v>28</v>
      </c>
      <c r="G840" s="25">
        <v>42528</v>
      </c>
      <c r="H840" s="74"/>
      <c r="I840" s="74">
        <v>42536</v>
      </c>
      <c r="J840" s="1" t="s">
        <v>61</v>
      </c>
      <c r="K840" s="77">
        <v>19.86</v>
      </c>
      <c r="L840" s="1">
        <v>19.78</v>
      </c>
      <c r="M840" s="88">
        <f t="shared" si="99"/>
        <v>19.78</v>
      </c>
      <c r="N840" s="7">
        <f t="shared" si="97"/>
        <v>42555</v>
      </c>
      <c r="O840" s="1">
        <v>1579049</v>
      </c>
      <c r="P840" s="38">
        <f t="shared" si="100"/>
        <v>1572688.2789526689</v>
      </c>
      <c r="Q840" s="178">
        <v>42534</v>
      </c>
      <c r="R840" s="66">
        <v>42565</v>
      </c>
      <c r="S840" s="187">
        <f t="shared" si="98"/>
        <v>10</v>
      </c>
    </row>
    <row r="841" spans="1:22" s="3" customFormat="1" hidden="1" x14ac:dyDescent="0.25">
      <c r="A841" s="30">
        <f>+closed!A839+1</f>
        <v>67</v>
      </c>
      <c r="B841" s="24">
        <v>42538</v>
      </c>
      <c r="C841" s="1">
        <v>103</v>
      </c>
      <c r="D841" s="1">
        <v>3000031636</v>
      </c>
      <c r="E841" s="1" t="s">
        <v>202</v>
      </c>
      <c r="F841" s="1">
        <v>45</v>
      </c>
      <c r="G841" s="25">
        <v>42532</v>
      </c>
      <c r="H841" s="74"/>
      <c r="I841" s="74">
        <v>42537</v>
      </c>
      <c r="J841" s="1" t="s">
        <v>61</v>
      </c>
      <c r="K841" s="77">
        <v>19.91</v>
      </c>
      <c r="L841" s="1">
        <v>19.84</v>
      </c>
      <c r="M841" s="88">
        <f t="shared" si="99"/>
        <v>19.84</v>
      </c>
      <c r="N841" s="7">
        <f t="shared" si="97"/>
        <v>42556</v>
      </c>
      <c r="O841" s="1">
        <v>1592800</v>
      </c>
      <c r="P841" s="38">
        <f t="shared" si="100"/>
        <v>1587200</v>
      </c>
      <c r="Q841" s="178">
        <v>42534</v>
      </c>
      <c r="R841" s="66">
        <v>42565</v>
      </c>
      <c r="S841" s="187">
        <f t="shared" si="98"/>
        <v>9</v>
      </c>
    </row>
    <row r="842" spans="1:22" s="3" customFormat="1" hidden="1" x14ac:dyDescent="0.25">
      <c r="A842" s="30">
        <f>+closed!A843+1</f>
        <v>30</v>
      </c>
      <c r="B842" s="24">
        <v>42544</v>
      </c>
      <c r="C842" s="1">
        <v>103</v>
      </c>
      <c r="D842" s="1">
        <v>3000030601</v>
      </c>
      <c r="E842" s="1" t="s">
        <v>183</v>
      </c>
      <c r="F842" s="1">
        <v>13</v>
      </c>
      <c r="G842" s="25">
        <v>42532</v>
      </c>
      <c r="H842" s="25"/>
      <c r="I842" s="25">
        <v>42537</v>
      </c>
      <c r="J842" s="1" t="s">
        <v>61</v>
      </c>
      <c r="K842" s="77">
        <v>20.29</v>
      </c>
      <c r="L842" s="1">
        <v>20.239999999999998</v>
      </c>
      <c r="M842" s="1">
        <f t="shared" si="99"/>
        <v>20.239999999999998</v>
      </c>
      <c r="N842" s="7">
        <f t="shared" si="97"/>
        <v>42556</v>
      </c>
      <c r="O842" s="1">
        <v>1623200</v>
      </c>
      <c r="P842" s="38">
        <f t="shared" si="100"/>
        <v>1619199.9999999998</v>
      </c>
      <c r="Q842" s="178">
        <v>42534</v>
      </c>
      <c r="R842" s="66">
        <v>42565</v>
      </c>
      <c r="S842" s="187">
        <f t="shared" si="98"/>
        <v>9</v>
      </c>
    </row>
    <row r="843" spans="1:22" s="3" customFormat="1" hidden="1" x14ac:dyDescent="0.25">
      <c r="A843" s="30">
        <f>+closed!A832+1</f>
        <v>29</v>
      </c>
      <c r="B843" s="24">
        <v>42544</v>
      </c>
      <c r="C843" s="1">
        <v>103</v>
      </c>
      <c r="D843" s="1">
        <v>3000031601</v>
      </c>
      <c r="E843" s="1" t="s">
        <v>183</v>
      </c>
      <c r="F843" s="1">
        <v>14</v>
      </c>
      <c r="G843" s="25">
        <v>42534</v>
      </c>
      <c r="H843" s="25"/>
      <c r="I843" s="25">
        <v>42539</v>
      </c>
      <c r="J843" s="1" t="s">
        <v>61</v>
      </c>
      <c r="K843" s="77">
        <v>20.05</v>
      </c>
      <c r="L843" s="1">
        <v>20.010000000000002</v>
      </c>
      <c r="M843" s="1">
        <f t="shared" si="99"/>
        <v>20.010000000000002</v>
      </c>
      <c r="N843" s="7">
        <f t="shared" si="97"/>
        <v>42558</v>
      </c>
      <c r="O843" s="1">
        <v>1604000</v>
      </c>
      <c r="P843" s="38">
        <f t="shared" si="100"/>
        <v>1600800.0000000002</v>
      </c>
      <c r="Q843" s="178">
        <v>42534</v>
      </c>
      <c r="R843" s="66">
        <v>42565</v>
      </c>
      <c r="S843" s="187">
        <f t="shared" si="98"/>
        <v>7</v>
      </c>
    </row>
    <row r="844" spans="1:22" s="3" customFormat="1" hidden="1" x14ac:dyDescent="0.25">
      <c r="A844" s="30">
        <f>+closed!A801+1</f>
        <v>52</v>
      </c>
      <c r="B844" s="24">
        <v>42551</v>
      </c>
      <c r="C844" s="1">
        <v>103</v>
      </c>
      <c r="D844" s="1">
        <v>3000031295</v>
      </c>
      <c r="E844" s="1" t="s">
        <v>50</v>
      </c>
      <c r="F844" s="1">
        <v>15</v>
      </c>
      <c r="G844" s="25">
        <v>42543</v>
      </c>
      <c r="H844" s="25"/>
      <c r="I844" s="25">
        <v>42543</v>
      </c>
      <c r="J844" s="1" t="s">
        <v>43</v>
      </c>
      <c r="K844" s="77">
        <v>28.82</v>
      </c>
      <c r="L844" s="1">
        <v>28.82</v>
      </c>
      <c r="M844" s="1">
        <f t="shared" si="99"/>
        <v>28.82</v>
      </c>
      <c r="N844" s="7">
        <f>+I844+15-1</f>
        <v>42557</v>
      </c>
      <c r="O844" s="1">
        <v>1683311</v>
      </c>
      <c r="P844" s="38">
        <f t="shared" si="100"/>
        <v>1683311</v>
      </c>
      <c r="Q844" s="178">
        <v>42534</v>
      </c>
      <c r="R844" s="66">
        <v>42565</v>
      </c>
      <c r="S844" s="187">
        <f t="shared" si="98"/>
        <v>8</v>
      </c>
    </row>
    <row r="845" spans="1:22" s="3" customFormat="1" hidden="1" x14ac:dyDescent="0.25">
      <c r="A845" s="30">
        <f>+closed!A842+1</f>
        <v>31</v>
      </c>
      <c r="B845" s="24">
        <v>42544</v>
      </c>
      <c r="C845" s="1">
        <v>103</v>
      </c>
      <c r="D845" s="1">
        <v>3000031692</v>
      </c>
      <c r="E845" s="1" t="s">
        <v>184</v>
      </c>
      <c r="F845" s="1">
        <v>59</v>
      </c>
      <c r="G845" s="25">
        <v>42535</v>
      </c>
      <c r="H845" s="25"/>
      <c r="I845" s="25">
        <v>42539</v>
      </c>
      <c r="J845" s="1" t="s">
        <v>61</v>
      </c>
      <c r="K845" s="77">
        <v>20.34</v>
      </c>
      <c r="L845" s="1">
        <v>20.32</v>
      </c>
      <c r="M845" s="1">
        <f t="shared" si="99"/>
        <v>20.32</v>
      </c>
      <c r="N845" s="7">
        <f>+I845+20-1</f>
        <v>42558</v>
      </c>
      <c r="O845" s="1">
        <v>1596690</v>
      </c>
      <c r="P845" s="38">
        <f t="shared" si="100"/>
        <v>1595120</v>
      </c>
      <c r="Q845" s="178">
        <v>42534</v>
      </c>
      <c r="R845" s="66">
        <v>42565</v>
      </c>
      <c r="S845" s="187">
        <f t="shared" si="98"/>
        <v>7</v>
      </c>
    </row>
    <row r="846" spans="1:22" s="3" customFormat="1" hidden="1" x14ac:dyDescent="0.25">
      <c r="A846" s="30">
        <f>+closed!A886+1</f>
        <v>34</v>
      </c>
      <c r="B846" s="24">
        <v>42548</v>
      </c>
      <c r="C846" s="1">
        <v>114</v>
      </c>
      <c r="D846" s="1">
        <v>3000031538</v>
      </c>
      <c r="E846" s="1" t="s">
        <v>159</v>
      </c>
      <c r="F846" s="1">
        <v>241</v>
      </c>
      <c r="G846" s="25">
        <v>42531</v>
      </c>
      <c r="H846" s="25"/>
      <c r="I846" s="25">
        <v>42544</v>
      </c>
      <c r="J846" s="1" t="s">
        <v>61</v>
      </c>
      <c r="K846" s="77">
        <v>20.059999999999999</v>
      </c>
      <c r="L846" s="1">
        <v>20.04</v>
      </c>
      <c r="M846" s="1">
        <f t="shared" si="99"/>
        <v>20.04</v>
      </c>
      <c r="N846" s="7">
        <f>+I846+20-1</f>
        <v>42563</v>
      </c>
      <c r="O846" s="1">
        <v>1685039</v>
      </c>
      <c r="P846" s="38">
        <f t="shared" si="100"/>
        <v>1683359.000997009</v>
      </c>
      <c r="Q846" s="178">
        <v>42534</v>
      </c>
      <c r="R846" s="66">
        <v>42565</v>
      </c>
      <c r="S846" s="187">
        <f t="shared" si="98"/>
        <v>2</v>
      </c>
      <c r="T846" s="15" t="s">
        <v>221</v>
      </c>
      <c r="U846" s="15"/>
      <c r="V846" s="15"/>
    </row>
    <row r="847" spans="1:22" s="3" customFormat="1" hidden="1" x14ac:dyDescent="0.25">
      <c r="A847" s="30">
        <f>+closed!A1008+1</f>
        <v>197</v>
      </c>
      <c r="B847" s="24">
        <v>42565</v>
      </c>
      <c r="C847" s="1">
        <v>114</v>
      </c>
      <c r="D847" s="1">
        <v>3000032035</v>
      </c>
      <c r="E847" s="8" t="s">
        <v>219</v>
      </c>
      <c r="F847" s="1">
        <v>1610101143</v>
      </c>
      <c r="G847" s="25">
        <v>42539</v>
      </c>
      <c r="H847" s="25"/>
      <c r="I847" s="25">
        <v>42539</v>
      </c>
      <c r="J847" s="1" t="s">
        <v>16</v>
      </c>
      <c r="K847" s="77">
        <v>20.07</v>
      </c>
      <c r="L847" s="1">
        <v>20.07</v>
      </c>
      <c r="M847" s="1">
        <f t="shared" si="99"/>
        <v>20.07</v>
      </c>
      <c r="N847" s="7" t="e">
        <f>+I847+20-'V V F India Out Standing'!#REF!</f>
        <v>#REF!</v>
      </c>
      <c r="O847" s="1">
        <v>909699</v>
      </c>
      <c r="P847" s="26">
        <f t="shared" si="100"/>
        <v>909699</v>
      </c>
      <c r="Q847" s="15" t="s">
        <v>164</v>
      </c>
      <c r="R847" s="1"/>
    </row>
    <row r="848" spans="1:22" s="3" customFormat="1" hidden="1" x14ac:dyDescent="0.25">
      <c r="A848" s="30">
        <f>+closed!A847+1</f>
        <v>198</v>
      </c>
      <c r="B848" s="24">
        <v>42565</v>
      </c>
      <c r="C848" s="1">
        <v>114</v>
      </c>
      <c r="D848" s="1">
        <v>3000032035</v>
      </c>
      <c r="E848" s="8" t="s">
        <v>219</v>
      </c>
      <c r="F848" s="1">
        <v>1610101142</v>
      </c>
      <c r="G848" s="25">
        <v>42539</v>
      </c>
      <c r="H848" s="25"/>
      <c r="I848" s="25">
        <v>42539</v>
      </c>
      <c r="J848" s="1" t="s">
        <v>16</v>
      </c>
      <c r="K848" s="77">
        <v>20.010000000000002</v>
      </c>
      <c r="L848" s="1">
        <v>20.010000000000002</v>
      </c>
      <c r="M848" s="1">
        <f t="shared" si="99"/>
        <v>20.010000000000002</v>
      </c>
      <c r="N848" s="7" t="e">
        <f>+I848+20-'V V F India Out Standing'!#REF!</f>
        <v>#REF!</v>
      </c>
      <c r="O848" s="1">
        <v>906979</v>
      </c>
      <c r="P848" s="26">
        <f t="shared" si="100"/>
        <v>906978.99999999988</v>
      </c>
      <c r="Q848" s="15" t="s">
        <v>164</v>
      </c>
      <c r="R848" s="1"/>
    </row>
    <row r="849" spans="1:19" s="3" customFormat="1" hidden="1" x14ac:dyDescent="0.25">
      <c r="A849" s="30">
        <f>+closed!A848+1</f>
        <v>199</v>
      </c>
      <c r="B849" s="24">
        <v>42565</v>
      </c>
      <c r="C849" s="1">
        <v>114</v>
      </c>
      <c r="D849" s="1">
        <v>3000032035</v>
      </c>
      <c r="E849" s="8" t="s">
        <v>219</v>
      </c>
      <c r="F849" s="1">
        <v>1610101144</v>
      </c>
      <c r="G849" s="25">
        <v>42539</v>
      </c>
      <c r="H849" s="25"/>
      <c r="I849" s="25">
        <v>42539</v>
      </c>
      <c r="J849" s="1" t="s">
        <v>16</v>
      </c>
      <c r="K849" s="77">
        <v>19.97</v>
      </c>
      <c r="L849" s="1">
        <v>19.97</v>
      </c>
      <c r="M849" s="1">
        <f t="shared" si="99"/>
        <v>19.97</v>
      </c>
      <c r="N849" s="7" t="e">
        <f>+I849+20-'V V F India Out Standing'!#REF!</f>
        <v>#REF!</v>
      </c>
      <c r="O849" s="1">
        <v>905166</v>
      </c>
      <c r="P849" s="26">
        <f t="shared" si="100"/>
        <v>905166</v>
      </c>
      <c r="Q849" s="15" t="s">
        <v>164</v>
      </c>
      <c r="R849" s="1"/>
    </row>
    <row r="850" spans="1:19" s="3" customFormat="1" hidden="1" x14ac:dyDescent="0.25">
      <c r="A850" s="30">
        <f>+closed!A851+1</f>
        <v>27</v>
      </c>
      <c r="B850" s="24">
        <v>42544</v>
      </c>
      <c r="C850" s="1">
        <v>103</v>
      </c>
      <c r="D850" s="1">
        <v>3000031497</v>
      </c>
      <c r="E850" s="1" t="s">
        <v>159</v>
      </c>
      <c r="F850" s="1">
        <v>268</v>
      </c>
      <c r="G850" s="25">
        <v>42538</v>
      </c>
      <c r="H850" s="25"/>
      <c r="I850" s="25">
        <v>42541</v>
      </c>
      <c r="J850" s="1" t="s">
        <v>61</v>
      </c>
      <c r="K850" s="77">
        <v>19.940000000000001</v>
      </c>
      <c r="L850" s="1">
        <v>19.89</v>
      </c>
      <c r="M850" s="1">
        <f t="shared" si="99"/>
        <v>19.89</v>
      </c>
      <c r="N850" s="7">
        <f t="shared" ref="N850:N863" si="101">+I850+20-1</f>
        <v>42560</v>
      </c>
      <c r="O850" s="1">
        <v>1595201</v>
      </c>
      <c r="P850" s="38">
        <f t="shared" si="100"/>
        <v>1591200.9974924775</v>
      </c>
      <c r="Q850" s="178">
        <v>42565</v>
      </c>
      <c r="R850" s="66">
        <v>42565</v>
      </c>
      <c r="S850" s="187">
        <f t="shared" ref="S850:S863" si="102">R850-N850</f>
        <v>5</v>
      </c>
    </row>
    <row r="851" spans="1:19" s="3" customFormat="1" hidden="1" x14ac:dyDescent="0.25">
      <c r="A851" s="30">
        <f>+closed!A852+1</f>
        <v>26</v>
      </c>
      <c r="B851" s="24">
        <v>42544</v>
      </c>
      <c r="C851" s="1">
        <v>103</v>
      </c>
      <c r="D851" s="1">
        <v>3000031497</v>
      </c>
      <c r="E851" s="1" t="s">
        <v>159</v>
      </c>
      <c r="F851" s="1">
        <v>264</v>
      </c>
      <c r="G851" s="25">
        <v>42538</v>
      </c>
      <c r="H851" s="25"/>
      <c r="I851" s="25">
        <v>42542</v>
      </c>
      <c r="J851" s="1" t="s">
        <v>61</v>
      </c>
      <c r="K851" s="77">
        <v>20.28</v>
      </c>
      <c r="L851" s="1">
        <v>20.2</v>
      </c>
      <c r="M851" s="1">
        <f t="shared" si="99"/>
        <v>20.2</v>
      </c>
      <c r="N851" s="7">
        <f t="shared" si="101"/>
        <v>42561</v>
      </c>
      <c r="O851" s="1">
        <v>1622401</v>
      </c>
      <c r="P851" s="38">
        <f t="shared" si="100"/>
        <v>1616000.9960552268</v>
      </c>
      <c r="Q851" s="178">
        <v>42565</v>
      </c>
      <c r="R851" s="66">
        <v>42565</v>
      </c>
      <c r="S851" s="187">
        <f t="shared" si="102"/>
        <v>4</v>
      </c>
    </row>
    <row r="852" spans="1:19" s="3" customFormat="1" hidden="1" x14ac:dyDescent="0.25">
      <c r="A852" s="30">
        <f>+closed!A944+1</f>
        <v>25</v>
      </c>
      <c r="B852" s="24">
        <v>42544</v>
      </c>
      <c r="C852" s="1">
        <v>103</v>
      </c>
      <c r="D852" s="1">
        <v>3000031565</v>
      </c>
      <c r="E852" s="1" t="s">
        <v>182</v>
      </c>
      <c r="F852" s="1">
        <v>41</v>
      </c>
      <c r="G852" s="25">
        <v>42537</v>
      </c>
      <c r="H852" s="25"/>
      <c r="I852" s="25">
        <v>42542</v>
      </c>
      <c r="J852" s="1" t="s">
        <v>61</v>
      </c>
      <c r="K852" s="77">
        <v>20.055</v>
      </c>
      <c r="L852" s="1">
        <v>20.04</v>
      </c>
      <c r="M852" s="1">
        <f t="shared" si="99"/>
        <v>20.04</v>
      </c>
      <c r="N852" s="7">
        <f t="shared" si="101"/>
        <v>42561</v>
      </c>
      <c r="O852" s="1">
        <v>1604400</v>
      </c>
      <c r="P852" s="38">
        <f t="shared" si="100"/>
        <v>1603200</v>
      </c>
      <c r="Q852" s="178">
        <v>42565</v>
      </c>
      <c r="R852" s="66">
        <v>42540</v>
      </c>
      <c r="S852" s="187">
        <f t="shared" si="102"/>
        <v>-21</v>
      </c>
    </row>
    <row r="853" spans="1:19" s="3" customFormat="1" hidden="1" x14ac:dyDescent="0.25">
      <c r="A853" s="30">
        <f>+closed!A858+1</f>
        <v>32</v>
      </c>
      <c r="B853" s="24">
        <v>42545</v>
      </c>
      <c r="C853" s="1">
        <v>103</v>
      </c>
      <c r="D853" s="1">
        <v>3000031565</v>
      </c>
      <c r="E853" s="1" t="s">
        <v>182</v>
      </c>
      <c r="F853" s="1">
        <v>40</v>
      </c>
      <c r="G853" s="25">
        <v>42533</v>
      </c>
      <c r="H853" s="25"/>
      <c r="I853" s="25">
        <v>42543</v>
      </c>
      <c r="J853" s="1" t="s">
        <v>61</v>
      </c>
      <c r="K853" s="77">
        <v>19.905000000000001</v>
      </c>
      <c r="L853" s="1">
        <v>19.88</v>
      </c>
      <c r="M853" s="1">
        <f t="shared" si="99"/>
        <v>19.88</v>
      </c>
      <c r="N853" s="7">
        <f t="shared" si="101"/>
        <v>42562</v>
      </c>
      <c r="O853" s="1">
        <v>1592400</v>
      </c>
      <c r="P853" s="38">
        <f t="shared" si="100"/>
        <v>1590400</v>
      </c>
      <c r="Q853" s="178">
        <v>42565</v>
      </c>
      <c r="R853" s="66">
        <v>42540</v>
      </c>
      <c r="S853" s="187">
        <f t="shared" si="102"/>
        <v>-22</v>
      </c>
    </row>
    <row r="854" spans="1:19" s="3" customFormat="1" hidden="1" x14ac:dyDescent="0.25">
      <c r="A854" s="30">
        <f>+closed!A928+1</f>
        <v>34</v>
      </c>
      <c r="B854" s="24">
        <v>42545</v>
      </c>
      <c r="C854" s="1">
        <v>103</v>
      </c>
      <c r="D854" s="1">
        <v>3000031692</v>
      </c>
      <c r="E854" s="1" t="s">
        <v>184</v>
      </c>
      <c r="F854" s="1">
        <v>62</v>
      </c>
      <c r="G854" s="25">
        <v>42537</v>
      </c>
      <c r="H854" s="25"/>
      <c r="I854" s="25">
        <v>42543</v>
      </c>
      <c r="J854" s="1" t="s">
        <v>61</v>
      </c>
      <c r="K854" s="77">
        <v>19.88</v>
      </c>
      <c r="L854" s="1">
        <v>19.82</v>
      </c>
      <c r="M854" s="1">
        <f t="shared" ref="M854:M873" si="103">IF(L854&gt;K854,K854,L854)</f>
        <v>19.82</v>
      </c>
      <c r="N854" s="7">
        <f t="shared" si="101"/>
        <v>42562</v>
      </c>
      <c r="O854" s="1">
        <v>1560580</v>
      </c>
      <c r="P854" s="38">
        <f t="shared" si="100"/>
        <v>1555870</v>
      </c>
      <c r="Q854" s="178">
        <v>42565</v>
      </c>
      <c r="R854" s="66">
        <v>42565</v>
      </c>
      <c r="S854" s="187">
        <f t="shared" si="102"/>
        <v>3</v>
      </c>
    </row>
    <row r="855" spans="1:19" s="3" customFormat="1" hidden="1" x14ac:dyDescent="0.25">
      <c r="A855" s="30">
        <f>+closed!A859+1</f>
        <v>30</v>
      </c>
      <c r="B855" s="24">
        <v>42545</v>
      </c>
      <c r="C855" s="1">
        <v>103</v>
      </c>
      <c r="D855" s="1">
        <v>3000031692</v>
      </c>
      <c r="E855" s="1" t="s">
        <v>184</v>
      </c>
      <c r="F855" s="1">
        <v>63</v>
      </c>
      <c r="G855" s="25">
        <v>42538</v>
      </c>
      <c r="H855" s="25"/>
      <c r="I855" s="25">
        <v>42543</v>
      </c>
      <c r="J855" s="1" t="s">
        <v>61</v>
      </c>
      <c r="K855" s="77">
        <v>19.93</v>
      </c>
      <c r="L855" s="1">
        <v>19.920000000000002</v>
      </c>
      <c r="M855" s="1">
        <f t="shared" si="103"/>
        <v>19.920000000000002</v>
      </c>
      <c r="N855" s="7">
        <f t="shared" si="101"/>
        <v>42562</v>
      </c>
      <c r="O855" s="1">
        <v>1564505</v>
      </c>
      <c r="P855" s="38">
        <f t="shared" si="100"/>
        <v>1563720.0000000002</v>
      </c>
      <c r="Q855" s="178">
        <v>42565</v>
      </c>
      <c r="R855" s="66">
        <v>42565</v>
      </c>
      <c r="S855" s="187">
        <f t="shared" si="102"/>
        <v>3</v>
      </c>
    </row>
    <row r="856" spans="1:19" s="3" customFormat="1" hidden="1" x14ac:dyDescent="0.25">
      <c r="A856" s="30">
        <f>+closed!A964+1</f>
        <v>49</v>
      </c>
      <c r="B856" s="24">
        <v>42551</v>
      </c>
      <c r="C856" s="1">
        <v>103</v>
      </c>
      <c r="D856" s="1">
        <v>3000031695</v>
      </c>
      <c r="E856" s="1" t="s">
        <v>184</v>
      </c>
      <c r="F856" s="1">
        <v>66</v>
      </c>
      <c r="G856" s="25">
        <v>42541</v>
      </c>
      <c r="H856" s="25"/>
      <c r="I856" s="25">
        <v>42546</v>
      </c>
      <c r="J856" s="1" t="s">
        <v>61</v>
      </c>
      <c r="K856" s="77">
        <v>20.03</v>
      </c>
      <c r="L856" s="1">
        <v>19.96</v>
      </c>
      <c r="M856" s="1">
        <f t="shared" si="103"/>
        <v>19.96</v>
      </c>
      <c r="N856" s="7">
        <f t="shared" si="101"/>
        <v>42565</v>
      </c>
      <c r="O856" s="1">
        <v>1582553</v>
      </c>
      <c r="P856" s="38">
        <f t="shared" si="100"/>
        <v>1577022.3604593109</v>
      </c>
      <c r="Q856" s="178">
        <v>42565</v>
      </c>
      <c r="R856" s="66">
        <v>42565</v>
      </c>
      <c r="S856" s="187">
        <f t="shared" si="102"/>
        <v>0</v>
      </c>
    </row>
    <row r="857" spans="1:19" s="3" customFormat="1" hidden="1" x14ac:dyDescent="0.25">
      <c r="A857" s="30">
        <f>+closed!A856+1</f>
        <v>50</v>
      </c>
      <c r="B857" s="24">
        <v>42551</v>
      </c>
      <c r="C857" s="1">
        <v>103</v>
      </c>
      <c r="D857" s="1">
        <v>3000031695</v>
      </c>
      <c r="E857" s="1" t="s">
        <v>184</v>
      </c>
      <c r="F857" s="1">
        <v>67</v>
      </c>
      <c r="G857" s="25">
        <v>42541</v>
      </c>
      <c r="H857" s="25"/>
      <c r="I857" s="25">
        <v>42545</v>
      </c>
      <c r="J857" s="1" t="s">
        <v>61</v>
      </c>
      <c r="K857" s="77">
        <v>24.81</v>
      </c>
      <c r="L857" s="1">
        <v>24.71</v>
      </c>
      <c r="M857" s="1">
        <f t="shared" si="103"/>
        <v>24.71</v>
      </c>
      <c r="N857" s="7">
        <f t="shared" si="101"/>
        <v>42564</v>
      </c>
      <c r="O857" s="1">
        <v>1960217</v>
      </c>
      <c r="P857" s="38">
        <f t="shared" si="100"/>
        <v>1952316.0850463524</v>
      </c>
      <c r="Q857" s="178">
        <v>42565</v>
      </c>
      <c r="R857" s="66">
        <v>42565</v>
      </c>
      <c r="S857" s="187">
        <f t="shared" si="102"/>
        <v>1</v>
      </c>
    </row>
    <row r="858" spans="1:19" s="3" customFormat="1" hidden="1" x14ac:dyDescent="0.25">
      <c r="A858" s="30">
        <f>+closed!A855+1</f>
        <v>31</v>
      </c>
      <c r="B858" s="24">
        <v>42545</v>
      </c>
      <c r="C858" s="1">
        <v>103</v>
      </c>
      <c r="D858" s="1">
        <v>3000031544</v>
      </c>
      <c r="E858" s="1" t="s">
        <v>180</v>
      </c>
      <c r="F858" s="1">
        <v>111</v>
      </c>
      <c r="G858" s="25">
        <v>42538</v>
      </c>
      <c r="H858" s="25"/>
      <c r="I858" s="25">
        <v>42543</v>
      </c>
      <c r="J858" s="1" t="s">
        <v>61</v>
      </c>
      <c r="K858" s="77">
        <v>20.11</v>
      </c>
      <c r="L858" s="1">
        <v>20.11</v>
      </c>
      <c r="M858" s="1">
        <f t="shared" si="103"/>
        <v>20.11</v>
      </c>
      <c r="N858" s="7">
        <f t="shared" si="101"/>
        <v>42562</v>
      </c>
      <c r="O858" s="1">
        <v>1628910</v>
      </c>
      <c r="P858" s="26">
        <f t="shared" si="100"/>
        <v>1628910</v>
      </c>
      <c r="Q858" s="178">
        <v>42565</v>
      </c>
      <c r="R858" s="66">
        <v>42565</v>
      </c>
      <c r="S858" s="187">
        <f t="shared" si="102"/>
        <v>3</v>
      </c>
    </row>
    <row r="859" spans="1:19" s="3" customFormat="1" hidden="1" x14ac:dyDescent="0.25">
      <c r="A859" s="30">
        <f>+closed!A871+1</f>
        <v>29</v>
      </c>
      <c r="B859" s="24">
        <v>42545</v>
      </c>
      <c r="C859" s="1">
        <v>103</v>
      </c>
      <c r="D859" s="1">
        <v>3000031404</v>
      </c>
      <c r="E859" s="1" t="s">
        <v>158</v>
      </c>
      <c r="F859" s="1">
        <v>35</v>
      </c>
      <c r="G859" s="25">
        <v>42539</v>
      </c>
      <c r="H859" s="25"/>
      <c r="I859" s="25">
        <v>42544</v>
      </c>
      <c r="J859" s="1" t="s">
        <v>61</v>
      </c>
      <c r="K859" s="77">
        <v>19.940000000000001</v>
      </c>
      <c r="L859" s="1">
        <v>19.89</v>
      </c>
      <c r="M859" s="1">
        <f t="shared" si="103"/>
        <v>19.89</v>
      </c>
      <c r="N859" s="7">
        <f t="shared" si="101"/>
        <v>42563</v>
      </c>
      <c r="O859" s="1">
        <v>1595200</v>
      </c>
      <c r="P859" s="26">
        <f t="shared" si="100"/>
        <v>1591200</v>
      </c>
      <c r="Q859" s="178">
        <v>42565</v>
      </c>
      <c r="R859" s="66">
        <v>42565</v>
      </c>
      <c r="S859" s="187">
        <f t="shared" si="102"/>
        <v>2</v>
      </c>
    </row>
    <row r="860" spans="1:19" s="3" customFormat="1" hidden="1" x14ac:dyDescent="0.25">
      <c r="A860" s="30">
        <f>+closed!A877+1</f>
        <v>43</v>
      </c>
      <c r="B860" s="24">
        <v>42551</v>
      </c>
      <c r="C860" s="1">
        <v>114</v>
      </c>
      <c r="D860" s="1">
        <v>3000031536</v>
      </c>
      <c r="E860" s="1" t="s">
        <v>169</v>
      </c>
      <c r="F860" s="1">
        <v>62</v>
      </c>
      <c r="G860" s="25">
        <v>42534</v>
      </c>
      <c r="H860" s="25"/>
      <c r="I860" s="25">
        <v>42545</v>
      </c>
      <c r="J860" s="1" t="s">
        <v>61</v>
      </c>
      <c r="K860" s="77">
        <v>15.57</v>
      </c>
      <c r="L860" s="1">
        <v>15.56</v>
      </c>
      <c r="M860" s="1">
        <f t="shared" si="103"/>
        <v>15.56</v>
      </c>
      <c r="N860" s="7">
        <f t="shared" si="101"/>
        <v>42564</v>
      </c>
      <c r="O860" s="1">
        <v>1307880</v>
      </c>
      <c r="P860" s="26">
        <f t="shared" si="100"/>
        <v>1307040</v>
      </c>
      <c r="Q860" s="178">
        <v>42565</v>
      </c>
      <c r="R860" s="66">
        <v>42565</v>
      </c>
      <c r="S860" s="187">
        <f t="shared" si="102"/>
        <v>1</v>
      </c>
    </row>
    <row r="861" spans="1:19" s="3" customFormat="1" hidden="1" x14ac:dyDescent="0.25">
      <c r="A861" s="30">
        <f>+closed!A860+1</f>
        <v>44</v>
      </c>
      <c r="B861" s="24">
        <v>42551</v>
      </c>
      <c r="C861" s="1">
        <v>114</v>
      </c>
      <c r="D861" s="1">
        <v>3000031536</v>
      </c>
      <c r="E861" s="1" t="s">
        <v>169</v>
      </c>
      <c r="F861" s="1">
        <v>63</v>
      </c>
      <c r="G861" s="25">
        <v>42534</v>
      </c>
      <c r="H861" s="25"/>
      <c r="I861" s="25">
        <v>42545</v>
      </c>
      <c r="J861" s="1" t="s">
        <v>61</v>
      </c>
      <c r="K861" s="77">
        <v>16.91</v>
      </c>
      <c r="L861" s="1">
        <v>16.829999999999998</v>
      </c>
      <c r="M861" s="1">
        <f t="shared" si="103"/>
        <v>16.829999999999998</v>
      </c>
      <c r="N861" s="7">
        <f t="shared" si="101"/>
        <v>42564</v>
      </c>
      <c r="O861" s="1">
        <v>1420440</v>
      </c>
      <c r="P861" s="26">
        <f t="shared" si="100"/>
        <v>1413719.9999999998</v>
      </c>
      <c r="Q861" s="178">
        <v>42565</v>
      </c>
      <c r="R861" s="66">
        <v>42565</v>
      </c>
      <c r="S861" s="187">
        <f t="shared" si="102"/>
        <v>1</v>
      </c>
    </row>
    <row r="862" spans="1:19" s="3" customFormat="1" hidden="1" x14ac:dyDescent="0.25">
      <c r="A862" s="30">
        <f>+closed!A890+1</f>
        <v>55</v>
      </c>
      <c r="B862" s="24">
        <v>42551</v>
      </c>
      <c r="C862" s="1">
        <v>103</v>
      </c>
      <c r="D862" s="1">
        <v>3000031522</v>
      </c>
      <c r="E862" s="1" t="s">
        <v>171</v>
      </c>
      <c r="F862" s="1">
        <v>16</v>
      </c>
      <c r="G862" s="25">
        <v>42542</v>
      </c>
      <c r="H862" s="25"/>
      <c r="I862" s="25">
        <v>42546</v>
      </c>
      <c r="J862" s="1" t="s">
        <v>61</v>
      </c>
      <c r="K862" s="77">
        <v>20.02</v>
      </c>
      <c r="L862" s="1">
        <v>19.93</v>
      </c>
      <c r="M862" s="1">
        <f t="shared" si="103"/>
        <v>19.93</v>
      </c>
      <c r="N862" s="7">
        <f t="shared" si="101"/>
        <v>42565</v>
      </c>
      <c r="O862" s="1">
        <v>1601572</v>
      </c>
      <c r="P862" s="38">
        <f t="shared" si="100"/>
        <v>1594372.1258741259</v>
      </c>
      <c r="Q862" s="178">
        <v>42565</v>
      </c>
      <c r="R862" s="66">
        <v>42565</v>
      </c>
      <c r="S862" s="187">
        <f t="shared" si="102"/>
        <v>0</v>
      </c>
    </row>
    <row r="863" spans="1:19" s="3" customFormat="1" hidden="1" x14ac:dyDescent="0.25">
      <c r="A863" s="30">
        <f>+closed!A862+1</f>
        <v>56</v>
      </c>
      <c r="B863" s="24">
        <v>42551</v>
      </c>
      <c r="C863" s="1">
        <v>103</v>
      </c>
      <c r="D863" s="1">
        <v>3000031718</v>
      </c>
      <c r="E863" s="1" t="s">
        <v>192</v>
      </c>
      <c r="F863" s="1">
        <v>13</v>
      </c>
      <c r="G863" s="25">
        <v>42542</v>
      </c>
      <c r="H863" s="25"/>
      <c r="I863" s="25">
        <v>42546</v>
      </c>
      <c r="J863" s="1" t="s">
        <v>61</v>
      </c>
      <c r="K863" s="77">
        <v>20.149999999999999</v>
      </c>
      <c r="L863" s="1">
        <v>20.059999999999999</v>
      </c>
      <c r="M863" s="1">
        <f t="shared" si="103"/>
        <v>20.059999999999999</v>
      </c>
      <c r="N863" s="7">
        <f t="shared" si="101"/>
        <v>42565</v>
      </c>
      <c r="O863" s="1">
        <v>1642230</v>
      </c>
      <c r="P863" s="26">
        <f t="shared" si="100"/>
        <v>1634894.9776674937</v>
      </c>
      <c r="Q863" s="178">
        <v>42565</v>
      </c>
      <c r="R863" s="66">
        <v>42565</v>
      </c>
      <c r="S863" s="187">
        <f t="shared" si="102"/>
        <v>0</v>
      </c>
    </row>
    <row r="864" spans="1:19" s="3" customFormat="1" hidden="1" x14ac:dyDescent="0.25">
      <c r="A864" s="30">
        <f>+closed!A849+1</f>
        <v>200</v>
      </c>
      <c r="B864" s="24">
        <v>42565</v>
      </c>
      <c r="C864" s="1">
        <v>103</v>
      </c>
      <c r="D864" s="1">
        <v>3000031239</v>
      </c>
      <c r="E864" s="8" t="s">
        <v>220</v>
      </c>
      <c r="F864" s="1">
        <v>9110127628</v>
      </c>
      <c r="G864" s="25">
        <v>42544</v>
      </c>
      <c r="H864" s="25"/>
      <c r="I864" s="25">
        <v>42544</v>
      </c>
      <c r="J864" s="1" t="s">
        <v>16</v>
      </c>
      <c r="K864" s="77">
        <v>32.19</v>
      </c>
      <c r="L864" s="1">
        <v>32.19</v>
      </c>
      <c r="M864" s="1">
        <f t="shared" si="103"/>
        <v>32.19</v>
      </c>
      <c r="N864" s="7" t="e">
        <f>+I864+20-'V V F India Out Standing'!#REF!</f>
        <v>#REF!</v>
      </c>
      <c r="O864" s="1">
        <v>1440583</v>
      </c>
      <c r="P864" s="26">
        <f t="shared" si="100"/>
        <v>1440583</v>
      </c>
      <c r="Q864" s="15" t="s">
        <v>164</v>
      </c>
      <c r="R864" s="1"/>
    </row>
    <row r="865" spans="1:22" s="3" customFormat="1" hidden="1" x14ac:dyDescent="0.25">
      <c r="A865" s="30">
        <f>+closed!A864+1</f>
        <v>201</v>
      </c>
      <c r="B865" s="24">
        <v>42565</v>
      </c>
      <c r="C865" s="1">
        <v>103</v>
      </c>
      <c r="D865" s="1">
        <v>3000031239</v>
      </c>
      <c r="E865" s="8" t="s">
        <v>220</v>
      </c>
      <c r="F865" s="1">
        <v>9110127545</v>
      </c>
      <c r="G865" s="25">
        <v>42542</v>
      </c>
      <c r="H865" s="25"/>
      <c r="I865" s="25">
        <v>42542</v>
      </c>
      <c r="J865" s="1" t="s">
        <v>16</v>
      </c>
      <c r="K865" s="77">
        <v>26.97</v>
      </c>
      <c r="L865" s="1">
        <v>26.97</v>
      </c>
      <c r="M865" s="1">
        <f t="shared" si="103"/>
        <v>26.97</v>
      </c>
      <c r="N865" s="7" t="e">
        <f>+I865+20-'V V F India Out Standing'!#REF!</f>
        <v>#REF!</v>
      </c>
      <c r="O865" s="1">
        <v>1206975</v>
      </c>
      <c r="P865" s="26">
        <f t="shared" si="100"/>
        <v>1206975</v>
      </c>
      <c r="Q865" s="15" t="s">
        <v>164</v>
      </c>
      <c r="R865" s="1"/>
    </row>
    <row r="866" spans="1:22" s="3" customFormat="1" hidden="1" x14ac:dyDescent="0.25">
      <c r="A866" s="30">
        <f>+closed!A865+1</f>
        <v>202</v>
      </c>
      <c r="B866" s="24">
        <v>42565</v>
      </c>
      <c r="C866" s="1">
        <v>103</v>
      </c>
      <c r="D866" s="1">
        <v>3000031239</v>
      </c>
      <c r="E866" s="8" t="s">
        <v>220</v>
      </c>
      <c r="F866" s="1">
        <v>9110127546</v>
      </c>
      <c r="G866" s="25">
        <v>42542</v>
      </c>
      <c r="H866" s="25"/>
      <c r="I866" s="25">
        <v>42542</v>
      </c>
      <c r="J866" s="1" t="s">
        <v>16</v>
      </c>
      <c r="K866" s="77">
        <v>26.61</v>
      </c>
      <c r="L866" s="1">
        <v>26.61</v>
      </c>
      <c r="M866" s="1">
        <f t="shared" si="103"/>
        <v>26.61</v>
      </c>
      <c r="N866" s="7" t="e">
        <f>+I866+20-'V V F India Out Standing'!#REF!</f>
        <v>#REF!</v>
      </c>
      <c r="O866" s="1">
        <v>1190864</v>
      </c>
      <c r="P866" s="26">
        <f t="shared" si="100"/>
        <v>1190864</v>
      </c>
      <c r="Q866" s="15" t="s">
        <v>164</v>
      </c>
      <c r="R866" s="1"/>
    </row>
    <row r="867" spans="1:22" s="3" customFormat="1" hidden="1" x14ac:dyDescent="0.25">
      <c r="A867" s="30">
        <f>+closed!A875+1</f>
        <v>141</v>
      </c>
      <c r="B867" s="24">
        <v>42557</v>
      </c>
      <c r="C867" s="1">
        <v>103</v>
      </c>
      <c r="D867" s="1">
        <v>3000031623</v>
      </c>
      <c r="E867" s="1" t="s">
        <v>146</v>
      </c>
      <c r="F867" s="1">
        <v>1121</v>
      </c>
      <c r="G867" s="25">
        <v>42540</v>
      </c>
      <c r="H867" s="25"/>
      <c r="I867" s="25">
        <v>42550</v>
      </c>
      <c r="J867" s="1" t="s">
        <v>61</v>
      </c>
      <c r="K867" s="77">
        <v>19.89</v>
      </c>
      <c r="L867" s="1">
        <v>19.809999999999999</v>
      </c>
      <c r="M867" s="1">
        <f t="shared" si="103"/>
        <v>19.809999999999999</v>
      </c>
      <c r="N867" s="7">
        <f t="shared" ref="N867:N874" si="104">+I867+15-1</f>
        <v>42564</v>
      </c>
      <c r="O867" s="1">
        <v>1531530</v>
      </c>
      <c r="P867" s="26">
        <f t="shared" si="100"/>
        <v>1525370</v>
      </c>
      <c r="Q867" s="178">
        <v>42566</v>
      </c>
      <c r="R867" s="66">
        <v>42569</v>
      </c>
      <c r="S867" s="187">
        <f t="shared" ref="S867:S891" si="105">R867-N867</f>
        <v>5</v>
      </c>
    </row>
    <row r="868" spans="1:22" s="3" customFormat="1" hidden="1" x14ac:dyDescent="0.25">
      <c r="A868" s="30">
        <f>+closed!A943+1</f>
        <v>24</v>
      </c>
      <c r="B868" s="24">
        <v>42543</v>
      </c>
      <c r="C868" s="1">
        <v>114</v>
      </c>
      <c r="D868" s="1">
        <v>3000031360</v>
      </c>
      <c r="E868" s="1" t="s">
        <v>29</v>
      </c>
      <c r="F868" s="1">
        <v>93</v>
      </c>
      <c r="G868" s="25">
        <v>42534</v>
      </c>
      <c r="H868" s="74"/>
      <c r="I868" s="74">
        <v>42538</v>
      </c>
      <c r="J868" s="1" t="s">
        <v>8</v>
      </c>
      <c r="K868" s="77">
        <v>1.4750000000000001</v>
      </c>
      <c r="L868" s="1">
        <v>1.5449999999999999</v>
      </c>
      <c r="M868" s="88">
        <f t="shared" si="103"/>
        <v>1.4750000000000001</v>
      </c>
      <c r="N868" s="7">
        <f t="shared" si="104"/>
        <v>42552</v>
      </c>
      <c r="O868" s="1">
        <v>78618</v>
      </c>
      <c r="P868" s="26">
        <f t="shared" si="100"/>
        <v>78618</v>
      </c>
      <c r="Q868" s="178">
        <v>42569</v>
      </c>
      <c r="R868" s="66">
        <v>42569</v>
      </c>
      <c r="S868" s="187">
        <f t="shared" si="105"/>
        <v>17</v>
      </c>
    </row>
    <row r="869" spans="1:22" s="3" customFormat="1" hidden="1" x14ac:dyDescent="0.25">
      <c r="A869" s="30">
        <f>+closed!A868+1</f>
        <v>25</v>
      </c>
      <c r="B869" s="24">
        <v>42543</v>
      </c>
      <c r="C869" s="1">
        <v>114</v>
      </c>
      <c r="D869" s="1">
        <v>3000030406</v>
      </c>
      <c r="E869" s="1" t="s">
        <v>39</v>
      </c>
      <c r="F869" s="1">
        <v>23</v>
      </c>
      <c r="G869" s="25">
        <v>42536</v>
      </c>
      <c r="H869" s="74"/>
      <c r="I869" s="74">
        <v>42538</v>
      </c>
      <c r="J869" s="1" t="s">
        <v>8</v>
      </c>
      <c r="K869" s="77">
        <v>26.01</v>
      </c>
      <c r="L869" s="1">
        <v>26.01</v>
      </c>
      <c r="M869" s="88">
        <f t="shared" si="103"/>
        <v>26.01</v>
      </c>
      <c r="N869" s="7">
        <f t="shared" si="104"/>
        <v>42552</v>
      </c>
      <c r="O869" s="1">
        <v>1435752</v>
      </c>
      <c r="P869" s="26">
        <f t="shared" si="100"/>
        <v>1435752</v>
      </c>
      <c r="Q869" s="178">
        <v>42569</v>
      </c>
      <c r="R869" s="66">
        <v>42569</v>
      </c>
      <c r="S869" s="187">
        <f t="shared" si="105"/>
        <v>17</v>
      </c>
    </row>
    <row r="870" spans="1:22" s="3" customFormat="1" hidden="1" x14ac:dyDescent="0.25">
      <c r="A870" s="30">
        <f>+closed!A869+1</f>
        <v>26</v>
      </c>
      <c r="B870" s="24">
        <v>42543</v>
      </c>
      <c r="C870" s="1">
        <v>114</v>
      </c>
      <c r="D870" s="1">
        <v>3000028710</v>
      </c>
      <c r="E870" s="1" t="s">
        <v>39</v>
      </c>
      <c r="F870" s="1">
        <v>24</v>
      </c>
      <c r="G870" s="25">
        <v>42536</v>
      </c>
      <c r="H870" s="74"/>
      <c r="I870" s="74">
        <v>42538</v>
      </c>
      <c r="J870" s="1" t="s">
        <v>8</v>
      </c>
      <c r="K870" s="77">
        <v>4</v>
      </c>
      <c r="L870" s="1">
        <v>4.07</v>
      </c>
      <c r="M870" s="88">
        <f t="shared" si="103"/>
        <v>4</v>
      </c>
      <c r="N870" s="7">
        <f t="shared" si="104"/>
        <v>42552</v>
      </c>
      <c r="O870" s="1">
        <v>182800</v>
      </c>
      <c r="P870" s="26">
        <f t="shared" si="100"/>
        <v>182800</v>
      </c>
      <c r="Q870" s="178">
        <v>42569</v>
      </c>
      <c r="R870" s="66">
        <v>42569</v>
      </c>
      <c r="S870" s="187">
        <f t="shared" si="105"/>
        <v>17</v>
      </c>
    </row>
    <row r="871" spans="1:22" s="3" customFormat="1" hidden="1" x14ac:dyDescent="0.25">
      <c r="A871" s="30">
        <f>+closed!A945+1</f>
        <v>28</v>
      </c>
      <c r="B871" s="24">
        <v>42545</v>
      </c>
      <c r="C871" s="1">
        <v>114</v>
      </c>
      <c r="D871" s="1">
        <v>3000031724</v>
      </c>
      <c r="E871" s="1" t="s">
        <v>30</v>
      </c>
      <c r="F871" s="1">
        <v>126</v>
      </c>
      <c r="G871" s="25">
        <v>42539</v>
      </c>
      <c r="H871" s="25"/>
      <c r="I871" s="25">
        <v>42541</v>
      </c>
      <c r="J871" s="1" t="s">
        <v>31</v>
      </c>
      <c r="K871" s="77">
        <v>27.61</v>
      </c>
      <c r="L871" s="1">
        <v>27.55</v>
      </c>
      <c r="M871" s="1">
        <f t="shared" si="103"/>
        <v>27.55</v>
      </c>
      <c r="N871" s="7">
        <f t="shared" si="104"/>
        <v>42555</v>
      </c>
      <c r="O871" s="1">
        <v>1477136</v>
      </c>
      <c r="P871" s="26">
        <f t="shared" si="100"/>
        <v>1473925.9978268745</v>
      </c>
      <c r="Q871" s="178">
        <v>42569</v>
      </c>
      <c r="R871" s="66">
        <v>42569</v>
      </c>
      <c r="S871" s="187">
        <f t="shared" si="105"/>
        <v>14</v>
      </c>
    </row>
    <row r="872" spans="1:22" s="3" customFormat="1" hidden="1" x14ac:dyDescent="0.25">
      <c r="A872" s="30">
        <f>+closed!A930+1</f>
        <v>47</v>
      </c>
      <c r="B872" s="24">
        <v>42551</v>
      </c>
      <c r="C872" s="1">
        <v>114</v>
      </c>
      <c r="D872" s="1">
        <v>3000031724</v>
      </c>
      <c r="E872" s="1" t="s">
        <v>30</v>
      </c>
      <c r="F872" s="1">
        <v>128</v>
      </c>
      <c r="G872" s="25">
        <v>42542</v>
      </c>
      <c r="H872" s="25"/>
      <c r="I872" s="25">
        <v>42544</v>
      </c>
      <c r="J872" s="1" t="s">
        <v>31</v>
      </c>
      <c r="K872" s="77">
        <v>27.51</v>
      </c>
      <c r="L872" s="1">
        <v>27.43</v>
      </c>
      <c r="M872" s="1">
        <f t="shared" si="103"/>
        <v>27.43</v>
      </c>
      <c r="N872" s="7">
        <f t="shared" si="104"/>
        <v>42558</v>
      </c>
      <c r="O872" s="1">
        <v>1471786</v>
      </c>
      <c r="P872" s="26">
        <f t="shared" si="100"/>
        <v>1467505.9970919664</v>
      </c>
      <c r="Q872" s="178">
        <v>42569</v>
      </c>
      <c r="R872" s="66">
        <v>42569</v>
      </c>
      <c r="S872" s="187">
        <f t="shared" si="105"/>
        <v>11</v>
      </c>
      <c r="T872" s="15" t="s">
        <v>228</v>
      </c>
      <c r="U872" s="15"/>
      <c r="V872" s="15"/>
    </row>
    <row r="873" spans="1:22" s="3" customFormat="1" hidden="1" x14ac:dyDescent="0.25">
      <c r="A873" s="30">
        <f>+closed!A874+1</f>
        <v>49</v>
      </c>
      <c r="B873" s="24">
        <v>42551</v>
      </c>
      <c r="C873" s="1">
        <v>114</v>
      </c>
      <c r="D873" s="1">
        <v>3000031321</v>
      </c>
      <c r="E873" s="1" t="s">
        <v>37</v>
      </c>
      <c r="F873" s="1">
        <v>52</v>
      </c>
      <c r="G873" s="25">
        <v>42531</v>
      </c>
      <c r="H873" s="25"/>
      <c r="I873" s="25">
        <v>42538</v>
      </c>
      <c r="J873" s="1" t="s">
        <v>8</v>
      </c>
      <c r="K873" s="77">
        <v>29.4</v>
      </c>
      <c r="L873" s="1">
        <v>29.31</v>
      </c>
      <c r="M873" s="1">
        <f t="shared" si="103"/>
        <v>29.31</v>
      </c>
      <c r="N873" s="7">
        <f t="shared" si="104"/>
        <v>42552</v>
      </c>
      <c r="O873" s="1">
        <v>1558200</v>
      </c>
      <c r="P873" s="36">
        <f>(+O873/K873*M873)-9496</f>
        <v>1543934</v>
      </c>
      <c r="Q873" s="130">
        <v>42571</v>
      </c>
      <c r="R873" s="66">
        <v>42573</v>
      </c>
      <c r="S873" s="187">
        <f t="shared" si="105"/>
        <v>21</v>
      </c>
    </row>
    <row r="874" spans="1:22" s="3" customFormat="1" hidden="1" x14ac:dyDescent="0.25">
      <c r="A874" s="30">
        <f>+closed!A872+1</f>
        <v>48</v>
      </c>
      <c r="B874" s="24">
        <v>42551</v>
      </c>
      <c r="C874" s="1">
        <v>114</v>
      </c>
      <c r="D874" s="1">
        <v>3000031321</v>
      </c>
      <c r="E874" s="1" t="s">
        <v>37</v>
      </c>
      <c r="F874" s="39" t="s">
        <v>191</v>
      </c>
      <c r="G874" s="25">
        <v>42548</v>
      </c>
      <c r="H874" s="25"/>
      <c r="I874" s="25">
        <v>42538</v>
      </c>
      <c r="J874" s="1" t="s">
        <v>8</v>
      </c>
      <c r="K874" s="77"/>
      <c r="L874" s="1"/>
      <c r="M874" s="1"/>
      <c r="N874" s="7">
        <f t="shared" si="104"/>
        <v>42552</v>
      </c>
      <c r="O874" s="1">
        <v>9496</v>
      </c>
      <c r="P874" s="26"/>
      <c r="Q874" s="130">
        <v>42571</v>
      </c>
      <c r="R874" s="66">
        <v>42573</v>
      </c>
      <c r="S874" s="187">
        <f t="shared" si="105"/>
        <v>21</v>
      </c>
    </row>
    <row r="875" spans="1:22" s="3" customFormat="1" hidden="1" x14ac:dyDescent="0.25">
      <c r="A875" s="30">
        <f>+closed!A1017+1</f>
        <v>140</v>
      </c>
      <c r="B875" s="24">
        <v>42557</v>
      </c>
      <c r="C875" s="1">
        <v>103</v>
      </c>
      <c r="D875" s="1">
        <v>3000031796</v>
      </c>
      <c r="E875" s="1" t="s">
        <v>199</v>
      </c>
      <c r="F875" s="1">
        <v>5717</v>
      </c>
      <c r="G875" s="25">
        <v>42546</v>
      </c>
      <c r="H875" s="25"/>
      <c r="I875" s="25">
        <v>42549</v>
      </c>
      <c r="J875" s="1" t="s">
        <v>61</v>
      </c>
      <c r="K875" s="77">
        <v>20.21</v>
      </c>
      <c r="L875" s="1">
        <v>20.13</v>
      </c>
      <c r="M875" s="1">
        <f t="shared" ref="M875:M906" si="106">IF(L875&gt;K875,K875,L875)</f>
        <v>20.13</v>
      </c>
      <c r="N875" s="7">
        <f>+I875+20-1</f>
        <v>42568</v>
      </c>
      <c r="O875" s="1">
        <v>1695063</v>
      </c>
      <c r="P875" s="36">
        <f t="shared" ref="P875:P906" si="107">(+O875/K875*M875)</f>
        <v>1688353.2008906482</v>
      </c>
      <c r="Q875" s="130">
        <v>42571</v>
      </c>
      <c r="R875" s="66">
        <v>42573</v>
      </c>
      <c r="S875" s="187">
        <f t="shared" si="105"/>
        <v>5</v>
      </c>
    </row>
    <row r="876" spans="1:22" s="3" customFormat="1" hidden="1" x14ac:dyDescent="0.25">
      <c r="A876" s="30">
        <f>+closed!A800+1</f>
        <v>36</v>
      </c>
      <c r="B876" s="24">
        <v>42551</v>
      </c>
      <c r="C876" s="1">
        <v>114</v>
      </c>
      <c r="D876" s="1">
        <v>3000030987</v>
      </c>
      <c r="E876" s="1" t="s">
        <v>27</v>
      </c>
      <c r="F876" s="1">
        <v>106</v>
      </c>
      <c r="G876" s="25">
        <v>42542</v>
      </c>
      <c r="H876" s="25"/>
      <c r="I876" s="25">
        <v>42546</v>
      </c>
      <c r="J876" s="1" t="s">
        <v>16</v>
      </c>
      <c r="K876" s="77">
        <v>29.4</v>
      </c>
      <c r="L876" s="1">
        <v>29.34</v>
      </c>
      <c r="M876" s="1">
        <f t="shared" si="106"/>
        <v>29.34</v>
      </c>
      <c r="N876" s="7">
        <f>+I876+15-1</f>
        <v>42560</v>
      </c>
      <c r="O876" s="1">
        <v>1440600</v>
      </c>
      <c r="P876" s="36">
        <f t="shared" si="107"/>
        <v>1437660</v>
      </c>
      <c r="Q876" s="130">
        <v>42571</v>
      </c>
      <c r="R876" s="66">
        <v>42573</v>
      </c>
      <c r="S876" s="187">
        <f t="shared" si="105"/>
        <v>13</v>
      </c>
      <c r="T876" s="147"/>
      <c r="U876" s="148"/>
    </row>
    <row r="877" spans="1:22" s="3" customFormat="1" hidden="1" x14ac:dyDescent="0.25">
      <c r="A877" s="30">
        <f>+closed!A1006+1</f>
        <v>42</v>
      </c>
      <c r="B877" s="24">
        <v>42551</v>
      </c>
      <c r="C877" s="1">
        <v>114</v>
      </c>
      <c r="D877" s="1">
        <v>3000031536</v>
      </c>
      <c r="E877" s="1" t="s">
        <v>169</v>
      </c>
      <c r="F877" s="1">
        <v>64</v>
      </c>
      <c r="G877" s="25">
        <v>42534</v>
      </c>
      <c r="H877" s="25"/>
      <c r="I877" s="25">
        <v>42549</v>
      </c>
      <c r="J877" s="1" t="s">
        <v>61</v>
      </c>
      <c r="K877" s="77">
        <v>15.75</v>
      </c>
      <c r="L877" s="1">
        <v>15.77</v>
      </c>
      <c r="M877" s="1">
        <f t="shared" si="106"/>
        <v>15.75</v>
      </c>
      <c r="N877" s="7">
        <f t="shared" ref="N877:N883" si="108">+I877+20-1</f>
        <v>42568</v>
      </c>
      <c r="O877" s="1">
        <v>1323000</v>
      </c>
      <c r="P877" s="36">
        <f t="shared" si="107"/>
        <v>1323000</v>
      </c>
      <c r="Q877" s="130">
        <v>42571</v>
      </c>
      <c r="R877" s="66">
        <v>42573</v>
      </c>
      <c r="S877" s="187">
        <f t="shared" si="105"/>
        <v>5</v>
      </c>
    </row>
    <row r="878" spans="1:22" s="3" customFormat="1" hidden="1" x14ac:dyDescent="0.25">
      <c r="A878" s="30">
        <f>+closed!A861+1</f>
        <v>45</v>
      </c>
      <c r="B878" s="24">
        <v>42551</v>
      </c>
      <c r="C878" s="1">
        <v>114</v>
      </c>
      <c r="D878" s="1">
        <v>3000031531</v>
      </c>
      <c r="E878" s="1" t="s">
        <v>169</v>
      </c>
      <c r="F878" s="1">
        <v>75</v>
      </c>
      <c r="G878" s="25">
        <v>42536</v>
      </c>
      <c r="H878" s="25"/>
      <c r="I878" s="25">
        <v>42545</v>
      </c>
      <c r="J878" s="1" t="s">
        <v>61</v>
      </c>
      <c r="K878" s="77">
        <v>20.45</v>
      </c>
      <c r="L878" s="1">
        <v>20.51</v>
      </c>
      <c r="M878" s="1">
        <f t="shared" si="106"/>
        <v>20.45</v>
      </c>
      <c r="N878" s="7">
        <f t="shared" si="108"/>
        <v>42564</v>
      </c>
      <c r="O878" s="1">
        <v>1717800</v>
      </c>
      <c r="P878" s="36">
        <f t="shared" si="107"/>
        <v>1717800</v>
      </c>
      <c r="Q878" s="130">
        <v>42571</v>
      </c>
      <c r="R878" s="66">
        <v>42573</v>
      </c>
      <c r="S878" s="187">
        <f t="shared" si="105"/>
        <v>9</v>
      </c>
    </row>
    <row r="879" spans="1:22" s="3" customFormat="1" hidden="1" x14ac:dyDescent="0.25">
      <c r="A879" s="30">
        <f>+closed!A938+1</f>
        <v>50</v>
      </c>
      <c r="B879" s="24">
        <v>42551</v>
      </c>
      <c r="C879" s="1">
        <v>103</v>
      </c>
      <c r="D879" s="1">
        <v>3000031636</v>
      </c>
      <c r="E879" s="1" t="s">
        <v>202</v>
      </c>
      <c r="F879" s="1">
        <v>66</v>
      </c>
      <c r="G879" s="25">
        <v>42543</v>
      </c>
      <c r="H879" s="25"/>
      <c r="I879" s="25">
        <v>42548</v>
      </c>
      <c r="J879" s="1" t="s">
        <v>61</v>
      </c>
      <c r="K879" s="77">
        <v>20.45</v>
      </c>
      <c r="L879" s="1">
        <v>20.38</v>
      </c>
      <c r="M879" s="1">
        <f t="shared" si="106"/>
        <v>20.38</v>
      </c>
      <c r="N879" s="7">
        <f t="shared" si="108"/>
        <v>42567</v>
      </c>
      <c r="O879" s="1">
        <v>1636000</v>
      </c>
      <c r="P879" s="36">
        <f t="shared" si="107"/>
        <v>1630400</v>
      </c>
      <c r="Q879" s="130">
        <v>42571</v>
      </c>
      <c r="R879" s="66">
        <v>42573</v>
      </c>
      <c r="S879" s="187">
        <f t="shared" si="105"/>
        <v>6</v>
      </c>
    </row>
    <row r="880" spans="1:22" s="3" customFormat="1" hidden="1" x14ac:dyDescent="0.25">
      <c r="A880" s="30">
        <f>+closed!A883+1</f>
        <v>59</v>
      </c>
      <c r="B880" s="24">
        <v>42551</v>
      </c>
      <c r="C880" s="1">
        <v>103</v>
      </c>
      <c r="D880" s="1">
        <v>3000031643</v>
      </c>
      <c r="E880" s="1" t="s">
        <v>159</v>
      </c>
      <c r="F880" s="1">
        <v>282</v>
      </c>
      <c r="G880" s="25">
        <v>42542</v>
      </c>
      <c r="H880" s="25"/>
      <c r="I880" s="25">
        <v>42547</v>
      </c>
      <c r="J880" s="1" t="s">
        <v>61</v>
      </c>
      <c r="K880" s="77">
        <v>20.13</v>
      </c>
      <c r="L880" s="1">
        <v>20.09</v>
      </c>
      <c r="M880" s="1">
        <f t="shared" si="106"/>
        <v>20.09</v>
      </c>
      <c r="N880" s="7">
        <f t="shared" si="108"/>
        <v>42566</v>
      </c>
      <c r="O880" s="1">
        <v>1640596</v>
      </c>
      <c r="P880" s="36">
        <f t="shared" si="107"/>
        <v>1637335.9980129162</v>
      </c>
      <c r="Q880" s="130">
        <v>42571</v>
      </c>
      <c r="R880" s="66">
        <v>42573</v>
      </c>
      <c r="S880" s="187">
        <f t="shared" si="105"/>
        <v>7</v>
      </c>
    </row>
    <row r="881" spans="1:20" s="3" customFormat="1" hidden="1" x14ac:dyDescent="0.25">
      <c r="A881" s="30">
        <f>+closed!A880+1</f>
        <v>60</v>
      </c>
      <c r="B881" s="24">
        <v>42551</v>
      </c>
      <c r="C881" s="1">
        <v>103</v>
      </c>
      <c r="D881" s="1">
        <v>3000031643</v>
      </c>
      <c r="E881" s="1" t="s">
        <v>159</v>
      </c>
      <c r="F881" s="1">
        <v>283</v>
      </c>
      <c r="G881" s="25">
        <v>42542</v>
      </c>
      <c r="H881" s="25"/>
      <c r="I881" s="25">
        <v>42546</v>
      </c>
      <c r="J881" s="1" t="s">
        <v>61</v>
      </c>
      <c r="K881" s="77">
        <v>20.21</v>
      </c>
      <c r="L881" s="1">
        <v>20.16</v>
      </c>
      <c r="M881" s="1">
        <f t="shared" si="106"/>
        <v>20.16</v>
      </c>
      <c r="N881" s="7">
        <f t="shared" si="108"/>
        <v>42565</v>
      </c>
      <c r="O881" s="1">
        <v>1647116</v>
      </c>
      <c r="P881" s="36">
        <f t="shared" si="107"/>
        <v>1643040.9975259772</v>
      </c>
      <c r="Q881" s="130">
        <v>42571</v>
      </c>
      <c r="R881" s="66">
        <v>42573</v>
      </c>
      <c r="S881" s="187">
        <f t="shared" si="105"/>
        <v>8</v>
      </c>
    </row>
    <row r="882" spans="1:20" s="3" customFormat="1" hidden="1" x14ac:dyDescent="0.25">
      <c r="A882" s="30">
        <f>+closed!A966+1</f>
        <v>84</v>
      </c>
      <c r="B882" s="24">
        <v>42557</v>
      </c>
      <c r="C882" s="1">
        <v>103</v>
      </c>
      <c r="D882" s="1">
        <v>3000031564</v>
      </c>
      <c r="E882" s="1" t="s">
        <v>200</v>
      </c>
      <c r="F882" s="1">
        <v>72</v>
      </c>
      <c r="G882" s="25">
        <v>42541</v>
      </c>
      <c r="H882" s="25"/>
      <c r="I882" s="25">
        <v>42546</v>
      </c>
      <c r="J882" s="1" t="s">
        <v>61</v>
      </c>
      <c r="K882" s="77">
        <v>20.100000000000001</v>
      </c>
      <c r="L882" s="1">
        <v>20.079999999999998</v>
      </c>
      <c r="M882" s="1">
        <f t="shared" si="106"/>
        <v>20.079999999999998</v>
      </c>
      <c r="N882" s="7">
        <f t="shared" si="108"/>
        <v>42565</v>
      </c>
      <c r="O882" s="1">
        <v>1608000</v>
      </c>
      <c r="P882" s="36">
        <f t="shared" si="107"/>
        <v>1606399.9999999998</v>
      </c>
      <c r="Q882" s="130">
        <v>42571</v>
      </c>
      <c r="R882" s="66">
        <v>42573</v>
      </c>
      <c r="S882" s="187">
        <f t="shared" si="105"/>
        <v>8</v>
      </c>
    </row>
    <row r="883" spans="1:20" s="3" customFormat="1" hidden="1" x14ac:dyDescent="0.25">
      <c r="A883" s="30">
        <f>+closed!A891+1</f>
        <v>58</v>
      </c>
      <c r="B883" s="24">
        <v>42551</v>
      </c>
      <c r="C883" s="1">
        <v>103</v>
      </c>
      <c r="D883" s="1">
        <v>3000030937</v>
      </c>
      <c r="E883" s="1" t="s">
        <v>145</v>
      </c>
      <c r="F883" s="1">
        <v>29</v>
      </c>
      <c r="G883" s="25">
        <v>42539</v>
      </c>
      <c r="H883" s="25"/>
      <c r="I883" s="25">
        <v>42547</v>
      </c>
      <c r="J883" s="1" t="s">
        <v>61</v>
      </c>
      <c r="K883" s="77">
        <v>20.27</v>
      </c>
      <c r="L883" s="1">
        <v>20.239999999999998</v>
      </c>
      <c r="M883" s="1">
        <f t="shared" si="106"/>
        <v>20.239999999999998</v>
      </c>
      <c r="N883" s="7">
        <f t="shared" si="108"/>
        <v>42566</v>
      </c>
      <c r="O883" s="1">
        <v>1702620</v>
      </c>
      <c r="P883" s="36">
        <f t="shared" si="107"/>
        <v>1700100.088801184</v>
      </c>
      <c r="Q883" s="130">
        <v>42571</v>
      </c>
      <c r="R883" s="66">
        <v>42573</v>
      </c>
      <c r="S883" s="187">
        <f t="shared" si="105"/>
        <v>7</v>
      </c>
    </row>
    <row r="884" spans="1:20" s="3" customFormat="1" hidden="1" x14ac:dyDescent="0.25">
      <c r="A884" s="30">
        <f>+closed!A942+1</f>
        <v>26</v>
      </c>
      <c r="B884" s="24">
        <v>42545</v>
      </c>
      <c r="C884" s="1">
        <v>114</v>
      </c>
      <c r="D884" s="1">
        <v>3000031194</v>
      </c>
      <c r="E884" s="1" t="s">
        <v>18</v>
      </c>
      <c r="F884" s="1">
        <v>28</v>
      </c>
      <c r="G884" s="25">
        <v>42536</v>
      </c>
      <c r="H884" s="25"/>
      <c r="I884" s="25">
        <v>42542</v>
      </c>
      <c r="J884" s="1" t="s">
        <v>8</v>
      </c>
      <c r="K884" s="77">
        <v>31.585000000000001</v>
      </c>
      <c r="L884" s="1">
        <v>31.52</v>
      </c>
      <c r="M884" s="1">
        <f t="shared" si="106"/>
        <v>31.52</v>
      </c>
      <c r="N884" s="7">
        <f>+I884+15-1</f>
        <v>42556</v>
      </c>
      <c r="O884" s="1">
        <v>1670847</v>
      </c>
      <c r="P884" s="36">
        <f t="shared" si="107"/>
        <v>1667408.4989710306</v>
      </c>
      <c r="Q884" s="130">
        <v>42571</v>
      </c>
      <c r="R884" s="66">
        <v>42573</v>
      </c>
      <c r="S884" s="187">
        <f t="shared" si="105"/>
        <v>17</v>
      </c>
    </row>
    <row r="885" spans="1:20" s="3" customFormat="1" hidden="1" x14ac:dyDescent="0.25">
      <c r="A885" s="30">
        <f>+closed!A884+1</f>
        <v>27</v>
      </c>
      <c r="B885" s="24">
        <v>42545</v>
      </c>
      <c r="C885" s="1">
        <v>114</v>
      </c>
      <c r="D885" s="1">
        <v>3000030921</v>
      </c>
      <c r="E885" s="1" t="s">
        <v>15</v>
      </c>
      <c r="F885" s="1">
        <v>3077</v>
      </c>
      <c r="G885" s="25">
        <v>42539</v>
      </c>
      <c r="H885" s="25"/>
      <c r="I885" s="25">
        <v>42542</v>
      </c>
      <c r="J885" s="1" t="s">
        <v>8</v>
      </c>
      <c r="K885" s="77">
        <v>27.015000000000001</v>
      </c>
      <c r="L885" s="1">
        <v>26.94</v>
      </c>
      <c r="M885" s="1">
        <f t="shared" si="106"/>
        <v>26.94</v>
      </c>
      <c r="N885" s="7">
        <f>+I885+15-1</f>
        <v>42556</v>
      </c>
      <c r="O885" s="1">
        <v>1431795</v>
      </c>
      <c r="P885" s="36">
        <f t="shared" si="107"/>
        <v>1427820</v>
      </c>
      <c r="Q885" s="130">
        <v>42571</v>
      </c>
      <c r="R885" s="66">
        <v>42573</v>
      </c>
      <c r="S885" s="187">
        <f t="shared" si="105"/>
        <v>17</v>
      </c>
    </row>
    <row r="886" spans="1:20" s="3" customFormat="1" hidden="1" x14ac:dyDescent="0.25">
      <c r="A886" s="30">
        <f>+closed!A950+1</f>
        <v>33</v>
      </c>
      <c r="B886" s="24">
        <v>42548</v>
      </c>
      <c r="C886" s="1">
        <v>114</v>
      </c>
      <c r="D886" s="1">
        <v>3000030921</v>
      </c>
      <c r="E886" s="1" t="s">
        <v>15</v>
      </c>
      <c r="F886" s="1">
        <v>3078</v>
      </c>
      <c r="G886" s="25">
        <v>42541</v>
      </c>
      <c r="H886" s="25"/>
      <c r="I886" s="25">
        <v>42543</v>
      </c>
      <c r="J886" s="1" t="s">
        <v>8</v>
      </c>
      <c r="K886" s="77">
        <v>29.27</v>
      </c>
      <c r="L886" s="1">
        <v>29.05</v>
      </c>
      <c r="M886" s="1">
        <f t="shared" si="106"/>
        <v>29.05</v>
      </c>
      <c r="N886" s="7">
        <f>+I886+15-1</f>
        <v>42557</v>
      </c>
      <c r="O886" s="1">
        <v>1551310</v>
      </c>
      <c r="P886" s="36">
        <f t="shared" si="107"/>
        <v>1539650</v>
      </c>
      <c r="Q886" s="130">
        <v>42571</v>
      </c>
      <c r="R886" s="66">
        <v>42573</v>
      </c>
      <c r="S886" s="187">
        <f t="shared" si="105"/>
        <v>16</v>
      </c>
    </row>
    <row r="887" spans="1:20" s="3" customFormat="1" hidden="1" x14ac:dyDescent="0.25">
      <c r="A887" s="30">
        <f>+closed!A857+1</f>
        <v>51</v>
      </c>
      <c r="B887" s="24">
        <v>42551</v>
      </c>
      <c r="C887" s="1">
        <v>103</v>
      </c>
      <c r="D887" s="1">
        <v>3000031698</v>
      </c>
      <c r="E887" s="1" t="s">
        <v>184</v>
      </c>
      <c r="F887" s="1">
        <v>68</v>
      </c>
      <c r="G887" s="25">
        <v>42541</v>
      </c>
      <c r="H887" s="25"/>
      <c r="I887" s="25">
        <v>42546</v>
      </c>
      <c r="J887" s="1" t="s">
        <v>61</v>
      </c>
      <c r="K887" s="77">
        <v>19.739999999999998</v>
      </c>
      <c r="L887" s="1">
        <v>19.760000000000002</v>
      </c>
      <c r="M887" s="1">
        <f t="shared" si="106"/>
        <v>19.739999999999998</v>
      </c>
      <c r="N887" s="7">
        <f>+I887+20-1</f>
        <v>42565</v>
      </c>
      <c r="O887" s="1">
        <v>1608971</v>
      </c>
      <c r="P887" s="36">
        <f t="shared" si="107"/>
        <v>1608971</v>
      </c>
      <c r="Q887" s="130">
        <v>42571</v>
      </c>
      <c r="R887" s="66">
        <v>42573</v>
      </c>
      <c r="S887" s="187">
        <f t="shared" si="105"/>
        <v>8</v>
      </c>
    </row>
    <row r="888" spans="1:20" s="3" customFormat="1" hidden="1" x14ac:dyDescent="0.25">
      <c r="A888" s="30">
        <f>+closed!A887+1</f>
        <v>52</v>
      </c>
      <c r="B888" s="24">
        <v>42551</v>
      </c>
      <c r="C888" s="1">
        <v>103</v>
      </c>
      <c r="D888" s="1">
        <v>3000037692</v>
      </c>
      <c r="E888" s="1" t="s">
        <v>184</v>
      </c>
      <c r="F888" s="1">
        <v>69</v>
      </c>
      <c r="G888" s="25">
        <v>42542</v>
      </c>
      <c r="H888" s="25"/>
      <c r="I888" s="25">
        <v>42545</v>
      </c>
      <c r="J888" s="1" t="s">
        <v>61</v>
      </c>
      <c r="K888" s="77">
        <v>20.55</v>
      </c>
      <c r="L888" s="1">
        <v>20.47</v>
      </c>
      <c r="M888" s="1">
        <f t="shared" si="106"/>
        <v>20.47</v>
      </c>
      <c r="N888" s="7">
        <f>+I888+20-1</f>
        <v>42564</v>
      </c>
      <c r="O888" s="1">
        <v>1613367</v>
      </c>
      <c r="P888" s="36">
        <f t="shared" si="107"/>
        <v>1607086.2525547442</v>
      </c>
      <c r="Q888" s="130">
        <v>42571</v>
      </c>
      <c r="R888" s="66">
        <v>42573</v>
      </c>
      <c r="S888" s="187">
        <f t="shared" si="105"/>
        <v>9</v>
      </c>
    </row>
    <row r="889" spans="1:20" s="3" customFormat="1" hidden="1" x14ac:dyDescent="0.25">
      <c r="A889" s="30">
        <f>+closed!A888+1</f>
        <v>53</v>
      </c>
      <c r="B889" s="24">
        <v>42551</v>
      </c>
      <c r="C889" s="1">
        <v>103</v>
      </c>
      <c r="D889" s="1">
        <v>3000031695</v>
      </c>
      <c r="E889" s="1" t="s">
        <v>184</v>
      </c>
      <c r="F889" s="1">
        <v>72</v>
      </c>
      <c r="G889" s="25">
        <v>42543</v>
      </c>
      <c r="H889" s="25"/>
      <c r="I889" s="25">
        <v>42547</v>
      </c>
      <c r="J889" s="1" t="s">
        <v>61</v>
      </c>
      <c r="K889" s="77">
        <v>15.21</v>
      </c>
      <c r="L889" s="1">
        <v>15.21</v>
      </c>
      <c r="M889" s="1">
        <f t="shared" si="106"/>
        <v>15.21</v>
      </c>
      <c r="N889" s="7">
        <f>+I889+20-1</f>
        <v>42566</v>
      </c>
      <c r="O889" s="1">
        <v>1216933</v>
      </c>
      <c r="P889" s="36">
        <f t="shared" si="107"/>
        <v>1216933</v>
      </c>
      <c r="Q889" s="130">
        <v>42571</v>
      </c>
      <c r="R889" s="66">
        <v>42573</v>
      </c>
      <c r="S889" s="187">
        <f t="shared" si="105"/>
        <v>7</v>
      </c>
    </row>
    <row r="890" spans="1:20" s="3" customFormat="1" hidden="1" x14ac:dyDescent="0.25">
      <c r="A890" s="30">
        <f>+closed!A889+1</f>
        <v>54</v>
      </c>
      <c r="B890" s="24">
        <v>42551</v>
      </c>
      <c r="C890" s="1">
        <v>103</v>
      </c>
      <c r="D890" s="1">
        <v>3000031692</v>
      </c>
      <c r="E890" s="1" t="s">
        <v>184</v>
      </c>
      <c r="F890" s="1">
        <v>73</v>
      </c>
      <c r="G890" s="25">
        <v>42544</v>
      </c>
      <c r="H890" s="25"/>
      <c r="I890" s="25">
        <v>42548</v>
      </c>
      <c r="J890" s="1" t="s">
        <v>61</v>
      </c>
      <c r="K890" s="77">
        <v>19.86</v>
      </c>
      <c r="L890" s="1">
        <v>19.82</v>
      </c>
      <c r="M890" s="1">
        <f t="shared" si="106"/>
        <v>19.82</v>
      </c>
      <c r="N890" s="7">
        <f>+I890+20-1</f>
        <v>42567</v>
      </c>
      <c r="O890" s="1">
        <v>1558993</v>
      </c>
      <c r="P890" s="36">
        <f t="shared" si="107"/>
        <v>1555853.0342396777</v>
      </c>
      <c r="Q890" s="130">
        <v>42571</v>
      </c>
      <c r="R890" s="66">
        <v>42573</v>
      </c>
      <c r="S890" s="187">
        <f t="shared" si="105"/>
        <v>6</v>
      </c>
    </row>
    <row r="891" spans="1:20" s="3" customFormat="1" hidden="1" x14ac:dyDescent="0.25">
      <c r="A891" s="30">
        <f>+closed!A863+1</f>
        <v>57</v>
      </c>
      <c r="B891" s="24">
        <v>42551</v>
      </c>
      <c r="C891" s="1">
        <v>103</v>
      </c>
      <c r="D891" s="1">
        <v>3000031602</v>
      </c>
      <c r="E891" s="1" t="s">
        <v>172</v>
      </c>
      <c r="F891" s="1">
        <v>35</v>
      </c>
      <c r="G891" s="25">
        <v>42542</v>
      </c>
      <c r="H891" s="25"/>
      <c r="I891" s="25">
        <v>42546</v>
      </c>
      <c r="J891" s="1" t="s">
        <v>61</v>
      </c>
      <c r="K891" s="77">
        <v>20.440000000000001</v>
      </c>
      <c r="L891" s="1">
        <v>20.34</v>
      </c>
      <c r="M891" s="1">
        <f t="shared" si="106"/>
        <v>20.34</v>
      </c>
      <c r="N891" s="7">
        <f>+I891+20-1</f>
        <v>42565</v>
      </c>
      <c r="O891" s="1">
        <v>1635190</v>
      </c>
      <c r="P891" s="36">
        <f t="shared" si="107"/>
        <v>1627190.0489236789</v>
      </c>
      <c r="Q891" s="130">
        <v>42571</v>
      </c>
      <c r="R891" s="66">
        <v>42573</v>
      </c>
      <c r="S891" s="187">
        <f t="shared" si="105"/>
        <v>8</v>
      </c>
      <c r="T891" s="15" t="s">
        <v>263</v>
      </c>
    </row>
    <row r="892" spans="1:20" s="65" customFormat="1" hidden="1" x14ac:dyDescent="0.25">
      <c r="A892" s="122">
        <v>1</v>
      </c>
      <c r="B892" s="51">
        <v>42523</v>
      </c>
      <c r="C892" s="21">
        <v>103</v>
      </c>
      <c r="D892" s="21">
        <v>3000030560</v>
      </c>
      <c r="E892" s="21" t="s">
        <v>23</v>
      </c>
      <c r="F892" s="21">
        <v>2602048607</v>
      </c>
      <c r="G892" s="52">
        <v>42517</v>
      </c>
      <c r="H892" s="123"/>
      <c r="I892" s="123">
        <v>42519</v>
      </c>
      <c r="J892" s="21" t="s">
        <v>43</v>
      </c>
      <c r="K892" s="124">
        <v>26.19</v>
      </c>
      <c r="L892" s="21">
        <v>26.16</v>
      </c>
      <c r="M892" s="21">
        <f t="shared" si="106"/>
        <v>26.16</v>
      </c>
      <c r="N892" s="22"/>
      <c r="O892" s="21">
        <v>1259823</v>
      </c>
      <c r="P892" s="36">
        <f t="shared" si="107"/>
        <v>1258379.9037800687</v>
      </c>
      <c r="Q892" s="183">
        <v>42573</v>
      </c>
      <c r="R892" s="66">
        <v>42579</v>
      </c>
    </row>
    <row r="893" spans="1:20" s="3" customFormat="1" hidden="1" x14ac:dyDescent="0.25">
      <c r="A893" s="122">
        <v>2</v>
      </c>
      <c r="B893" s="51">
        <v>42541</v>
      </c>
      <c r="C893" s="21">
        <v>103</v>
      </c>
      <c r="D893" s="21">
        <v>3000030560</v>
      </c>
      <c r="E893" s="21" t="s">
        <v>23</v>
      </c>
      <c r="F893" s="21">
        <v>2602048634</v>
      </c>
      <c r="G893" s="52">
        <v>42518</v>
      </c>
      <c r="H893" s="123"/>
      <c r="I893" s="123">
        <v>42518</v>
      </c>
      <c r="J893" s="21" t="s">
        <v>43</v>
      </c>
      <c r="K893" s="124">
        <v>21.524999999999999</v>
      </c>
      <c r="L893" s="21">
        <v>21.52</v>
      </c>
      <c r="M893" s="21">
        <f t="shared" si="106"/>
        <v>21.52</v>
      </c>
      <c r="N893" s="22"/>
      <c r="O893" s="21">
        <v>1035421</v>
      </c>
      <c r="P893" s="36">
        <f t="shared" si="107"/>
        <v>1035180.4840882695</v>
      </c>
      <c r="Q893" s="183">
        <v>42573</v>
      </c>
      <c r="R893" s="66">
        <v>42579</v>
      </c>
    </row>
    <row r="894" spans="1:20" s="3" customFormat="1" hidden="1" x14ac:dyDescent="0.25">
      <c r="A894" s="122">
        <v>3</v>
      </c>
      <c r="B894" s="51">
        <v>42541</v>
      </c>
      <c r="C894" s="21">
        <v>103</v>
      </c>
      <c r="D894" s="21">
        <v>3000030560</v>
      </c>
      <c r="E894" s="21" t="s">
        <v>23</v>
      </c>
      <c r="F894" s="21">
        <v>2602048655</v>
      </c>
      <c r="G894" s="52">
        <v>42519</v>
      </c>
      <c r="H894" s="123"/>
      <c r="I894" s="123">
        <v>42519</v>
      </c>
      <c r="J894" s="21" t="s">
        <v>43</v>
      </c>
      <c r="K894" s="124">
        <v>26.46</v>
      </c>
      <c r="L894" s="21">
        <v>26.46</v>
      </c>
      <c r="M894" s="21">
        <f t="shared" si="106"/>
        <v>26.46</v>
      </c>
      <c r="N894" s="22"/>
      <c r="O894" s="21">
        <v>1272810</v>
      </c>
      <c r="P894" s="36">
        <f t="shared" si="107"/>
        <v>1272810</v>
      </c>
      <c r="Q894" s="183">
        <v>42573</v>
      </c>
      <c r="R894" s="66">
        <v>42579</v>
      </c>
    </row>
    <row r="895" spans="1:20" s="3" customFormat="1" hidden="1" x14ac:dyDescent="0.25">
      <c r="A895" s="122">
        <v>4</v>
      </c>
      <c r="B895" s="51">
        <v>42541</v>
      </c>
      <c r="C895" s="21">
        <v>103</v>
      </c>
      <c r="D895" s="21">
        <v>3000030560</v>
      </c>
      <c r="E895" s="21" t="s">
        <v>23</v>
      </c>
      <c r="F895" s="21">
        <v>2602048656</v>
      </c>
      <c r="G895" s="52">
        <v>42519</v>
      </c>
      <c r="H895" s="123"/>
      <c r="I895" s="123">
        <v>42519</v>
      </c>
      <c r="J895" s="21" t="s">
        <v>43</v>
      </c>
      <c r="K895" s="124">
        <v>24.524999999999999</v>
      </c>
      <c r="L895" s="21">
        <v>24.54</v>
      </c>
      <c r="M895" s="21">
        <f t="shared" si="106"/>
        <v>24.524999999999999</v>
      </c>
      <c r="N895" s="22"/>
      <c r="O895" s="21">
        <v>1179731</v>
      </c>
      <c r="P895" s="36">
        <f t="shared" si="107"/>
        <v>1179731</v>
      </c>
      <c r="Q895" s="183">
        <v>42573</v>
      </c>
      <c r="R895" s="66">
        <v>42579</v>
      </c>
    </row>
    <row r="896" spans="1:20" s="3" customFormat="1" hidden="1" x14ac:dyDescent="0.25">
      <c r="A896" s="122">
        <v>5</v>
      </c>
      <c r="B896" s="51">
        <v>42541</v>
      </c>
      <c r="C896" s="21">
        <v>103</v>
      </c>
      <c r="D896" s="21">
        <v>3000030560</v>
      </c>
      <c r="E896" s="21" t="s">
        <v>23</v>
      </c>
      <c r="F896" s="21">
        <v>2602048657</v>
      </c>
      <c r="G896" s="52">
        <v>42519</v>
      </c>
      <c r="H896" s="123"/>
      <c r="I896" s="123">
        <v>42519</v>
      </c>
      <c r="J896" s="21" t="s">
        <v>43</v>
      </c>
      <c r="K896" s="124">
        <v>26</v>
      </c>
      <c r="L896" s="21">
        <v>25.97</v>
      </c>
      <c r="M896" s="21">
        <f t="shared" si="106"/>
        <v>25.97</v>
      </c>
      <c r="N896" s="22"/>
      <c r="O896" s="21">
        <v>1250683</v>
      </c>
      <c r="P896" s="36">
        <f t="shared" si="107"/>
        <v>1249239.904230769</v>
      </c>
      <c r="Q896" s="183">
        <v>42573</v>
      </c>
      <c r="R896" s="66">
        <v>42579</v>
      </c>
    </row>
    <row r="897" spans="1:18" s="3" customFormat="1" hidden="1" x14ac:dyDescent="0.25">
      <c r="A897" s="122">
        <v>6</v>
      </c>
      <c r="B897" s="51">
        <v>42541</v>
      </c>
      <c r="C897" s="21">
        <v>103</v>
      </c>
      <c r="D897" s="21">
        <v>3000030560</v>
      </c>
      <c r="E897" s="21" t="s">
        <v>23</v>
      </c>
      <c r="F897" s="21">
        <v>2602048661</v>
      </c>
      <c r="G897" s="52">
        <v>42520</v>
      </c>
      <c r="H897" s="123"/>
      <c r="I897" s="123">
        <v>42520</v>
      </c>
      <c r="J897" s="21" t="s">
        <v>43</v>
      </c>
      <c r="K897" s="124">
        <v>24.535</v>
      </c>
      <c r="L897" s="21">
        <v>24.53</v>
      </c>
      <c r="M897" s="21">
        <f t="shared" si="106"/>
        <v>24.53</v>
      </c>
      <c r="N897" s="22"/>
      <c r="O897" s="21">
        <v>1180211</v>
      </c>
      <c r="P897" s="36">
        <f t="shared" si="107"/>
        <v>1179970.484206236</v>
      </c>
      <c r="Q897" s="183">
        <v>42573</v>
      </c>
      <c r="R897" s="66">
        <v>42579</v>
      </c>
    </row>
    <row r="898" spans="1:18" s="3" customFormat="1" hidden="1" x14ac:dyDescent="0.25">
      <c r="A898" s="122">
        <v>7</v>
      </c>
      <c r="B898" s="51">
        <v>42541</v>
      </c>
      <c r="C898" s="21">
        <v>103</v>
      </c>
      <c r="D898" s="21">
        <v>3000030560</v>
      </c>
      <c r="E898" s="21" t="s">
        <v>23</v>
      </c>
      <c r="F898" s="21">
        <v>2602048726</v>
      </c>
      <c r="G898" s="52">
        <v>42521</v>
      </c>
      <c r="H898" s="123"/>
      <c r="I898" s="123">
        <v>42521</v>
      </c>
      <c r="J898" s="21" t="s">
        <v>43</v>
      </c>
      <c r="K898" s="124">
        <v>27.39</v>
      </c>
      <c r="L898" s="21">
        <v>27.36</v>
      </c>
      <c r="M898" s="21">
        <f t="shared" si="106"/>
        <v>27.36</v>
      </c>
      <c r="N898" s="22"/>
      <c r="O898" s="21">
        <v>1317547</v>
      </c>
      <c r="P898" s="36">
        <f t="shared" si="107"/>
        <v>1316103.9036144579</v>
      </c>
      <c r="Q898" s="183">
        <v>42573</v>
      </c>
      <c r="R898" s="66">
        <v>42579</v>
      </c>
    </row>
    <row r="899" spans="1:18" s="3" customFormat="1" hidden="1" x14ac:dyDescent="0.25">
      <c r="A899" s="122">
        <v>8</v>
      </c>
      <c r="B899" s="51">
        <v>42541</v>
      </c>
      <c r="C899" s="21">
        <v>103</v>
      </c>
      <c r="D899" s="21">
        <v>3000030560</v>
      </c>
      <c r="E899" s="21" t="s">
        <v>23</v>
      </c>
      <c r="F899" s="21">
        <v>2602048753</v>
      </c>
      <c r="G899" s="52">
        <v>42523</v>
      </c>
      <c r="H899" s="123"/>
      <c r="I899" s="123">
        <v>42523</v>
      </c>
      <c r="J899" s="21" t="s">
        <v>43</v>
      </c>
      <c r="K899" s="124">
        <v>26.59</v>
      </c>
      <c r="L899" s="21">
        <v>26.59</v>
      </c>
      <c r="M899" s="21">
        <f t="shared" si="106"/>
        <v>26.59</v>
      </c>
      <c r="N899" s="22"/>
      <c r="O899" s="21">
        <v>1279065</v>
      </c>
      <c r="P899" s="36">
        <f t="shared" si="107"/>
        <v>1279065</v>
      </c>
      <c r="Q899" s="183">
        <v>42573</v>
      </c>
      <c r="R899" s="66">
        <v>42579</v>
      </c>
    </row>
    <row r="900" spans="1:18" s="3" customFormat="1" hidden="1" x14ac:dyDescent="0.25">
      <c r="A900" s="122">
        <v>9</v>
      </c>
      <c r="B900" s="51">
        <v>42541</v>
      </c>
      <c r="C900" s="21">
        <v>103</v>
      </c>
      <c r="D900" s="21">
        <v>3000030560</v>
      </c>
      <c r="E900" s="21" t="s">
        <v>23</v>
      </c>
      <c r="F900" s="21">
        <v>2602048754</v>
      </c>
      <c r="G900" s="52">
        <v>42523</v>
      </c>
      <c r="H900" s="123"/>
      <c r="I900" s="123">
        <v>42523</v>
      </c>
      <c r="J900" s="21" t="s">
        <v>43</v>
      </c>
      <c r="K900" s="124">
        <v>16.245000000000001</v>
      </c>
      <c r="L900" s="21">
        <v>16.25</v>
      </c>
      <c r="M900" s="21">
        <f t="shared" si="106"/>
        <v>16.245000000000001</v>
      </c>
      <c r="N900" s="22"/>
      <c r="O900" s="21">
        <v>781436</v>
      </c>
      <c r="P900" s="36">
        <f t="shared" si="107"/>
        <v>781436</v>
      </c>
      <c r="Q900" s="183">
        <v>42573</v>
      </c>
      <c r="R900" s="66">
        <v>42579</v>
      </c>
    </row>
    <row r="901" spans="1:18" s="3" customFormat="1" hidden="1" x14ac:dyDescent="0.25">
      <c r="A901" s="122">
        <v>10</v>
      </c>
      <c r="B901" s="51">
        <v>42541</v>
      </c>
      <c r="C901" s="21">
        <v>103</v>
      </c>
      <c r="D901" s="21">
        <v>3000030560</v>
      </c>
      <c r="E901" s="21" t="s">
        <v>23</v>
      </c>
      <c r="F901" s="21">
        <v>2602048804</v>
      </c>
      <c r="G901" s="52">
        <v>42524</v>
      </c>
      <c r="H901" s="123"/>
      <c r="I901" s="123">
        <v>42524</v>
      </c>
      <c r="J901" s="21" t="s">
        <v>43</v>
      </c>
      <c r="K901" s="124">
        <v>20.65</v>
      </c>
      <c r="L901" s="21">
        <v>20.66</v>
      </c>
      <c r="M901" s="21">
        <f t="shared" si="106"/>
        <v>20.65</v>
      </c>
      <c r="N901" s="22"/>
      <c r="O901" s="21">
        <v>993331</v>
      </c>
      <c r="P901" s="36">
        <f t="shared" si="107"/>
        <v>993330.99999999988</v>
      </c>
      <c r="Q901" s="183">
        <v>42573</v>
      </c>
      <c r="R901" s="66">
        <v>42579</v>
      </c>
    </row>
    <row r="902" spans="1:18" s="3" customFormat="1" hidden="1" x14ac:dyDescent="0.25">
      <c r="A902" s="122">
        <v>11</v>
      </c>
      <c r="B902" s="51">
        <v>42541</v>
      </c>
      <c r="C902" s="21">
        <v>103</v>
      </c>
      <c r="D902" s="21">
        <v>3000030560</v>
      </c>
      <c r="E902" s="21" t="s">
        <v>23</v>
      </c>
      <c r="F902" s="21">
        <v>2602048805</v>
      </c>
      <c r="G902" s="52">
        <v>42524</v>
      </c>
      <c r="H902" s="123"/>
      <c r="I902" s="123">
        <v>42524</v>
      </c>
      <c r="J902" s="21" t="s">
        <v>43</v>
      </c>
      <c r="K902" s="124">
        <v>24.93</v>
      </c>
      <c r="L902" s="21">
        <v>24.92</v>
      </c>
      <c r="M902" s="21">
        <f t="shared" si="106"/>
        <v>24.92</v>
      </c>
      <c r="N902" s="22"/>
      <c r="O902" s="21">
        <v>1199213</v>
      </c>
      <c r="P902" s="36">
        <f t="shared" si="107"/>
        <v>1198731.9679101487</v>
      </c>
      <c r="Q902" s="183">
        <v>42573</v>
      </c>
      <c r="R902" s="66">
        <v>42579</v>
      </c>
    </row>
    <row r="903" spans="1:18" s="3" customFormat="1" hidden="1" x14ac:dyDescent="0.25">
      <c r="A903" s="122">
        <v>12</v>
      </c>
      <c r="B903" s="51">
        <v>42541</v>
      </c>
      <c r="C903" s="21">
        <v>103</v>
      </c>
      <c r="D903" s="21">
        <v>3000030560</v>
      </c>
      <c r="E903" s="21" t="s">
        <v>23</v>
      </c>
      <c r="F903" s="21">
        <v>2602048807</v>
      </c>
      <c r="G903" s="52">
        <v>42524</v>
      </c>
      <c r="H903" s="123"/>
      <c r="I903" s="123">
        <v>42524</v>
      </c>
      <c r="J903" s="21" t="s">
        <v>43</v>
      </c>
      <c r="K903" s="124">
        <v>19.934999999999999</v>
      </c>
      <c r="L903" s="21">
        <v>19.899999999999999</v>
      </c>
      <c r="M903" s="21">
        <f t="shared" si="106"/>
        <v>19.899999999999999</v>
      </c>
      <c r="N903" s="22"/>
      <c r="O903" s="21">
        <v>958937</v>
      </c>
      <c r="P903" s="36">
        <f t="shared" si="107"/>
        <v>957253.38851266622</v>
      </c>
      <c r="Q903" s="183">
        <v>42573</v>
      </c>
      <c r="R903" s="66">
        <v>42579</v>
      </c>
    </row>
    <row r="904" spans="1:18" s="3" customFormat="1" hidden="1" x14ac:dyDescent="0.25">
      <c r="A904" s="122">
        <v>13</v>
      </c>
      <c r="B904" s="51">
        <v>42541</v>
      </c>
      <c r="C904" s="21">
        <v>103</v>
      </c>
      <c r="D904" s="21">
        <v>3000030560</v>
      </c>
      <c r="E904" s="21" t="s">
        <v>23</v>
      </c>
      <c r="F904" s="21">
        <v>2602048820</v>
      </c>
      <c r="G904" s="52">
        <v>42525</v>
      </c>
      <c r="H904" s="123"/>
      <c r="I904" s="123">
        <v>42525</v>
      </c>
      <c r="J904" s="21" t="s">
        <v>43</v>
      </c>
      <c r="K904" s="124">
        <v>26.07</v>
      </c>
      <c r="L904" s="21">
        <v>26.06</v>
      </c>
      <c r="M904" s="21">
        <f t="shared" si="106"/>
        <v>26.06</v>
      </c>
      <c r="N904" s="22"/>
      <c r="O904" s="21">
        <v>1254050</v>
      </c>
      <c r="P904" s="36">
        <f t="shared" si="107"/>
        <v>1253568.9681626388</v>
      </c>
      <c r="Q904" s="183">
        <v>42573</v>
      </c>
      <c r="R904" s="66">
        <v>42579</v>
      </c>
    </row>
    <row r="905" spans="1:18" s="3" customFormat="1" hidden="1" x14ac:dyDescent="0.25">
      <c r="A905" s="122">
        <v>14</v>
      </c>
      <c r="B905" s="51">
        <v>42541</v>
      </c>
      <c r="C905" s="21">
        <v>103</v>
      </c>
      <c r="D905" s="21">
        <v>3000030560</v>
      </c>
      <c r="E905" s="21" t="s">
        <v>23</v>
      </c>
      <c r="F905" s="21">
        <v>2602048843</v>
      </c>
      <c r="G905" s="52">
        <v>42525</v>
      </c>
      <c r="H905" s="123"/>
      <c r="I905" s="123">
        <v>42525</v>
      </c>
      <c r="J905" s="21" t="s">
        <v>43</v>
      </c>
      <c r="K905" s="124">
        <v>25.84</v>
      </c>
      <c r="L905" s="21">
        <v>25.83</v>
      </c>
      <c r="M905" s="21">
        <f t="shared" si="106"/>
        <v>25.83</v>
      </c>
      <c r="N905" s="22"/>
      <c r="O905" s="21">
        <v>1242987</v>
      </c>
      <c r="P905" s="36">
        <f t="shared" si="107"/>
        <v>1242505.9678792567</v>
      </c>
      <c r="Q905" s="183">
        <v>42573</v>
      </c>
      <c r="R905" s="66">
        <v>42579</v>
      </c>
    </row>
    <row r="906" spans="1:18" s="3" customFormat="1" hidden="1" x14ac:dyDescent="0.25">
      <c r="A906" s="122">
        <v>15</v>
      </c>
      <c r="B906" s="51">
        <v>42541</v>
      </c>
      <c r="C906" s="21">
        <v>103</v>
      </c>
      <c r="D906" s="21">
        <v>3000030560</v>
      </c>
      <c r="E906" s="21" t="s">
        <v>23</v>
      </c>
      <c r="F906" s="21">
        <v>2602048847</v>
      </c>
      <c r="G906" s="52">
        <v>42526</v>
      </c>
      <c r="H906" s="123"/>
      <c r="I906" s="123">
        <v>42526</v>
      </c>
      <c r="J906" s="21" t="s">
        <v>43</v>
      </c>
      <c r="K906" s="124">
        <v>11.95</v>
      </c>
      <c r="L906" s="21">
        <v>11.95</v>
      </c>
      <c r="M906" s="21">
        <f t="shared" si="106"/>
        <v>11.95</v>
      </c>
      <c r="N906" s="22"/>
      <c r="O906" s="21">
        <v>574833</v>
      </c>
      <c r="P906" s="36">
        <f t="shared" si="107"/>
        <v>574833</v>
      </c>
      <c r="Q906" s="183">
        <v>42573</v>
      </c>
      <c r="R906" s="66">
        <v>42579</v>
      </c>
    </row>
    <row r="907" spans="1:18" s="3" customFormat="1" hidden="1" x14ac:dyDescent="0.25">
      <c r="A907" s="122">
        <v>16</v>
      </c>
      <c r="B907" s="51">
        <v>42541</v>
      </c>
      <c r="C907" s="21">
        <v>103</v>
      </c>
      <c r="D907" s="21">
        <v>3000031250</v>
      </c>
      <c r="E907" s="21" t="s">
        <v>23</v>
      </c>
      <c r="F907" s="21">
        <v>2602048848</v>
      </c>
      <c r="G907" s="52">
        <v>42526</v>
      </c>
      <c r="H907" s="123"/>
      <c r="I907" s="123">
        <v>42526</v>
      </c>
      <c r="J907" s="21" t="s">
        <v>43</v>
      </c>
      <c r="K907" s="124">
        <v>3.73</v>
      </c>
      <c r="L907" s="21">
        <v>3.74</v>
      </c>
      <c r="M907" s="21">
        <f t="shared" ref="M907:M938" si="109">IF(L907&gt;K907,K907,L907)</f>
        <v>3.73</v>
      </c>
      <c r="N907" s="22"/>
      <c r="O907" s="21">
        <v>179425</v>
      </c>
      <c r="P907" s="36">
        <f t="shared" ref="P907:P938" si="110">(+O907/K907*M907)</f>
        <v>179425</v>
      </c>
      <c r="Q907" s="183">
        <v>42573</v>
      </c>
      <c r="R907" s="66">
        <v>42579</v>
      </c>
    </row>
    <row r="908" spans="1:18" s="3" customFormat="1" hidden="1" x14ac:dyDescent="0.25">
      <c r="A908" s="122">
        <v>17</v>
      </c>
      <c r="B908" s="51">
        <v>42541</v>
      </c>
      <c r="C908" s="21">
        <v>103</v>
      </c>
      <c r="D908" s="21">
        <v>3000031250</v>
      </c>
      <c r="E908" s="21" t="s">
        <v>23</v>
      </c>
      <c r="F908" s="21">
        <v>2602048850</v>
      </c>
      <c r="G908" s="52">
        <v>42527</v>
      </c>
      <c r="H908" s="123"/>
      <c r="I908" s="123">
        <v>42527</v>
      </c>
      <c r="J908" s="21" t="s">
        <v>43</v>
      </c>
      <c r="K908" s="124">
        <v>19.97</v>
      </c>
      <c r="L908" s="21">
        <v>19.97</v>
      </c>
      <c r="M908" s="21">
        <f t="shared" si="109"/>
        <v>19.97</v>
      </c>
      <c r="N908" s="22"/>
      <c r="O908" s="21">
        <v>960621</v>
      </c>
      <c r="P908" s="36">
        <f t="shared" si="110"/>
        <v>960620.99999999988</v>
      </c>
      <c r="Q908" s="183">
        <v>42573</v>
      </c>
      <c r="R908" s="66">
        <v>42579</v>
      </c>
    </row>
    <row r="909" spans="1:18" s="3" customFormat="1" hidden="1" x14ac:dyDescent="0.25">
      <c r="A909" s="122">
        <v>18</v>
      </c>
      <c r="B909" s="51">
        <v>42541</v>
      </c>
      <c r="C909" s="21">
        <v>103</v>
      </c>
      <c r="D909" s="21">
        <v>3000031250</v>
      </c>
      <c r="E909" s="21" t="s">
        <v>23</v>
      </c>
      <c r="F909" s="21">
        <v>2602048867</v>
      </c>
      <c r="G909" s="52">
        <v>42528</v>
      </c>
      <c r="H909" s="123"/>
      <c r="I909" s="123">
        <v>42528</v>
      </c>
      <c r="J909" s="21" t="s">
        <v>43</v>
      </c>
      <c r="K909" s="124">
        <v>20.16</v>
      </c>
      <c r="L909" s="21">
        <v>20.170000000000002</v>
      </c>
      <c r="M909" s="21">
        <f t="shared" si="109"/>
        <v>20.16</v>
      </c>
      <c r="N909" s="22"/>
      <c r="O909" s="21">
        <v>969760</v>
      </c>
      <c r="P909" s="36">
        <f t="shared" si="110"/>
        <v>969760</v>
      </c>
      <c r="Q909" s="183">
        <v>42573</v>
      </c>
      <c r="R909" s="66">
        <v>42579</v>
      </c>
    </row>
    <row r="910" spans="1:18" s="3" customFormat="1" hidden="1" x14ac:dyDescent="0.25">
      <c r="A910" s="122">
        <v>19</v>
      </c>
      <c r="B910" s="51">
        <v>42541</v>
      </c>
      <c r="C910" s="21">
        <v>103</v>
      </c>
      <c r="D910" s="21">
        <v>3000031250</v>
      </c>
      <c r="E910" s="21" t="s">
        <v>23</v>
      </c>
      <c r="F910" s="21">
        <v>2602048868</v>
      </c>
      <c r="G910" s="52">
        <v>42528</v>
      </c>
      <c r="H910" s="123"/>
      <c r="I910" s="123">
        <v>42528</v>
      </c>
      <c r="J910" s="21" t="s">
        <v>43</v>
      </c>
      <c r="K910" s="124">
        <v>27.19</v>
      </c>
      <c r="L910" s="21">
        <v>27.19</v>
      </c>
      <c r="M910" s="21">
        <f t="shared" si="109"/>
        <v>27.19</v>
      </c>
      <c r="N910" s="22"/>
      <c r="O910" s="21">
        <v>1307927</v>
      </c>
      <c r="P910" s="36">
        <f t="shared" si="110"/>
        <v>1307927</v>
      </c>
      <c r="Q910" s="183">
        <v>42573</v>
      </c>
      <c r="R910" s="66">
        <v>42579</v>
      </c>
    </row>
    <row r="911" spans="1:18" s="3" customFormat="1" hidden="1" x14ac:dyDescent="0.25">
      <c r="A911" s="122">
        <v>20</v>
      </c>
      <c r="B911" s="51">
        <v>42541</v>
      </c>
      <c r="C911" s="21">
        <v>103</v>
      </c>
      <c r="D911" s="21">
        <v>3000031250</v>
      </c>
      <c r="E911" s="21" t="s">
        <v>23</v>
      </c>
      <c r="F911" s="21">
        <v>2602048869</v>
      </c>
      <c r="G911" s="52">
        <v>42528</v>
      </c>
      <c r="H911" s="123"/>
      <c r="I911" s="123">
        <v>42528</v>
      </c>
      <c r="J911" s="21" t="s">
        <v>43</v>
      </c>
      <c r="K911" s="124">
        <v>19.98</v>
      </c>
      <c r="L911" s="21">
        <v>19.97</v>
      </c>
      <c r="M911" s="21">
        <f t="shared" si="109"/>
        <v>19.97</v>
      </c>
      <c r="N911" s="22"/>
      <c r="O911" s="21">
        <v>961102</v>
      </c>
      <c r="P911" s="36">
        <f t="shared" si="110"/>
        <v>960620.96796796785</v>
      </c>
      <c r="Q911" s="183">
        <v>42573</v>
      </c>
      <c r="R911" s="66">
        <v>42579</v>
      </c>
    </row>
    <row r="912" spans="1:18" s="3" customFormat="1" hidden="1" x14ac:dyDescent="0.25">
      <c r="A912" s="122">
        <v>21</v>
      </c>
      <c r="B912" s="51">
        <v>42541</v>
      </c>
      <c r="C912" s="21">
        <v>103</v>
      </c>
      <c r="D912" s="21">
        <v>3000031250</v>
      </c>
      <c r="E912" s="21" t="s">
        <v>23</v>
      </c>
      <c r="F912" s="21">
        <v>2602048884</v>
      </c>
      <c r="G912" s="52">
        <v>42528</v>
      </c>
      <c r="H912" s="123"/>
      <c r="I912" s="123">
        <v>42528</v>
      </c>
      <c r="J912" s="21" t="s">
        <v>43</v>
      </c>
      <c r="K912" s="124">
        <v>25.86</v>
      </c>
      <c r="L912" s="21">
        <v>25.82</v>
      </c>
      <c r="M912" s="21">
        <f t="shared" si="109"/>
        <v>25.82</v>
      </c>
      <c r="N912" s="22"/>
      <c r="O912" s="21">
        <v>1243948</v>
      </c>
      <c r="P912" s="36">
        <f t="shared" si="110"/>
        <v>1242023.8731631865</v>
      </c>
      <c r="Q912" s="183">
        <v>42573</v>
      </c>
      <c r="R912" s="66">
        <v>42579</v>
      </c>
    </row>
    <row r="913" spans="1:22" s="3" customFormat="1" hidden="1" x14ac:dyDescent="0.25">
      <c r="A913" s="122">
        <v>22</v>
      </c>
      <c r="B913" s="51">
        <v>42541</v>
      </c>
      <c r="C913" s="21">
        <v>103</v>
      </c>
      <c r="D913" s="21">
        <v>3000031250</v>
      </c>
      <c r="E913" s="21" t="s">
        <v>23</v>
      </c>
      <c r="F913" s="21">
        <v>2602048916</v>
      </c>
      <c r="G913" s="52">
        <v>42529</v>
      </c>
      <c r="H913" s="123"/>
      <c r="I913" s="123">
        <v>42529</v>
      </c>
      <c r="J913" s="21" t="s">
        <v>43</v>
      </c>
      <c r="K913" s="124">
        <v>26.88</v>
      </c>
      <c r="L913" s="21">
        <v>26.87</v>
      </c>
      <c r="M913" s="21">
        <f t="shared" si="109"/>
        <v>26.87</v>
      </c>
      <c r="N913" s="22"/>
      <c r="O913" s="21">
        <v>1293014</v>
      </c>
      <c r="P913" s="36">
        <f t="shared" si="110"/>
        <v>1292532.9680059524</v>
      </c>
      <c r="Q913" s="183">
        <v>42573</v>
      </c>
      <c r="R913" s="66">
        <v>42579</v>
      </c>
    </row>
    <row r="914" spans="1:22" s="3" customFormat="1" hidden="1" x14ac:dyDescent="0.25">
      <c r="A914" s="122">
        <v>113</v>
      </c>
      <c r="B914" s="51">
        <v>42558</v>
      </c>
      <c r="C914" s="21">
        <v>103</v>
      </c>
      <c r="D914" s="21">
        <v>3000031250</v>
      </c>
      <c r="E914" s="21" t="s">
        <v>23</v>
      </c>
      <c r="F914" s="21">
        <v>2602048918</v>
      </c>
      <c r="G914" s="52">
        <v>42530</v>
      </c>
      <c r="H914" s="52"/>
      <c r="I914" s="52">
        <v>42531</v>
      </c>
      <c r="J914" s="21" t="s">
        <v>43</v>
      </c>
      <c r="K914" s="124">
        <v>20.085000000000001</v>
      </c>
      <c r="L914" s="21">
        <v>20.079999999999998</v>
      </c>
      <c r="M914" s="21">
        <f t="shared" si="109"/>
        <v>20.079999999999998</v>
      </c>
      <c r="N914" s="22"/>
      <c r="O914" s="21">
        <v>966152</v>
      </c>
      <c r="P914" s="36">
        <f t="shared" si="110"/>
        <v>965911.48419218312</v>
      </c>
      <c r="Q914" s="183">
        <v>42573</v>
      </c>
      <c r="R914" s="66">
        <v>42579</v>
      </c>
    </row>
    <row r="915" spans="1:22" s="3" customFormat="1" hidden="1" x14ac:dyDescent="0.25">
      <c r="A915" s="122">
        <v>114</v>
      </c>
      <c r="B915" s="51">
        <v>42558</v>
      </c>
      <c r="C915" s="21">
        <v>103</v>
      </c>
      <c r="D915" s="21">
        <v>3000031250</v>
      </c>
      <c r="E915" s="21" t="s">
        <v>23</v>
      </c>
      <c r="F915" s="21">
        <v>2602048919</v>
      </c>
      <c r="G915" s="52">
        <v>42530</v>
      </c>
      <c r="H915" s="52"/>
      <c r="I915" s="52">
        <v>42531</v>
      </c>
      <c r="J915" s="21" t="s">
        <v>43</v>
      </c>
      <c r="K915" s="124">
        <v>20.114999999999998</v>
      </c>
      <c r="L915" s="21">
        <v>20.12</v>
      </c>
      <c r="M915" s="21">
        <f t="shared" si="109"/>
        <v>20.114999999999998</v>
      </c>
      <c r="N915" s="22"/>
      <c r="O915" s="21">
        <v>967596</v>
      </c>
      <c r="P915" s="36">
        <f t="shared" si="110"/>
        <v>967596</v>
      </c>
      <c r="Q915" s="183">
        <v>42573</v>
      </c>
      <c r="R915" s="66">
        <v>42579</v>
      </c>
    </row>
    <row r="916" spans="1:22" s="3" customFormat="1" hidden="1" x14ac:dyDescent="0.25">
      <c r="A916" s="122">
        <v>115</v>
      </c>
      <c r="B916" s="51">
        <v>42558</v>
      </c>
      <c r="C916" s="21">
        <v>103</v>
      </c>
      <c r="D916" s="21">
        <v>3000031250</v>
      </c>
      <c r="E916" s="21" t="s">
        <v>23</v>
      </c>
      <c r="F916" s="21">
        <v>2602048935</v>
      </c>
      <c r="G916" s="52">
        <v>42531</v>
      </c>
      <c r="H916" s="52"/>
      <c r="I916" s="52">
        <v>42535</v>
      </c>
      <c r="J916" s="21" t="s">
        <v>43</v>
      </c>
      <c r="K916" s="124">
        <v>20.309999999999999</v>
      </c>
      <c r="L916" s="21">
        <v>20.32</v>
      </c>
      <c r="M916" s="21">
        <f t="shared" si="109"/>
        <v>20.309999999999999</v>
      </c>
      <c r="N916" s="22"/>
      <c r="O916" s="21">
        <v>976975</v>
      </c>
      <c r="P916" s="36">
        <f t="shared" si="110"/>
        <v>976975.00000000012</v>
      </c>
      <c r="Q916" s="183">
        <v>42573</v>
      </c>
      <c r="R916" s="66">
        <v>42579</v>
      </c>
    </row>
    <row r="917" spans="1:22" s="3" customFormat="1" hidden="1" x14ac:dyDescent="0.25">
      <c r="A917" s="122">
        <v>116</v>
      </c>
      <c r="B917" s="51">
        <v>42558</v>
      </c>
      <c r="C917" s="21">
        <v>103</v>
      </c>
      <c r="D917" s="21">
        <v>3000031250</v>
      </c>
      <c r="E917" s="21" t="s">
        <v>23</v>
      </c>
      <c r="F917" s="21">
        <v>2602048954</v>
      </c>
      <c r="G917" s="52">
        <v>42531</v>
      </c>
      <c r="H917" s="52"/>
      <c r="I917" s="52">
        <v>42534</v>
      </c>
      <c r="J917" s="21" t="s">
        <v>43</v>
      </c>
      <c r="K917" s="124">
        <v>20.079999999999998</v>
      </c>
      <c r="L917" s="21">
        <v>20.09</v>
      </c>
      <c r="M917" s="21">
        <f t="shared" si="109"/>
        <v>20.079999999999998</v>
      </c>
      <c r="N917" s="22"/>
      <c r="O917" s="21">
        <v>965912</v>
      </c>
      <c r="P917" s="36">
        <f t="shared" si="110"/>
        <v>965912.00000000012</v>
      </c>
      <c r="Q917" s="183">
        <v>42573</v>
      </c>
      <c r="R917" s="66">
        <v>42579</v>
      </c>
    </row>
    <row r="918" spans="1:22" s="3" customFormat="1" hidden="1" x14ac:dyDescent="0.25">
      <c r="A918" s="122">
        <v>117</v>
      </c>
      <c r="B918" s="51">
        <v>42558</v>
      </c>
      <c r="C918" s="21">
        <v>103</v>
      </c>
      <c r="D918" s="21">
        <v>3000031250</v>
      </c>
      <c r="E918" s="21" t="s">
        <v>23</v>
      </c>
      <c r="F918" s="21">
        <v>2602048986</v>
      </c>
      <c r="G918" s="52">
        <v>42532</v>
      </c>
      <c r="H918" s="52"/>
      <c r="I918" s="52">
        <v>42534</v>
      </c>
      <c r="J918" s="21" t="s">
        <v>43</v>
      </c>
      <c r="K918" s="124">
        <v>20.914999999999999</v>
      </c>
      <c r="L918" s="21">
        <v>20.93</v>
      </c>
      <c r="M918" s="21">
        <f t="shared" si="109"/>
        <v>20.914999999999999</v>
      </c>
      <c r="N918" s="22"/>
      <c r="O918" s="21">
        <v>1006079</v>
      </c>
      <c r="P918" s="36">
        <f t="shared" si="110"/>
        <v>1006079.0000000001</v>
      </c>
      <c r="Q918" s="183">
        <v>42573</v>
      </c>
      <c r="R918" s="66">
        <v>42579</v>
      </c>
    </row>
    <row r="919" spans="1:22" s="3" customFormat="1" hidden="1" x14ac:dyDescent="0.25">
      <c r="A919" s="122">
        <v>118</v>
      </c>
      <c r="B919" s="51">
        <v>42558</v>
      </c>
      <c r="C919" s="21">
        <v>103</v>
      </c>
      <c r="D919" s="21">
        <v>3000031250</v>
      </c>
      <c r="E919" s="21" t="s">
        <v>23</v>
      </c>
      <c r="F919" s="21">
        <v>2602048990</v>
      </c>
      <c r="G919" s="52">
        <v>42533</v>
      </c>
      <c r="H919" s="52"/>
      <c r="I919" s="52">
        <v>42534</v>
      </c>
      <c r="J919" s="21" t="s">
        <v>43</v>
      </c>
      <c r="K919" s="124">
        <v>19.925000000000001</v>
      </c>
      <c r="L919" s="21">
        <v>19.96</v>
      </c>
      <c r="M919" s="21">
        <f t="shared" si="109"/>
        <v>19.925000000000001</v>
      </c>
      <c r="N919" s="22"/>
      <c r="O919" s="21">
        <v>958456</v>
      </c>
      <c r="P919" s="36">
        <f t="shared" si="110"/>
        <v>958456</v>
      </c>
      <c r="Q919" s="183">
        <v>42573</v>
      </c>
      <c r="R919" s="66">
        <v>42579</v>
      </c>
    </row>
    <row r="920" spans="1:22" s="3" customFormat="1" hidden="1" x14ac:dyDescent="0.25">
      <c r="A920" s="122">
        <v>119</v>
      </c>
      <c r="B920" s="51">
        <v>42558</v>
      </c>
      <c r="C920" s="21">
        <v>103</v>
      </c>
      <c r="D920" s="21">
        <v>3000031250</v>
      </c>
      <c r="E920" s="21" t="s">
        <v>23</v>
      </c>
      <c r="F920" s="21">
        <v>2602048992</v>
      </c>
      <c r="G920" s="52">
        <v>42533</v>
      </c>
      <c r="H920" s="52"/>
      <c r="I920" s="52">
        <v>42534</v>
      </c>
      <c r="J920" s="21" t="s">
        <v>43</v>
      </c>
      <c r="K920" s="124">
        <v>19.87</v>
      </c>
      <c r="L920" s="21">
        <v>19.850000000000001</v>
      </c>
      <c r="M920" s="21">
        <f t="shared" si="109"/>
        <v>19.850000000000001</v>
      </c>
      <c r="N920" s="22"/>
      <c r="O920" s="21">
        <v>955810</v>
      </c>
      <c r="P920" s="36">
        <f t="shared" si="110"/>
        <v>954847.93658782088</v>
      </c>
      <c r="Q920" s="183">
        <v>42573</v>
      </c>
      <c r="R920" s="66">
        <v>42579</v>
      </c>
    </row>
    <row r="921" spans="1:22" s="3" customFormat="1" hidden="1" x14ac:dyDescent="0.25">
      <c r="A921" s="122">
        <v>120</v>
      </c>
      <c r="B921" s="51">
        <v>42558</v>
      </c>
      <c r="C921" s="21">
        <v>103</v>
      </c>
      <c r="D921" s="21">
        <v>3000031250</v>
      </c>
      <c r="E921" s="21" t="s">
        <v>23</v>
      </c>
      <c r="F921" s="21">
        <v>2602049021</v>
      </c>
      <c r="G921" s="52">
        <v>42534</v>
      </c>
      <c r="H921" s="52"/>
      <c r="I921" s="52">
        <v>42535</v>
      </c>
      <c r="J921" s="21" t="s">
        <v>43</v>
      </c>
      <c r="K921" s="124">
        <v>24.414999999999999</v>
      </c>
      <c r="L921" s="21">
        <v>24.4</v>
      </c>
      <c r="M921" s="21">
        <f t="shared" si="109"/>
        <v>24.4</v>
      </c>
      <c r="N921" s="22"/>
      <c r="O921" s="21">
        <v>1174440</v>
      </c>
      <c r="P921" s="36">
        <f t="shared" si="110"/>
        <v>1173718.4517714519</v>
      </c>
      <c r="Q921" s="183">
        <v>42573</v>
      </c>
      <c r="R921" s="66">
        <v>42579</v>
      </c>
    </row>
    <row r="922" spans="1:22" s="3" customFormat="1" hidden="1" x14ac:dyDescent="0.25">
      <c r="A922" s="122">
        <v>121</v>
      </c>
      <c r="B922" s="51">
        <v>42558</v>
      </c>
      <c r="C922" s="21">
        <v>103</v>
      </c>
      <c r="D922" s="21">
        <v>3000031250</v>
      </c>
      <c r="E922" s="21" t="s">
        <v>23</v>
      </c>
      <c r="F922" s="21">
        <v>2602049027</v>
      </c>
      <c r="G922" s="52">
        <v>42535</v>
      </c>
      <c r="H922" s="52"/>
      <c r="I922" s="52">
        <v>42536</v>
      </c>
      <c r="J922" s="21" t="s">
        <v>43</v>
      </c>
      <c r="K922" s="124">
        <v>24.73</v>
      </c>
      <c r="L922" s="21">
        <v>24.77</v>
      </c>
      <c r="M922" s="21">
        <f t="shared" si="109"/>
        <v>24.73</v>
      </c>
      <c r="N922" s="22"/>
      <c r="O922" s="21">
        <v>1189592</v>
      </c>
      <c r="P922" s="36">
        <f t="shared" si="110"/>
        <v>1189592</v>
      </c>
      <c r="Q922" s="183">
        <v>42573</v>
      </c>
      <c r="R922" s="66">
        <v>42579</v>
      </c>
    </row>
    <row r="923" spans="1:22" s="3" customFormat="1" hidden="1" x14ac:dyDescent="0.25">
      <c r="A923" s="122">
        <v>122</v>
      </c>
      <c r="B923" s="51">
        <v>42558</v>
      </c>
      <c r="C923" s="21">
        <v>103</v>
      </c>
      <c r="D923" s="21">
        <v>3000031250</v>
      </c>
      <c r="E923" s="21" t="s">
        <v>23</v>
      </c>
      <c r="F923" s="21">
        <v>2602049059</v>
      </c>
      <c r="G923" s="52">
        <v>42536</v>
      </c>
      <c r="H923" s="52"/>
      <c r="I923" s="52">
        <v>42537</v>
      </c>
      <c r="J923" s="21" t="s">
        <v>43</v>
      </c>
      <c r="K923" s="124">
        <v>19.975000000000001</v>
      </c>
      <c r="L923" s="21">
        <v>20.03</v>
      </c>
      <c r="M923" s="21">
        <f t="shared" si="109"/>
        <v>19.975000000000001</v>
      </c>
      <c r="N923" s="22"/>
      <c r="O923" s="21">
        <v>960861</v>
      </c>
      <c r="P923" s="36">
        <f t="shared" si="110"/>
        <v>960861</v>
      </c>
      <c r="Q923" s="183">
        <v>42573</v>
      </c>
      <c r="R923" s="66">
        <v>42579</v>
      </c>
    </row>
    <row r="924" spans="1:22" s="3" customFormat="1" hidden="1" x14ac:dyDescent="0.25">
      <c r="A924" s="122">
        <v>123</v>
      </c>
      <c r="B924" s="51">
        <v>42558</v>
      </c>
      <c r="C924" s="21">
        <v>103</v>
      </c>
      <c r="D924" s="21">
        <v>3000031250</v>
      </c>
      <c r="E924" s="21" t="s">
        <v>23</v>
      </c>
      <c r="F924" s="21">
        <v>2602049102</v>
      </c>
      <c r="G924" s="52">
        <v>42537</v>
      </c>
      <c r="H924" s="52"/>
      <c r="I924" s="52">
        <v>42540</v>
      </c>
      <c r="J924" s="21" t="s">
        <v>43</v>
      </c>
      <c r="K924" s="124">
        <v>20.225000000000001</v>
      </c>
      <c r="L924" s="21">
        <v>20.27</v>
      </c>
      <c r="M924" s="21">
        <f t="shared" si="109"/>
        <v>20.225000000000001</v>
      </c>
      <c r="N924" s="22"/>
      <c r="O924" s="21">
        <v>972887</v>
      </c>
      <c r="P924" s="36">
        <f t="shared" si="110"/>
        <v>972887</v>
      </c>
      <c r="Q924" s="183">
        <v>42573</v>
      </c>
      <c r="R924" s="66">
        <v>42579</v>
      </c>
    </row>
    <row r="925" spans="1:22" s="3" customFormat="1" hidden="1" x14ac:dyDescent="0.25">
      <c r="A925" s="122">
        <v>124</v>
      </c>
      <c r="B925" s="51">
        <v>42558</v>
      </c>
      <c r="C925" s="21">
        <v>103</v>
      </c>
      <c r="D925" s="21">
        <v>3000031250</v>
      </c>
      <c r="E925" s="21" t="s">
        <v>23</v>
      </c>
      <c r="F925" s="21">
        <v>2602049168</v>
      </c>
      <c r="G925" s="52">
        <v>42540</v>
      </c>
      <c r="H925" s="52"/>
      <c r="I925" s="52">
        <v>42543</v>
      </c>
      <c r="J925" s="21" t="s">
        <v>43</v>
      </c>
      <c r="K925" s="124">
        <v>26.58</v>
      </c>
      <c r="L925" s="21">
        <v>26.59</v>
      </c>
      <c r="M925" s="21">
        <f t="shared" si="109"/>
        <v>26.58</v>
      </c>
      <c r="N925" s="22"/>
      <c r="O925" s="21">
        <v>1278583</v>
      </c>
      <c r="P925" s="36">
        <f t="shared" si="110"/>
        <v>1278583</v>
      </c>
      <c r="Q925" s="183">
        <v>42573</v>
      </c>
      <c r="R925" s="66">
        <v>42579</v>
      </c>
      <c r="T925" s="15" t="s">
        <v>280</v>
      </c>
      <c r="U925" s="15"/>
      <c r="V925" s="15"/>
    </row>
    <row r="926" spans="1:22" s="3" customFormat="1" hidden="1" x14ac:dyDescent="0.25">
      <c r="A926" s="30">
        <f>+closed!A927+1</f>
        <v>177</v>
      </c>
      <c r="B926" s="24">
        <v>42562</v>
      </c>
      <c r="C926" s="1">
        <v>103</v>
      </c>
      <c r="D926" s="1">
        <v>3000031295</v>
      </c>
      <c r="E926" s="1" t="s">
        <v>50</v>
      </c>
      <c r="F926" s="1">
        <v>21</v>
      </c>
      <c r="G926" s="25">
        <v>42553</v>
      </c>
      <c r="H926" s="25"/>
      <c r="I926" s="25">
        <v>42553</v>
      </c>
      <c r="J926" s="1" t="s">
        <v>43</v>
      </c>
      <c r="K926" s="77">
        <v>33.6</v>
      </c>
      <c r="L926" s="1">
        <v>33.6</v>
      </c>
      <c r="M926" s="1">
        <f t="shared" si="109"/>
        <v>33.6</v>
      </c>
      <c r="N926" s="7" t="e">
        <f>+I926+15-'V V F India Out Standing'!#REF!</f>
        <v>#REF!</v>
      </c>
      <c r="O926" s="1">
        <v>1962500</v>
      </c>
      <c r="P926" s="26">
        <f t="shared" si="110"/>
        <v>1962500</v>
      </c>
      <c r="Q926" s="130" t="s">
        <v>269</v>
      </c>
      <c r="R926" s="66">
        <v>42579</v>
      </c>
      <c r="S926" s="187"/>
    </row>
    <row r="927" spans="1:22" s="65" customFormat="1" hidden="1" x14ac:dyDescent="0.25">
      <c r="A927" s="146">
        <f>+closed!A1067+1</f>
        <v>176</v>
      </c>
      <c r="B927" s="60">
        <v>42562</v>
      </c>
      <c r="C927" s="18">
        <v>103</v>
      </c>
      <c r="D927" s="18">
        <v>3000031295</v>
      </c>
      <c r="E927" s="18" t="s">
        <v>50</v>
      </c>
      <c r="F927" s="18">
        <v>19</v>
      </c>
      <c r="G927" s="61">
        <v>42551</v>
      </c>
      <c r="H927" s="61"/>
      <c r="I927" s="61">
        <v>42551</v>
      </c>
      <c r="J927" s="18" t="s">
        <v>43</v>
      </c>
      <c r="K927" s="149">
        <v>32.840000000000003</v>
      </c>
      <c r="L927" s="18">
        <v>32.840000000000003</v>
      </c>
      <c r="M927" s="18">
        <f t="shared" si="109"/>
        <v>32.840000000000003</v>
      </c>
      <c r="N927" s="62" t="e">
        <f>+I927+15-'V V F India Out Standing'!#REF!</f>
        <v>#REF!</v>
      </c>
      <c r="O927" s="18">
        <v>1918111</v>
      </c>
      <c r="P927" s="38">
        <f t="shared" si="110"/>
        <v>1918111</v>
      </c>
      <c r="Q927" s="130" t="s">
        <v>269</v>
      </c>
      <c r="R927" s="66">
        <v>42579</v>
      </c>
      <c r="S927" s="187"/>
    </row>
    <row r="928" spans="1:22" s="65" customFormat="1" hidden="1" x14ac:dyDescent="0.25">
      <c r="A928" s="146">
        <f>+closed!A853+1</f>
        <v>33</v>
      </c>
      <c r="B928" s="60">
        <v>42545</v>
      </c>
      <c r="C928" s="18">
        <v>103</v>
      </c>
      <c r="D928" s="18">
        <v>3000030955</v>
      </c>
      <c r="E928" s="18" t="s">
        <v>60</v>
      </c>
      <c r="F928" s="18">
        <v>268</v>
      </c>
      <c r="G928" s="61">
        <v>42538</v>
      </c>
      <c r="H928" s="61"/>
      <c r="I928" s="61">
        <v>42542</v>
      </c>
      <c r="J928" s="18" t="s">
        <v>61</v>
      </c>
      <c r="K928" s="149">
        <v>16.22</v>
      </c>
      <c r="L928" s="18">
        <v>16.190000000000001</v>
      </c>
      <c r="M928" s="18">
        <f t="shared" si="109"/>
        <v>16.190000000000001</v>
      </c>
      <c r="N928" s="62">
        <f t="shared" ref="N928:N942" si="111">+I928+20-1</f>
        <v>42561</v>
      </c>
      <c r="O928" s="18">
        <v>1289471</v>
      </c>
      <c r="P928" s="38">
        <f t="shared" si="110"/>
        <v>1287086.0351418005</v>
      </c>
      <c r="Q928" s="178">
        <v>42565</v>
      </c>
      <c r="R928" s="66">
        <v>42579</v>
      </c>
    </row>
    <row r="929" spans="1:20" s="3" customFormat="1" hidden="1" x14ac:dyDescent="0.25">
      <c r="A929" s="30">
        <v>45</v>
      </c>
      <c r="B929" s="24">
        <v>42551</v>
      </c>
      <c r="C929" s="1">
        <v>103</v>
      </c>
      <c r="D929" s="1">
        <v>3000031794</v>
      </c>
      <c r="E929" s="1" t="s">
        <v>159</v>
      </c>
      <c r="F929" s="1">
        <v>289</v>
      </c>
      <c r="G929" s="25">
        <v>42543</v>
      </c>
      <c r="H929" s="25"/>
      <c r="I929" s="25">
        <v>42548</v>
      </c>
      <c r="J929" s="1" t="s">
        <v>61</v>
      </c>
      <c r="K929" s="77">
        <v>23.99</v>
      </c>
      <c r="L929" s="1">
        <v>23.94</v>
      </c>
      <c r="M929" s="1">
        <f t="shared" si="109"/>
        <v>23.94</v>
      </c>
      <c r="N929" s="7">
        <f t="shared" si="111"/>
        <v>42567</v>
      </c>
      <c r="O929" s="1">
        <v>1955186</v>
      </c>
      <c r="P929" s="36">
        <f t="shared" si="110"/>
        <v>1951110.9979157986</v>
      </c>
      <c r="Q929" s="178">
        <v>42578</v>
      </c>
      <c r="R929" s="66">
        <v>42579</v>
      </c>
      <c r="S929" s="187">
        <f t="shared" ref="S929:S960" si="112">R929-N929</f>
        <v>12</v>
      </c>
    </row>
    <row r="930" spans="1:20" s="3" customFormat="1" hidden="1" x14ac:dyDescent="0.25">
      <c r="A930" s="30">
        <v>46</v>
      </c>
      <c r="B930" s="24">
        <v>42551</v>
      </c>
      <c r="C930" s="1">
        <v>103</v>
      </c>
      <c r="D930" s="1">
        <v>3000031636</v>
      </c>
      <c r="E930" s="1" t="s">
        <v>202</v>
      </c>
      <c r="F930" s="1">
        <v>70</v>
      </c>
      <c r="G930" s="25">
        <v>42545</v>
      </c>
      <c r="H930" s="25"/>
      <c r="I930" s="25">
        <v>42548</v>
      </c>
      <c r="J930" s="1" t="s">
        <v>61</v>
      </c>
      <c r="K930" s="77">
        <v>20.11</v>
      </c>
      <c r="L930" s="1">
        <v>20.05</v>
      </c>
      <c r="M930" s="1">
        <f t="shared" si="109"/>
        <v>20.05</v>
      </c>
      <c r="N930" s="7">
        <f t="shared" si="111"/>
        <v>42567</v>
      </c>
      <c r="O930" s="1">
        <v>1608800</v>
      </c>
      <c r="P930" s="36">
        <f t="shared" si="110"/>
        <v>1604000</v>
      </c>
      <c r="Q930" s="178">
        <v>42578</v>
      </c>
      <c r="R930" s="66">
        <v>42579</v>
      </c>
      <c r="S930" s="187">
        <f t="shared" si="112"/>
        <v>12</v>
      </c>
    </row>
    <row r="931" spans="1:20" s="3" customFormat="1" hidden="1" x14ac:dyDescent="0.25">
      <c r="A931" s="30">
        <v>67</v>
      </c>
      <c r="B931" s="24">
        <v>42557</v>
      </c>
      <c r="C931" s="1">
        <v>103</v>
      </c>
      <c r="D931" s="1">
        <v>3000031698</v>
      </c>
      <c r="E931" s="1" t="s">
        <v>184</v>
      </c>
      <c r="F931" s="1">
        <v>75</v>
      </c>
      <c r="G931" s="25">
        <v>42545</v>
      </c>
      <c r="H931" s="25"/>
      <c r="I931" s="25">
        <v>42549</v>
      </c>
      <c r="J931" s="1" t="s">
        <v>61</v>
      </c>
      <c r="K931" s="77">
        <v>20.22</v>
      </c>
      <c r="L931" s="1">
        <v>20.2</v>
      </c>
      <c r="M931" s="1">
        <f t="shared" si="109"/>
        <v>20.2</v>
      </c>
      <c r="N931" s="7">
        <f t="shared" si="111"/>
        <v>42568</v>
      </c>
      <c r="O931" s="1">
        <v>1648095</v>
      </c>
      <c r="P931" s="36">
        <f t="shared" si="110"/>
        <v>1646464.8367952523</v>
      </c>
      <c r="Q931" s="178">
        <v>42578</v>
      </c>
      <c r="R931" s="66">
        <v>42579</v>
      </c>
      <c r="S931" s="187">
        <f t="shared" si="112"/>
        <v>11</v>
      </c>
    </row>
    <row r="932" spans="1:20" s="3" customFormat="1" hidden="1" x14ac:dyDescent="0.25">
      <c r="A932" s="30">
        <v>91</v>
      </c>
      <c r="B932" s="24">
        <v>42557</v>
      </c>
      <c r="C932" s="1">
        <v>103</v>
      </c>
      <c r="D932" s="1">
        <v>3000030941</v>
      </c>
      <c r="E932" s="1" t="s">
        <v>145</v>
      </c>
      <c r="F932" s="1">
        <v>30</v>
      </c>
      <c r="G932" s="25">
        <v>42546</v>
      </c>
      <c r="H932" s="25"/>
      <c r="I932" s="25">
        <v>42552</v>
      </c>
      <c r="J932" s="1" t="s">
        <v>61</v>
      </c>
      <c r="K932" s="77">
        <v>19.86</v>
      </c>
      <c r="L932" s="1">
        <v>19.82</v>
      </c>
      <c r="M932" s="1">
        <f t="shared" si="109"/>
        <v>19.82</v>
      </c>
      <c r="N932" s="7">
        <f t="shared" si="111"/>
        <v>42571</v>
      </c>
      <c r="O932" s="1">
        <v>1668180</v>
      </c>
      <c r="P932" s="36">
        <f t="shared" si="110"/>
        <v>1664820.1208459216</v>
      </c>
      <c r="Q932" s="178">
        <v>42578</v>
      </c>
      <c r="R932" s="66">
        <v>42579</v>
      </c>
      <c r="S932" s="187">
        <f t="shared" si="112"/>
        <v>8</v>
      </c>
    </row>
    <row r="933" spans="1:20" s="3" customFormat="1" hidden="1" x14ac:dyDescent="0.25">
      <c r="A933" s="30">
        <v>93</v>
      </c>
      <c r="B933" s="24">
        <v>42557</v>
      </c>
      <c r="C933" s="1">
        <v>114</v>
      </c>
      <c r="D933" s="1">
        <v>3000031649</v>
      </c>
      <c r="E933" s="1" t="s">
        <v>182</v>
      </c>
      <c r="F933" s="1">
        <v>42</v>
      </c>
      <c r="G933" s="25">
        <v>42541</v>
      </c>
      <c r="H933" s="25"/>
      <c r="I933" s="25">
        <v>42552</v>
      </c>
      <c r="J933" s="1" t="s">
        <v>61</v>
      </c>
      <c r="K933" s="77">
        <v>20.100000000000001</v>
      </c>
      <c r="L933" s="1">
        <v>20.07</v>
      </c>
      <c r="M933" s="1">
        <f t="shared" si="109"/>
        <v>20.07</v>
      </c>
      <c r="N933" s="7">
        <f t="shared" si="111"/>
        <v>42571</v>
      </c>
      <c r="O933" s="1">
        <v>1688400</v>
      </c>
      <c r="P933" s="36">
        <f t="shared" si="110"/>
        <v>1685880</v>
      </c>
      <c r="Q933" s="178">
        <v>42578</v>
      </c>
      <c r="R933" s="66">
        <v>42579</v>
      </c>
      <c r="S933" s="187">
        <f t="shared" si="112"/>
        <v>8</v>
      </c>
    </row>
    <row r="934" spans="1:20" s="3" customFormat="1" hidden="1" x14ac:dyDescent="0.25">
      <c r="A934" s="30">
        <v>50</v>
      </c>
      <c r="B934" s="24">
        <v>42551</v>
      </c>
      <c r="C934" s="1">
        <v>103</v>
      </c>
      <c r="D934" s="1">
        <v>3000031404</v>
      </c>
      <c r="E934" s="1" t="s">
        <v>158</v>
      </c>
      <c r="F934" s="1">
        <v>36</v>
      </c>
      <c r="G934" s="25">
        <v>42543</v>
      </c>
      <c r="H934" s="25"/>
      <c r="I934" s="25">
        <v>42549</v>
      </c>
      <c r="J934" s="1" t="s">
        <v>61</v>
      </c>
      <c r="K934" s="77">
        <v>28.92</v>
      </c>
      <c r="L934" s="1">
        <v>28.91</v>
      </c>
      <c r="M934" s="1">
        <f t="shared" si="109"/>
        <v>28.91</v>
      </c>
      <c r="N934" s="7">
        <f t="shared" si="111"/>
        <v>42568</v>
      </c>
      <c r="O934" s="1">
        <v>2313600</v>
      </c>
      <c r="P934" s="36">
        <f t="shared" si="110"/>
        <v>2312800</v>
      </c>
      <c r="Q934" s="178">
        <v>42578</v>
      </c>
      <c r="R934" s="66">
        <v>42579</v>
      </c>
      <c r="S934" s="187">
        <f t="shared" si="112"/>
        <v>11</v>
      </c>
    </row>
    <row r="935" spans="1:20" s="3" customFormat="1" hidden="1" x14ac:dyDescent="0.25">
      <c r="A935" s="30">
        <v>76</v>
      </c>
      <c r="B935" s="24">
        <v>42557</v>
      </c>
      <c r="C935" s="1">
        <v>103</v>
      </c>
      <c r="D935" s="1">
        <v>3000031522</v>
      </c>
      <c r="E935" s="1" t="s">
        <v>171</v>
      </c>
      <c r="F935" s="1">
        <v>17</v>
      </c>
      <c r="G935" s="25">
        <v>42546</v>
      </c>
      <c r="H935" s="25"/>
      <c r="I935" s="25">
        <v>42550</v>
      </c>
      <c r="J935" s="1" t="s">
        <v>61</v>
      </c>
      <c r="K935" s="77">
        <v>20.13</v>
      </c>
      <c r="L935" s="1">
        <v>20.100000000000001</v>
      </c>
      <c r="M935" s="1">
        <f t="shared" si="109"/>
        <v>20.100000000000001</v>
      </c>
      <c r="N935" s="7">
        <f t="shared" si="111"/>
        <v>42569</v>
      </c>
      <c r="O935" s="1">
        <v>1610372</v>
      </c>
      <c r="P935" s="36">
        <f t="shared" si="110"/>
        <v>1607972.0417287631</v>
      </c>
      <c r="Q935" s="178">
        <v>42578</v>
      </c>
      <c r="R935" s="66">
        <v>42579</v>
      </c>
      <c r="S935" s="187">
        <f t="shared" si="112"/>
        <v>10</v>
      </c>
    </row>
    <row r="936" spans="1:20" s="3" customFormat="1" hidden="1" x14ac:dyDescent="0.25">
      <c r="A936" s="30">
        <v>66</v>
      </c>
      <c r="B936" s="24">
        <v>42557</v>
      </c>
      <c r="C936" s="1">
        <v>103</v>
      </c>
      <c r="D936" s="1">
        <v>3000031602</v>
      </c>
      <c r="E936" s="1" t="s">
        <v>172</v>
      </c>
      <c r="F936" s="1">
        <v>36</v>
      </c>
      <c r="G936" s="25">
        <v>42546</v>
      </c>
      <c r="H936" s="25"/>
      <c r="I936" s="25">
        <v>42549</v>
      </c>
      <c r="J936" s="1" t="s">
        <v>61</v>
      </c>
      <c r="K936" s="77">
        <v>20.69</v>
      </c>
      <c r="L936" s="1">
        <v>20.66</v>
      </c>
      <c r="M936" s="1">
        <f t="shared" si="109"/>
        <v>20.66</v>
      </c>
      <c r="N936" s="7">
        <f t="shared" si="111"/>
        <v>42568</v>
      </c>
      <c r="O936" s="1">
        <v>1655190</v>
      </c>
      <c r="P936" s="36">
        <f t="shared" si="110"/>
        <v>1652790.0144997581</v>
      </c>
      <c r="Q936" s="178">
        <v>42578</v>
      </c>
      <c r="R936" s="66">
        <v>42579</v>
      </c>
      <c r="S936" s="187">
        <f t="shared" si="112"/>
        <v>11</v>
      </c>
    </row>
    <row r="937" spans="1:20" s="3" customFormat="1" hidden="1" x14ac:dyDescent="0.25">
      <c r="A937" s="30">
        <v>87</v>
      </c>
      <c r="B937" s="24">
        <v>42557</v>
      </c>
      <c r="C937" s="1">
        <v>103</v>
      </c>
      <c r="D937" s="1">
        <v>3000031796</v>
      </c>
      <c r="E937" s="1" t="s">
        <v>199</v>
      </c>
      <c r="F937" s="1">
        <v>5718</v>
      </c>
      <c r="G937" s="25">
        <v>42547</v>
      </c>
      <c r="H937" s="25"/>
      <c r="I937" s="25">
        <v>42550</v>
      </c>
      <c r="J937" s="1" t="s">
        <v>61</v>
      </c>
      <c r="K937" s="77">
        <v>20.13</v>
      </c>
      <c r="L937" s="1">
        <v>20.11</v>
      </c>
      <c r="M937" s="1">
        <f t="shared" si="109"/>
        <v>20.11</v>
      </c>
      <c r="N937" s="7">
        <f t="shared" si="111"/>
        <v>42569</v>
      </c>
      <c r="O937" s="1">
        <v>1688353</v>
      </c>
      <c r="P937" s="36">
        <f t="shared" si="110"/>
        <v>1686675.5504222554</v>
      </c>
      <c r="Q937" s="178">
        <v>42578</v>
      </c>
      <c r="R937" s="66">
        <v>42579</v>
      </c>
      <c r="S937" s="187">
        <f t="shared" si="112"/>
        <v>10</v>
      </c>
    </row>
    <row r="938" spans="1:20" s="3" customFormat="1" hidden="1" x14ac:dyDescent="0.25">
      <c r="A938" s="30">
        <v>49</v>
      </c>
      <c r="B938" s="24">
        <v>42551</v>
      </c>
      <c r="C938" s="1">
        <v>103</v>
      </c>
      <c r="D938" s="1">
        <v>3000031556</v>
      </c>
      <c r="E938" s="1" t="s">
        <v>170</v>
      </c>
      <c r="F938" s="1">
        <v>24</v>
      </c>
      <c r="G938" s="25">
        <v>42544</v>
      </c>
      <c r="H938" s="25"/>
      <c r="I938" s="25">
        <v>42549</v>
      </c>
      <c r="J938" s="1" t="s">
        <v>61</v>
      </c>
      <c r="K938" s="77">
        <v>20.329999999999998</v>
      </c>
      <c r="L938" s="1">
        <v>20.29</v>
      </c>
      <c r="M938" s="1">
        <f t="shared" si="109"/>
        <v>20.29</v>
      </c>
      <c r="N938" s="7">
        <f t="shared" si="111"/>
        <v>42568</v>
      </c>
      <c r="O938" s="1">
        <v>1626400</v>
      </c>
      <c r="P938" s="36">
        <f t="shared" si="110"/>
        <v>1623200</v>
      </c>
      <c r="Q938" s="178">
        <v>42578</v>
      </c>
      <c r="R938" s="66">
        <v>42579</v>
      </c>
      <c r="S938" s="187">
        <f t="shared" si="112"/>
        <v>11</v>
      </c>
    </row>
    <row r="939" spans="1:20" s="3" customFormat="1" hidden="1" x14ac:dyDescent="0.25">
      <c r="A939" s="30">
        <v>69</v>
      </c>
      <c r="B939" s="24">
        <v>42557</v>
      </c>
      <c r="C939" s="1">
        <v>103</v>
      </c>
      <c r="D939" s="1">
        <v>3000030955</v>
      </c>
      <c r="E939" s="1" t="s">
        <v>60</v>
      </c>
      <c r="F939" s="1">
        <v>273</v>
      </c>
      <c r="G939" s="25">
        <v>42539</v>
      </c>
      <c r="H939" s="25"/>
      <c r="I939" s="25">
        <v>42550</v>
      </c>
      <c r="J939" s="1" t="s">
        <v>61</v>
      </c>
      <c r="K939" s="77">
        <v>24.21</v>
      </c>
      <c r="L939" s="1">
        <v>24.14</v>
      </c>
      <c r="M939" s="1">
        <f t="shared" ref="M939:M950" si="113">IF(L939&gt;K939,K939,L939)</f>
        <v>24.14</v>
      </c>
      <c r="N939" s="7">
        <f t="shared" si="111"/>
        <v>42569</v>
      </c>
      <c r="O939" s="1">
        <v>1924666</v>
      </c>
      <c r="P939" s="36">
        <f t="shared" ref="P939:P950" si="114">(+O939/K939*M939)</f>
        <v>1919101.0838496489</v>
      </c>
      <c r="Q939" s="178">
        <v>42578</v>
      </c>
      <c r="R939" s="66">
        <v>42579</v>
      </c>
      <c r="S939" s="187">
        <f t="shared" si="112"/>
        <v>10</v>
      </c>
    </row>
    <row r="940" spans="1:20" s="3" customFormat="1" hidden="1" x14ac:dyDescent="0.25">
      <c r="A940" s="30">
        <v>75</v>
      </c>
      <c r="B940" s="24">
        <v>42557</v>
      </c>
      <c r="C940" s="1">
        <v>103</v>
      </c>
      <c r="D940" s="1">
        <v>3000031933</v>
      </c>
      <c r="E940" s="1" t="s">
        <v>198</v>
      </c>
      <c r="F940" s="1">
        <v>376</v>
      </c>
      <c r="G940" s="25">
        <v>42547</v>
      </c>
      <c r="H940" s="25"/>
      <c r="I940" s="25">
        <v>42550</v>
      </c>
      <c r="J940" s="1" t="s">
        <v>61</v>
      </c>
      <c r="K940" s="77">
        <v>19.98</v>
      </c>
      <c r="L940" s="1">
        <v>19.989999999999998</v>
      </c>
      <c r="M940" s="1">
        <f t="shared" si="113"/>
        <v>19.98</v>
      </c>
      <c r="N940" s="7">
        <f t="shared" si="111"/>
        <v>42569</v>
      </c>
      <c r="O940" s="1">
        <v>1628370</v>
      </c>
      <c r="P940" s="36">
        <f t="shared" si="114"/>
        <v>1628370</v>
      </c>
      <c r="Q940" s="178">
        <v>42578</v>
      </c>
      <c r="R940" s="66">
        <v>42579</v>
      </c>
      <c r="S940" s="187">
        <f t="shared" si="112"/>
        <v>10</v>
      </c>
    </row>
    <row r="941" spans="1:20" s="3" customFormat="1" hidden="1" x14ac:dyDescent="0.25">
      <c r="A941" s="30">
        <v>84</v>
      </c>
      <c r="B941" s="24">
        <v>42557</v>
      </c>
      <c r="C941" s="1">
        <v>103</v>
      </c>
      <c r="D941" s="1">
        <v>3000031827</v>
      </c>
      <c r="E941" s="1" t="s">
        <v>201</v>
      </c>
      <c r="F941" s="1">
        <v>65</v>
      </c>
      <c r="G941" s="25">
        <v>42545</v>
      </c>
      <c r="H941" s="25"/>
      <c r="I941" s="25">
        <v>42550</v>
      </c>
      <c r="J941" s="1" t="s">
        <v>61</v>
      </c>
      <c r="K941" s="77">
        <v>20.41</v>
      </c>
      <c r="L941" s="1">
        <v>20.350000000000001</v>
      </c>
      <c r="M941" s="1">
        <f t="shared" si="113"/>
        <v>20.350000000000001</v>
      </c>
      <c r="N941" s="7">
        <f t="shared" si="111"/>
        <v>42569</v>
      </c>
      <c r="O941" s="1">
        <v>1663374</v>
      </c>
      <c r="P941" s="36">
        <f t="shared" si="114"/>
        <v>1658484.1205291525</v>
      </c>
      <c r="Q941" s="178">
        <v>42578</v>
      </c>
      <c r="R941" s="66">
        <v>42579</v>
      </c>
      <c r="S941" s="187">
        <f t="shared" si="112"/>
        <v>10</v>
      </c>
    </row>
    <row r="942" spans="1:20" s="3" customFormat="1" x14ac:dyDescent="0.25">
      <c r="A942" s="30">
        <v>25</v>
      </c>
      <c r="B942" s="24">
        <v>42544</v>
      </c>
      <c r="C942" s="1">
        <v>103</v>
      </c>
      <c r="D942" s="1">
        <v>3000030763</v>
      </c>
      <c r="E942" s="1" t="s">
        <v>144</v>
      </c>
      <c r="F942" s="1">
        <v>524</v>
      </c>
      <c r="G942" s="25">
        <v>42538</v>
      </c>
      <c r="H942" s="25"/>
      <c r="I942" s="25">
        <v>42542</v>
      </c>
      <c r="J942" s="1" t="s">
        <v>61</v>
      </c>
      <c r="K942" s="77">
        <v>20.34</v>
      </c>
      <c r="L942" s="1">
        <v>20.2</v>
      </c>
      <c r="M942" s="1">
        <f t="shared" si="113"/>
        <v>20.2</v>
      </c>
      <c r="N942" s="7">
        <f t="shared" si="111"/>
        <v>42561</v>
      </c>
      <c r="O942" s="1">
        <v>1708499</v>
      </c>
      <c r="P942" s="36">
        <f t="shared" si="114"/>
        <v>1696739.4198623402</v>
      </c>
      <c r="Q942" s="178">
        <v>42578</v>
      </c>
      <c r="R942" s="66">
        <v>42579</v>
      </c>
      <c r="S942" s="187">
        <f t="shared" si="112"/>
        <v>18</v>
      </c>
      <c r="T942" s="15" t="s">
        <v>270</v>
      </c>
    </row>
    <row r="943" spans="1:20" s="3" customFormat="1" hidden="1" x14ac:dyDescent="0.25">
      <c r="A943" s="30">
        <v>23</v>
      </c>
      <c r="B943" s="24">
        <v>42543</v>
      </c>
      <c r="C943" s="1">
        <v>114</v>
      </c>
      <c r="D943" s="1">
        <v>3000031325</v>
      </c>
      <c r="E943" s="18" t="s">
        <v>29</v>
      </c>
      <c r="F943" s="1">
        <v>92</v>
      </c>
      <c r="G943" s="25">
        <v>42534</v>
      </c>
      <c r="H943" s="74"/>
      <c r="I943" s="74">
        <v>42538</v>
      </c>
      <c r="J943" s="1" t="s">
        <v>8</v>
      </c>
      <c r="K943" s="77">
        <v>20.475000000000001</v>
      </c>
      <c r="L943" s="1">
        <v>20.475000000000001</v>
      </c>
      <c r="M943" s="88">
        <f t="shared" si="113"/>
        <v>20.475000000000001</v>
      </c>
      <c r="N943" s="7">
        <f t="shared" ref="N943:N962" si="115">+I943+15-1</f>
        <v>42552</v>
      </c>
      <c r="O943" s="1">
        <v>1085175</v>
      </c>
      <c r="P943" s="38">
        <f t="shared" si="114"/>
        <v>1085175</v>
      </c>
      <c r="Q943" s="178">
        <v>42579</v>
      </c>
      <c r="R943" s="66">
        <v>42583</v>
      </c>
      <c r="S943" s="187">
        <f t="shared" si="112"/>
        <v>31</v>
      </c>
    </row>
    <row r="944" spans="1:20" s="3" customFormat="1" hidden="1" x14ac:dyDescent="0.25">
      <c r="A944" s="30">
        <v>24</v>
      </c>
      <c r="B944" s="24">
        <v>42543</v>
      </c>
      <c r="C944" s="1">
        <v>114</v>
      </c>
      <c r="D944" s="1">
        <v>3000030406</v>
      </c>
      <c r="E944" s="18" t="s">
        <v>39</v>
      </c>
      <c r="F944" s="1">
        <v>25</v>
      </c>
      <c r="G944" s="25">
        <v>42536</v>
      </c>
      <c r="H944" s="74"/>
      <c r="I944" s="74">
        <v>42539</v>
      </c>
      <c r="J944" s="1" t="s">
        <v>8</v>
      </c>
      <c r="K944" s="77">
        <v>28.77</v>
      </c>
      <c r="L944" s="1">
        <v>28.84</v>
      </c>
      <c r="M944" s="88">
        <f t="shared" si="113"/>
        <v>28.77</v>
      </c>
      <c r="N944" s="7">
        <f t="shared" si="115"/>
        <v>42553</v>
      </c>
      <c r="O944" s="1">
        <v>1588104</v>
      </c>
      <c r="P944" s="38">
        <f t="shared" si="114"/>
        <v>1588104</v>
      </c>
      <c r="Q944" s="178">
        <v>42579</v>
      </c>
      <c r="R944" s="66">
        <v>42583</v>
      </c>
      <c r="S944" s="187">
        <f t="shared" si="112"/>
        <v>30</v>
      </c>
    </row>
    <row r="945" spans="1:19" s="3" customFormat="1" hidden="1" x14ac:dyDescent="0.25">
      <c r="A945" s="30">
        <v>27</v>
      </c>
      <c r="B945" s="24">
        <v>42545</v>
      </c>
      <c r="C945" s="1">
        <v>114</v>
      </c>
      <c r="D945" s="1">
        <v>3000029860</v>
      </c>
      <c r="E945" s="18" t="s">
        <v>17</v>
      </c>
      <c r="F945" s="1">
        <v>54</v>
      </c>
      <c r="G945" s="25">
        <v>42538</v>
      </c>
      <c r="H945" s="25"/>
      <c r="I945" s="25">
        <v>42542</v>
      </c>
      <c r="J945" s="1" t="s">
        <v>8</v>
      </c>
      <c r="K945" s="77">
        <v>26.01</v>
      </c>
      <c r="L945" s="1">
        <v>26.01</v>
      </c>
      <c r="M945" s="1">
        <f t="shared" si="113"/>
        <v>26.01</v>
      </c>
      <c r="N945" s="7">
        <f t="shared" si="115"/>
        <v>42556</v>
      </c>
      <c r="O945" s="1">
        <v>1412343</v>
      </c>
      <c r="P945" s="38">
        <f t="shared" si="114"/>
        <v>1412343</v>
      </c>
      <c r="Q945" s="178">
        <v>42579</v>
      </c>
      <c r="R945" s="66">
        <v>42583</v>
      </c>
      <c r="S945" s="187">
        <f t="shared" si="112"/>
        <v>27</v>
      </c>
    </row>
    <row r="946" spans="1:19" s="3" customFormat="1" hidden="1" x14ac:dyDescent="0.25">
      <c r="A946" s="30">
        <v>28</v>
      </c>
      <c r="B946" s="24">
        <v>42545</v>
      </c>
      <c r="C946" s="1">
        <v>114</v>
      </c>
      <c r="D946" s="1">
        <v>3000030061</v>
      </c>
      <c r="E946" s="18" t="s">
        <v>17</v>
      </c>
      <c r="F946" s="1">
        <v>55</v>
      </c>
      <c r="G946" s="25">
        <v>42538</v>
      </c>
      <c r="H946" s="25"/>
      <c r="I946" s="25">
        <v>42542</v>
      </c>
      <c r="J946" s="1" t="s">
        <v>8</v>
      </c>
      <c r="K946" s="77">
        <v>5</v>
      </c>
      <c r="L946" s="1">
        <v>4.97</v>
      </c>
      <c r="M946" s="1">
        <f t="shared" si="113"/>
        <v>4.97</v>
      </c>
      <c r="N946" s="7">
        <f t="shared" si="115"/>
        <v>42556</v>
      </c>
      <c r="O946" s="1">
        <v>272500</v>
      </c>
      <c r="P946" s="38">
        <f t="shared" si="114"/>
        <v>270865</v>
      </c>
      <c r="Q946" s="178">
        <v>42579</v>
      </c>
      <c r="R946" s="66">
        <v>42583</v>
      </c>
      <c r="S946" s="187">
        <f t="shared" si="112"/>
        <v>27</v>
      </c>
    </row>
    <row r="947" spans="1:19" s="3" customFormat="1" hidden="1" x14ac:dyDescent="0.25">
      <c r="A947" s="30">
        <v>29</v>
      </c>
      <c r="B947" s="24">
        <v>42548</v>
      </c>
      <c r="C947" s="1">
        <v>14</v>
      </c>
      <c r="D947" s="1">
        <v>3000030907</v>
      </c>
      <c r="E947" s="18" t="s">
        <v>37</v>
      </c>
      <c r="F947" s="16">
        <v>61</v>
      </c>
      <c r="G947" s="25">
        <v>42539</v>
      </c>
      <c r="H947" s="25"/>
      <c r="I947" s="25">
        <v>42542</v>
      </c>
      <c r="J947" s="1" t="s">
        <v>16</v>
      </c>
      <c r="K947" s="77">
        <v>15.58</v>
      </c>
      <c r="L947" s="1">
        <v>15.58</v>
      </c>
      <c r="M947" s="1">
        <f t="shared" si="113"/>
        <v>15.58</v>
      </c>
      <c r="N947" s="7">
        <f t="shared" si="115"/>
        <v>42556</v>
      </c>
      <c r="O947" s="1">
        <v>783674</v>
      </c>
      <c r="P947" s="38">
        <f t="shared" si="114"/>
        <v>783674</v>
      </c>
      <c r="Q947" s="178">
        <v>42579</v>
      </c>
      <c r="R947" s="66">
        <v>42583</v>
      </c>
      <c r="S947" s="187">
        <f t="shared" si="112"/>
        <v>27</v>
      </c>
    </row>
    <row r="948" spans="1:19" s="3" customFormat="1" hidden="1" x14ac:dyDescent="0.25">
      <c r="A948" s="30">
        <v>30</v>
      </c>
      <c r="B948" s="24">
        <v>42548</v>
      </c>
      <c r="C948" s="1">
        <v>114</v>
      </c>
      <c r="D948" s="1">
        <v>3000030988</v>
      </c>
      <c r="E948" s="18" t="s">
        <v>37</v>
      </c>
      <c r="F948" s="16">
        <v>61</v>
      </c>
      <c r="G948" s="25">
        <v>42539</v>
      </c>
      <c r="H948" s="25"/>
      <c r="I948" s="25">
        <v>42542</v>
      </c>
      <c r="J948" s="1" t="s">
        <v>16</v>
      </c>
      <c r="K948" s="77">
        <v>11</v>
      </c>
      <c r="L948" s="1">
        <v>11.09</v>
      </c>
      <c r="M948" s="1">
        <f t="shared" si="113"/>
        <v>11</v>
      </c>
      <c r="N948" s="7">
        <f t="shared" si="115"/>
        <v>42556</v>
      </c>
      <c r="O948" s="1">
        <v>539000</v>
      </c>
      <c r="P948" s="38">
        <f t="shared" si="114"/>
        <v>539000</v>
      </c>
      <c r="Q948" s="178">
        <v>42579</v>
      </c>
      <c r="R948" s="66">
        <v>42583</v>
      </c>
      <c r="S948" s="187">
        <f t="shared" si="112"/>
        <v>27</v>
      </c>
    </row>
    <row r="949" spans="1:19" s="3" customFormat="1" hidden="1" x14ac:dyDescent="0.25">
      <c r="A949" s="30">
        <v>31</v>
      </c>
      <c r="B949" s="24">
        <v>42548</v>
      </c>
      <c r="C949" s="1">
        <v>114</v>
      </c>
      <c r="D949" s="1">
        <v>3000031320</v>
      </c>
      <c r="E949" s="18" t="s">
        <v>27</v>
      </c>
      <c r="F949" s="16">
        <v>850</v>
      </c>
      <c r="G949" s="25">
        <v>42539</v>
      </c>
      <c r="H949" s="25"/>
      <c r="I949" s="25">
        <v>42543</v>
      </c>
      <c r="J949" s="1" t="s">
        <v>8</v>
      </c>
      <c r="K949" s="77">
        <v>20.8</v>
      </c>
      <c r="L949" s="1">
        <v>20.8</v>
      </c>
      <c r="M949" s="1">
        <f t="shared" si="113"/>
        <v>20.8</v>
      </c>
      <c r="N949" s="7">
        <f t="shared" si="115"/>
        <v>42557</v>
      </c>
      <c r="O949" s="1">
        <v>1102400</v>
      </c>
      <c r="P949" s="38">
        <f t="shared" si="114"/>
        <v>1102400</v>
      </c>
      <c r="Q949" s="178">
        <v>42579</v>
      </c>
      <c r="R949" s="66">
        <v>42583</v>
      </c>
      <c r="S949" s="187">
        <f t="shared" si="112"/>
        <v>26</v>
      </c>
    </row>
    <row r="950" spans="1:19" s="3" customFormat="1" hidden="1" x14ac:dyDescent="0.25">
      <c r="A950" s="30">
        <v>32</v>
      </c>
      <c r="B950" s="24">
        <v>42548</v>
      </c>
      <c r="C950" s="1">
        <v>114</v>
      </c>
      <c r="D950" s="1">
        <v>3000031361</v>
      </c>
      <c r="E950" s="18" t="s">
        <v>27</v>
      </c>
      <c r="F950" s="16">
        <v>850</v>
      </c>
      <c r="G950" s="25">
        <v>42539</v>
      </c>
      <c r="H950" s="25"/>
      <c r="I950" s="25">
        <v>42543</v>
      </c>
      <c r="J950" s="1" t="s">
        <v>8</v>
      </c>
      <c r="K950" s="77">
        <v>8.7449999999999992</v>
      </c>
      <c r="L950" s="1">
        <v>8.66</v>
      </c>
      <c r="M950" s="1">
        <f t="shared" si="113"/>
        <v>8.66</v>
      </c>
      <c r="N950" s="7">
        <f t="shared" si="115"/>
        <v>42557</v>
      </c>
      <c r="O950" s="1">
        <v>466109</v>
      </c>
      <c r="P950" s="38">
        <f t="shared" si="114"/>
        <v>461578.49514008011</v>
      </c>
      <c r="Q950" s="178">
        <v>42579</v>
      </c>
      <c r="R950" s="66">
        <v>42583</v>
      </c>
      <c r="S950" s="187">
        <f t="shared" si="112"/>
        <v>26</v>
      </c>
    </row>
    <row r="951" spans="1:19" s="3" customFormat="1" hidden="1" x14ac:dyDescent="0.25">
      <c r="A951" s="30">
        <v>108</v>
      </c>
      <c r="B951" s="24">
        <v>42558</v>
      </c>
      <c r="C951" s="1">
        <v>114</v>
      </c>
      <c r="D951" s="1" t="s">
        <v>203</v>
      </c>
      <c r="E951" s="18" t="s">
        <v>27</v>
      </c>
      <c r="F951" s="20" t="s">
        <v>205</v>
      </c>
      <c r="G951" s="25">
        <v>42558</v>
      </c>
      <c r="H951" s="25"/>
      <c r="I951" s="25">
        <v>42545</v>
      </c>
      <c r="J951" s="1" t="s">
        <v>8</v>
      </c>
      <c r="K951" s="77"/>
      <c r="L951" s="1"/>
      <c r="M951" s="1"/>
      <c r="N951" s="7">
        <f t="shared" si="115"/>
        <v>42559</v>
      </c>
      <c r="O951" s="1">
        <v>9130</v>
      </c>
      <c r="P951" s="38"/>
      <c r="Q951" s="178">
        <v>42579</v>
      </c>
      <c r="R951" s="66">
        <v>42583</v>
      </c>
      <c r="S951" s="187">
        <f t="shared" si="112"/>
        <v>24</v>
      </c>
    </row>
    <row r="952" spans="1:19" s="3" customFormat="1" hidden="1" x14ac:dyDescent="0.25">
      <c r="A952" s="30">
        <v>109</v>
      </c>
      <c r="B952" s="24">
        <v>42558</v>
      </c>
      <c r="C952" s="1">
        <v>114</v>
      </c>
      <c r="D952" s="1">
        <v>3000031193</v>
      </c>
      <c r="E952" s="18" t="s">
        <v>27</v>
      </c>
      <c r="F952" s="16">
        <v>848</v>
      </c>
      <c r="G952" s="25">
        <v>42534</v>
      </c>
      <c r="H952" s="25"/>
      <c r="I952" s="25">
        <v>42545</v>
      </c>
      <c r="J952" s="1" t="s">
        <v>8</v>
      </c>
      <c r="K952" s="77">
        <v>19.5</v>
      </c>
      <c r="L952" s="1">
        <v>19.5</v>
      </c>
      <c r="M952" s="1">
        <f>IF(L952&gt;K952,K952,L952)</f>
        <v>19.5</v>
      </c>
      <c r="N952" s="7">
        <f t="shared" si="115"/>
        <v>42559</v>
      </c>
      <c r="O952" s="1">
        <v>1031550</v>
      </c>
      <c r="P952" s="38">
        <f>(+O952/K952*M952)-9130</f>
        <v>1022420</v>
      </c>
      <c r="Q952" s="178">
        <v>42579</v>
      </c>
      <c r="R952" s="66">
        <v>42583</v>
      </c>
      <c r="S952" s="187">
        <f t="shared" si="112"/>
        <v>24</v>
      </c>
    </row>
    <row r="953" spans="1:19" s="3" customFormat="1" hidden="1" x14ac:dyDescent="0.25">
      <c r="A953" s="30">
        <v>110</v>
      </c>
      <c r="B953" s="24">
        <v>42558</v>
      </c>
      <c r="C953" s="1">
        <v>114</v>
      </c>
      <c r="D953" s="1">
        <v>3000031326</v>
      </c>
      <c r="E953" s="18" t="s">
        <v>27</v>
      </c>
      <c r="F953" s="16">
        <v>848</v>
      </c>
      <c r="G953" s="25">
        <v>42534</v>
      </c>
      <c r="H953" s="25"/>
      <c r="I953" s="25">
        <v>42545</v>
      </c>
      <c r="J953" s="1" t="s">
        <v>8</v>
      </c>
      <c r="K953" s="77">
        <v>10.164999999999999</v>
      </c>
      <c r="L953" s="1">
        <v>9.9499999999999993</v>
      </c>
      <c r="M953" s="1">
        <f>IF(L953&gt;K953,K953,L953)</f>
        <v>9.9499999999999993</v>
      </c>
      <c r="N953" s="7">
        <f t="shared" si="115"/>
        <v>42559</v>
      </c>
      <c r="O953" s="1">
        <v>538745</v>
      </c>
      <c r="P953" s="38">
        <f>(+O953/K953*M953)</f>
        <v>527350</v>
      </c>
      <c r="Q953" s="178">
        <v>42579</v>
      </c>
      <c r="R953" s="66">
        <v>42583</v>
      </c>
      <c r="S953" s="187">
        <f t="shared" si="112"/>
        <v>24</v>
      </c>
    </row>
    <row r="954" spans="1:19" s="3" customFormat="1" hidden="1" x14ac:dyDescent="0.25">
      <c r="A954" s="30">
        <v>111</v>
      </c>
      <c r="B954" s="24">
        <v>42558</v>
      </c>
      <c r="C954" s="1">
        <v>114</v>
      </c>
      <c r="D954" s="1">
        <v>3000031326</v>
      </c>
      <c r="E954" s="18" t="s">
        <v>27</v>
      </c>
      <c r="F954" s="20" t="s">
        <v>206</v>
      </c>
      <c r="G954" s="25">
        <v>42558</v>
      </c>
      <c r="H954" s="25"/>
      <c r="I954" s="25">
        <v>42546</v>
      </c>
      <c r="J954" s="1" t="s">
        <v>8</v>
      </c>
      <c r="K954" s="77"/>
      <c r="L954" s="1"/>
      <c r="M954" s="1">
        <f>IF(L954&gt;K954,K954,L954)</f>
        <v>0</v>
      </c>
      <c r="N954" s="7">
        <f t="shared" si="115"/>
        <v>42560</v>
      </c>
      <c r="O954" s="1">
        <v>8164</v>
      </c>
      <c r="P954" s="38"/>
      <c r="Q954" s="178">
        <v>42579</v>
      </c>
      <c r="R954" s="66">
        <v>42583</v>
      </c>
      <c r="S954" s="187">
        <f t="shared" si="112"/>
        <v>23</v>
      </c>
    </row>
    <row r="955" spans="1:19" s="3" customFormat="1" hidden="1" x14ac:dyDescent="0.25">
      <c r="A955" s="30">
        <v>112</v>
      </c>
      <c r="B955" s="24">
        <v>42558</v>
      </c>
      <c r="C955" s="1">
        <v>114</v>
      </c>
      <c r="D955" s="1">
        <v>3000031326</v>
      </c>
      <c r="E955" s="18" t="s">
        <v>27</v>
      </c>
      <c r="F955" s="16">
        <v>849</v>
      </c>
      <c r="G955" s="25">
        <v>42538</v>
      </c>
      <c r="H955" s="25"/>
      <c r="I955" s="25">
        <v>42546</v>
      </c>
      <c r="J955" s="1" t="s">
        <v>8</v>
      </c>
      <c r="K955" s="77">
        <v>29.004999999999999</v>
      </c>
      <c r="L955" s="1">
        <v>28.95</v>
      </c>
      <c r="M955" s="1">
        <f>IF(L955&gt;K955,K955,L955)</f>
        <v>28.95</v>
      </c>
      <c r="N955" s="7">
        <f t="shared" si="115"/>
        <v>42560</v>
      </c>
      <c r="O955" s="1">
        <v>1537265</v>
      </c>
      <c r="P955" s="38">
        <f>(+O955/K955*M955)-8164</f>
        <v>1526186</v>
      </c>
      <c r="Q955" s="178">
        <v>42579</v>
      </c>
      <c r="R955" s="66">
        <v>42583</v>
      </c>
      <c r="S955" s="187">
        <f t="shared" si="112"/>
        <v>23</v>
      </c>
    </row>
    <row r="956" spans="1:19" s="3" customFormat="1" hidden="1" x14ac:dyDescent="0.25">
      <c r="A956" s="30">
        <v>106</v>
      </c>
      <c r="B956" s="24">
        <v>42558</v>
      </c>
      <c r="C956" s="1">
        <v>114</v>
      </c>
      <c r="D956" s="1">
        <v>3000030921</v>
      </c>
      <c r="E956" s="18" t="s">
        <v>15</v>
      </c>
      <c r="F956" s="20" t="s">
        <v>204</v>
      </c>
      <c r="G956" s="25">
        <v>42558</v>
      </c>
      <c r="H956" s="25"/>
      <c r="I956" s="25">
        <v>42545</v>
      </c>
      <c r="J956" s="1" t="s">
        <v>8</v>
      </c>
      <c r="K956" s="77"/>
      <c r="L956" s="1"/>
      <c r="M956" s="1"/>
      <c r="N956" s="7">
        <f t="shared" si="115"/>
        <v>42559</v>
      </c>
      <c r="O956" s="1">
        <v>6930</v>
      </c>
      <c r="P956" s="38"/>
      <c r="Q956" s="178">
        <v>42579</v>
      </c>
      <c r="R956" s="66">
        <v>42583</v>
      </c>
      <c r="S956" s="187">
        <f t="shared" si="112"/>
        <v>24</v>
      </c>
    </row>
    <row r="957" spans="1:19" s="3" customFormat="1" hidden="1" x14ac:dyDescent="0.25">
      <c r="A957" s="30">
        <v>107</v>
      </c>
      <c r="B957" s="24">
        <v>42558</v>
      </c>
      <c r="C957" s="1">
        <v>114</v>
      </c>
      <c r="D957" s="1">
        <v>3000030921</v>
      </c>
      <c r="E957" s="18" t="s">
        <v>15</v>
      </c>
      <c r="F957" s="16">
        <v>3075</v>
      </c>
      <c r="G957" s="25">
        <v>42537</v>
      </c>
      <c r="H957" s="25"/>
      <c r="I957" s="25">
        <v>42545</v>
      </c>
      <c r="J957" s="1" t="s">
        <v>8</v>
      </c>
      <c r="K957" s="77">
        <v>23.65</v>
      </c>
      <c r="L957" s="1">
        <v>23.57</v>
      </c>
      <c r="M957" s="1">
        <f t="shared" ref="M957:M1020" si="116">IF(L957&gt;K957,K957,L957)</f>
        <v>23.57</v>
      </c>
      <c r="N957" s="7">
        <f t="shared" si="115"/>
        <v>42559</v>
      </c>
      <c r="O957" s="1">
        <v>1253450</v>
      </c>
      <c r="P957" s="38">
        <f>(+O957/K957*M957)-6930</f>
        <v>1242280</v>
      </c>
      <c r="Q957" s="178">
        <v>42579</v>
      </c>
      <c r="R957" s="66">
        <v>42583</v>
      </c>
      <c r="S957" s="187">
        <f t="shared" si="112"/>
        <v>24</v>
      </c>
    </row>
    <row r="958" spans="1:19" s="3" customFormat="1" hidden="1" x14ac:dyDescent="0.25">
      <c r="A958" s="30">
        <v>34</v>
      </c>
      <c r="B958" s="24">
        <v>42551</v>
      </c>
      <c r="C958" s="1">
        <v>114</v>
      </c>
      <c r="D958" s="1">
        <v>3000031323</v>
      </c>
      <c r="E958" s="18" t="s">
        <v>15</v>
      </c>
      <c r="F958" s="1">
        <v>3079</v>
      </c>
      <c r="G958" s="25">
        <v>42542</v>
      </c>
      <c r="H958" s="25"/>
      <c r="I958" s="25">
        <v>42544</v>
      </c>
      <c r="J958" s="1" t="s">
        <v>8</v>
      </c>
      <c r="K958" s="77">
        <v>27.975000000000001</v>
      </c>
      <c r="L958" s="1">
        <v>27.91</v>
      </c>
      <c r="M958" s="1">
        <f t="shared" si="116"/>
        <v>27.91</v>
      </c>
      <c r="N958" s="7">
        <f t="shared" si="115"/>
        <v>42558</v>
      </c>
      <c r="O958" s="1">
        <v>1482675</v>
      </c>
      <c r="P958" s="38">
        <f t="shared" ref="P958:P989" si="117">(+O958/K958*M958)</f>
        <v>1479230</v>
      </c>
      <c r="Q958" s="178">
        <v>42579</v>
      </c>
      <c r="R958" s="66">
        <v>42583</v>
      </c>
      <c r="S958" s="187">
        <f t="shared" si="112"/>
        <v>25</v>
      </c>
    </row>
    <row r="959" spans="1:19" s="3" customFormat="1" hidden="1" x14ac:dyDescent="0.25">
      <c r="A959" s="30">
        <v>36</v>
      </c>
      <c r="B959" s="24">
        <v>42551</v>
      </c>
      <c r="C959" s="1">
        <v>114</v>
      </c>
      <c r="D959" s="1">
        <v>3000031196</v>
      </c>
      <c r="E959" s="18" t="s">
        <v>15</v>
      </c>
      <c r="F959" s="1">
        <v>3082</v>
      </c>
      <c r="G959" s="25">
        <v>42544</v>
      </c>
      <c r="H959" s="25"/>
      <c r="I959" s="25">
        <v>42546</v>
      </c>
      <c r="J959" s="1" t="s">
        <v>8</v>
      </c>
      <c r="K959" s="77">
        <v>28.324999999999999</v>
      </c>
      <c r="L959" s="1">
        <v>28.28</v>
      </c>
      <c r="M959" s="1">
        <f t="shared" si="116"/>
        <v>28.28</v>
      </c>
      <c r="N959" s="7">
        <f t="shared" si="115"/>
        <v>42560</v>
      </c>
      <c r="O959" s="1">
        <v>1498393</v>
      </c>
      <c r="P959" s="38">
        <f t="shared" si="117"/>
        <v>1496012.4992056489</v>
      </c>
      <c r="Q959" s="178">
        <v>42579</v>
      </c>
      <c r="R959" s="66">
        <v>42583</v>
      </c>
      <c r="S959" s="187">
        <f t="shared" si="112"/>
        <v>23</v>
      </c>
    </row>
    <row r="960" spans="1:19" s="3" customFormat="1" hidden="1" x14ac:dyDescent="0.25">
      <c r="A960" s="30">
        <v>35</v>
      </c>
      <c r="B960" s="24">
        <v>42551</v>
      </c>
      <c r="C960" s="1">
        <v>114</v>
      </c>
      <c r="D960" s="1">
        <v>3000028616</v>
      </c>
      <c r="E960" s="18" t="s">
        <v>28</v>
      </c>
      <c r="F960" s="1">
        <v>571</v>
      </c>
      <c r="G960" s="25">
        <v>42542</v>
      </c>
      <c r="H960" s="25"/>
      <c r="I960" s="25">
        <v>42544</v>
      </c>
      <c r="J960" s="1" t="s">
        <v>8</v>
      </c>
      <c r="K960" s="77">
        <v>27.23</v>
      </c>
      <c r="L960" s="1">
        <v>27.23</v>
      </c>
      <c r="M960" s="1">
        <f t="shared" si="116"/>
        <v>27.23</v>
      </c>
      <c r="N960" s="7">
        <f t="shared" si="115"/>
        <v>42558</v>
      </c>
      <c r="O960" s="1">
        <v>1222627</v>
      </c>
      <c r="P960" s="38">
        <f t="shared" si="117"/>
        <v>1222627</v>
      </c>
      <c r="Q960" s="178">
        <v>42579</v>
      </c>
      <c r="R960" s="66">
        <v>42583</v>
      </c>
      <c r="S960" s="187">
        <f t="shared" si="112"/>
        <v>25</v>
      </c>
    </row>
    <row r="961" spans="1:19" s="3" customFormat="1" hidden="1" x14ac:dyDescent="0.25">
      <c r="A961" s="30">
        <v>37</v>
      </c>
      <c r="B961" s="24">
        <v>42551</v>
      </c>
      <c r="C961" s="1">
        <v>114</v>
      </c>
      <c r="D961" s="1">
        <v>3000030410</v>
      </c>
      <c r="E961" s="18" t="s">
        <v>138</v>
      </c>
      <c r="F961" s="1">
        <v>8994</v>
      </c>
      <c r="G961" s="25">
        <v>42542</v>
      </c>
      <c r="H961" s="25"/>
      <c r="I961" s="25">
        <v>42546</v>
      </c>
      <c r="J961" s="1" t="s">
        <v>8</v>
      </c>
      <c r="K961" s="77">
        <v>7.8</v>
      </c>
      <c r="L961" s="1">
        <v>7.8</v>
      </c>
      <c r="M961" s="1">
        <f t="shared" si="116"/>
        <v>7.8</v>
      </c>
      <c r="N961" s="7">
        <f t="shared" si="115"/>
        <v>42560</v>
      </c>
      <c r="O961" s="1">
        <v>425880</v>
      </c>
      <c r="P961" s="38">
        <f t="shared" si="117"/>
        <v>425880</v>
      </c>
      <c r="Q961" s="178">
        <v>42579</v>
      </c>
      <c r="R961" s="66">
        <v>42583</v>
      </c>
      <c r="S961" s="187">
        <f t="shared" ref="S961:S992" si="118">R961-N961</f>
        <v>23</v>
      </c>
    </row>
    <row r="962" spans="1:19" s="3" customFormat="1" hidden="1" x14ac:dyDescent="0.25">
      <c r="A962" s="30">
        <v>38</v>
      </c>
      <c r="B962" s="24">
        <v>42551</v>
      </c>
      <c r="C962" s="1">
        <v>114</v>
      </c>
      <c r="D962" s="1">
        <v>3000030922</v>
      </c>
      <c r="E962" s="18" t="s">
        <v>138</v>
      </c>
      <c r="F962" s="1">
        <v>8995</v>
      </c>
      <c r="G962" s="25">
        <v>42542</v>
      </c>
      <c r="H962" s="25"/>
      <c r="I962" s="25">
        <v>42546</v>
      </c>
      <c r="J962" s="1" t="s">
        <v>8</v>
      </c>
      <c r="K962" s="77">
        <v>21.86</v>
      </c>
      <c r="L962" s="1">
        <v>21.89</v>
      </c>
      <c r="M962" s="1">
        <f t="shared" si="116"/>
        <v>21.86</v>
      </c>
      <c r="N962" s="7">
        <f t="shared" si="115"/>
        <v>42560</v>
      </c>
      <c r="O962" s="1">
        <v>1158580</v>
      </c>
      <c r="P962" s="38">
        <f t="shared" si="117"/>
        <v>1158580</v>
      </c>
      <c r="Q962" s="178">
        <v>42579</v>
      </c>
      <c r="R962" s="66">
        <v>42583</v>
      </c>
      <c r="S962" s="187">
        <f t="shared" si="118"/>
        <v>23</v>
      </c>
    </row>
    <row r="963" spans="1:19" s="3" customFormat="1" hidden="1" x14ac:dyDescent="0.25">
      <c r="A963" s="30">
        <v>47</v>
      </c>
      <c r="B963" s="24">
        <v>42551</v>
      </c>
      <c r="C963" s="1">
        <v>114</v>
      </c>
      <c r="D963" s="1">
        <v>3000031536</v>
      </c>
      <c r="E963" s="18" t="s">
        <v>169</v>
      </c>
      <c r="F963" s="1">
        <v>76</v>
      </c>
      <c r="G963" s="25">
        <v>42538</v>
      </c>
      <c r="H963" s="25"/>
      <c r="I963" s="25">
        <v>42549</v>
      </c>
      <c r="J963" s="1" t="s">
        <v>61</v>
      </c>
      <c r="K963" s="77">
        <v>16.010000000000002</v>
      </c>
      <c r="L963" s="1">
        <v>15.94</v>
      </c>
      <c r="M963" s="1">
        <f t="shared" si="116"/>
        <v>15.94</v>
      </c>
      <c r="N963" s="7">
        <f>+I963+20-1</f>
        <v>42568</v>
      </c>
      <c r="O963" s="1">
        <v>1344840</v>
      </c>
      <c r="P963" s="26">
        <f t="shared" si="117"/>
        <v>1338959.9999999998</v>
      </c>
      <c r="Q963" s="178">
        <v>42579</v>
      </c>
      <c r="R963" s="66">
        <v>42583</v>
      </c>
      <c r="S963" s="187">
        <f t="shared" si="118"/>
        <v>15</v>
      </c>
    </row>
    <row r="964" spans="1:19" s="3" customFormat="1" hidden="1" x14ac:dyDescent="0.25">
      <c r="A964" s="30">
        <v>48</v>
      </c>
      <c r="B964" s="24">
        <v>42551</v>
      </c>
      <c r="C964" s="1">
        <v>114</v>
      </c>
      <c r="D964" s="1">
        <v>3000031536</v>
      </c>
      <c r="E964" s="18" t="s">
        <v>169</v>
      </c>
      <c r="F964" s="1">
        <v>77</v>
      </c>
      <c r="G964" s="25">
        <v>42538</v>
      </c>
      <c r="H964" s="25"/>
      <c r="I964" s="25">
        <v>42549</v>
      </c>
      <c r="J964" s="1" t="s">
        <v>61</v>
      </c>
      <c r="K964" s="77">
        <v>16.11</v>
      </c>
      <c r="L964" s="1">
        <v>16.100000000000001</v>
      </c>
      <c r="M964" s="1">
        <f t="shared" si="116"/>
        <v>16.100000000000001</v>
      </c>
      <c r="N964" s="7">
        <f>+I964+20-1</f>
        <v>42568</v>
      </c>
      <c r="O964" s="1">
        <v>1353240</v>
      </c>
      <c r="P964" s="26">
        <f t="shared" si="117"/>
        <v>1352400.0000000002</v>
      </c>
      <c r="Q964" s="178">
        <v>42579</v>
      </c>
      <c r="R964" s="66">
        <v>42583</v>
      </c>
      <c r="S964" s="187">
        <f t="shared" si="118"/>
        <v>15</v>
      </c>
    </row>
    <row r="965" spans="1:19" s="3" customFormat="1" hidden="1" x14ac:dyDescent="0.25">
      <c r="A965" s="30">
        <v>82</v>
      </c>
      <c r="B965" s="24">
        <v>42557</v>
      </c>
      <c r="C965" s="1">
        <v>103</v>
      </c>
      <c r="D965" s="1">
        <v>3000031725</v>
      </c>
      <c r="E965" s="18" t="s">
        <v>169</v>
      </c>
      <c r="F965" s="18">
        <v>93</v>
      </c>
      <c r="G965" s="25">
        <v>42546</v>
      </c>
      <c r="H965" s="25"/>
      <c r="I965" s="25">
        <v>42550</v>
      </c>
      <c r="J965" s="1" t="s">
        <v>61</v>
      </c>
      <c r="K965" s="77">
        <v>24.58</v>
      </c>
      <c r="L965" s="1">
        <v>24.56</v>
      </c>
      <c r="M965" s="1">
        <f t="shared" si="116"/>
        <v>24.56</v>
      </c>
      <c r="N965" s="7">
        <f>+I965+20-1</f>
        <v>42569</v>
      </c>
      <c r="O965" s="1">
        <v>2003270</v>
      </c>
      <c r="P965" s="26">
        <f t="shared" si="117"/>
        <v>2001640</v>
      </c>
      <c r="Q965" s="178">
        <v>42579</v>
      </c>
      <c r="R965" s="66">
        <v>42583</v>
      </c>
      <c r="S965" s="187">
        <f t="shared" si="118"/>
        <v>14</v>
      </c>
    </row>
    <row r="966" spans="1:19" s="3" customFormat="1" hidden="1" x14ac:dyDescent="0.25">
      <c r="A966" s="30">
        <v>83</v>
      </c>
      <c r="B966" s="24">
        <v>42557</v>
      </c>
      <c r="C966" s="1">
        <v>103</v>
      </c>
      <c r="D966" s="1">
        <v>3000031725</v>
      </c>
      <c r="E966" s="18" t="s">
        <v>169</v>
      </c>
      <c r="F966" s="18">
        <v>94</v>
      </c>
      <c r="G966" s="25">
        <v>42546</v>
      </c>
      <c r="H966" s="25"/>
      <c r="I966" s="25">
        <v>42550</v>
      </c>
      <c r="J966" s="1" t="s">
        <v>61</v>
      </c>
      <c r="K966" s="77">
        <v>20.37</v>
      </c>
      <c r="L966" s="1">
        <v>20.350000000000001</v>
      </c>
      <c r="M966" s="1">
        <f t="shared" si="116"/>
        <v>20.350000000000001</v>
      </c>
      <c r="N966" s="7">
        <f>+I966+20-1</f>
        <v>42569</v>
      </c>
      <c r="O966" s="1">
        <v>1660155</v>
      </c>
      <c r="P966" s="26">
        <f t="shared" si="117"/>
        <v>1658525</v>
      </c>
      <c r="Q966" s="178">
        <v>42579</v>
      </c>
      <c r="R966" s="66">
        <v>42583</v>
      </c>
      <c r="S966" s="187">
        <f t="shared" si="118"/>
        <v>14</v>
      </c>
    </row>
    <row r="967" spans="1:19" s="3" customFormat="1" hidden="1" x14ac:dyDescent="0.25">
      <c r="A967" s="30">
        <v>92</v>
      </c>
      <c r="B967" s="24">
        <v>42557</v>
      </c>
      <c r="C967" s="1">
        <v>103</v>
      </c>
      <c r="D967" s="1">
        <v>3000031725</v>
      </c>
      <c r="E967" s="18" t="s">
        <v>169</v>
      </c>
      <c r="F967" s="1">
        <v>96</v>
      </c>
      <c r="G967" s="25">
        <v>42548</v>
      </c>
      <c r="H967" s="25"/>
      <c r="I967" s="25">
        <v>42552</v>
      </c>
      <c r="J967" s="1" t="s">
        <v>61</v>
      </c>
      <c r="K967" s="77">
        <v>16.170000000000002</v>
      </c>
      <c r="L967" s="1">
        <v>16.13</v>
      </c>
      <c r="M967" s="1">
        <f t="shared" si="116"/>
        <v>16.13</v>
      </c>
      <c r="N967" s="7">
        <f>+I967+20-1</f>
        <v>42571</v>
      </c>
      <c r="O967" s="1">
        <v>1317855</v>
      </c>
      <c r="P967" s="26">
        <f t="shared" si="117"/>
        <v>1314594.9999999998</v>
      </c>
      <c r="Q967" s="178">
        <v>42579</v>
      </c>
      <c r="R967" s="66">
        <v>42583</v>
      </c>
      <c r="S967" s="187">
        <f t="shared" si="118"/>
        <v>12</v>
      </c>
    </row>
    <row r="968" spans="1:19" s="3" customFormat="1" hidden="1" x14ac:dyDescent="0.25">
      <c r="A968" s="30">
        <v>63</v>
      </c>
      <c r="B968" s="24">
        <v>42557</v>
      </c>
      <c r="C968" s="1">
        <v>114</v>
      </c>
      <c r="D968" s="1">
        <v>3000031194</v>
      </c>
      <c r="E968" s="18" t="s">
        <v>18</v>
      </c>
      <c r="F968" s="16">
        <v>36</v>
      </c>
      <c r="G968" s="25">
        <v>42548</v>
      </c>
      <c r="H968" s="25"/>
      <c r="I968" s="25">
        <v>42554</v>
      </c>
      <c r="J968" s="1" t="s">
        <v>8</v>
      </c>
      <c r="K968" s="77">
        <v>4.6050000000000004</v>
      </c>
      <c r="L968" s="1">
        <v>4.6050000000000004</v>
      </c>
      <c r="M968" s="1">
        <f t="shared" si="116"/>
        <v>4.6050000000000004</v>
      </c>
      <c r="N968" s="7">
        <f>+I968+15-1</f>
        <v>42568</v>
      </c>
      <c r="O968" s="1">
        <v>243605</v>
      </c>
      <c r="P968" s="38">
        <f t="shared" si="117"/>
        <v>243605</v>
      </c>
      <c r="Q968" s="178">
        <v>42579</v>
      </c>
      <c r="R968" s="66">
        <v>42583</v>
      </c>
      <c r="S968" s="187">
        <f t="shared" si="118"/>
        <v>15</v>
      </c>
    </row>
    <row r="969" spans="1:19" s="3" customFormat="1" hidden="1" x14ac:dyDescent="0.25">
      <c r="A969" s="30">
        <v>64</v>
      </c>
      <c r="B969" s="24">
        <v>42557</v>
      </c>
      <c r="C969" s="1">
        <v>114</v>
      </c>
      <c r="D969" s="1">
        <v>3000031328</v>
      </c>
      <c r="E969" s="18" t="s">
        <v>18</v>
      </c>
      <c r="F969" s="16">
        <v>36</v>
      </c>
      <c r="G969" s="25">
        <v>42548</v>
      </c>
      <c r="H969" s="25"/>
      <c r="I969" s="25">
        <v>42554</v>
      </c>
      <c r="J969" s="1" t="s">
        <v>8</v>
      </c>
      <c r="K969" s="77">
        <v>23.065000000000001</v>
      </c>
      <c r="L969" s="1">
        <v>22.965</v>
      </c>
      <c r="M969" s="1">
        <f t="shared" si="116"/>
        <v>22.965</v>
      </c>
      <c r="N969" s="7">
        <f>+I969+15-1</f>
        <v>42568</v>
      </c>
      <c r="O969" s="1">
        <v>1222445</v>
      </c>
      <c r="P969" s="38">
        <f t="shared" si="117"/>
        <v>1217145</v>
      </c>
      <c r="Q969" s="178">
        <v>42579</v>
      </c>
      <c r="R969" s="66">
        <v>42583</v>
      </c>
      <c r="S969" s="187">
        <f t="shared" si="118"/>
        <v>15</v>
      </c>
    </row>
    <row r="970" spans="1:19" s="3" customFormat="1" hidden="1" x14ac:dyDescent="0.25">
      <c r="A970" s="30">
        <v>70</v>
      </c>
      <c r="B970" s="24">
        <v>42557</v>
      </c>
      <c r="C970" s="1">
        <v>103</v>
      </c>
      <c r="D970" s="1">
        <v>3000030955</v>
      </c>
      <c r="E970" s="18" t="s">
        <v>60</v>
      </c>
      <c r="F970" s="16">
        <v>279</v>
      </c>
      <c r="G970" s="25">
        <v>42540</v>
      </c>
      <c r="H970" s="25"/>
      <c r="I970" s="25">
        <v>42550</v>
      </c>
      <c r="J970" s="1" t="s">
        <v>61</v>
      </c>
      <c r="K970" s="77">
        <v>4.88</v>
      </c>
      <c r="L970" s="1">
        <v>4.82</v>
      </c>
      <c r="M970" s="1">
        <f t="shared" si="116"/>
        <v>4.82</v>
      </c>
      <c r="N970" s="7">
        <f t="shared" ref="N970:N979" si="119">+I970+20-1</f>
        <v>42569</v>
      </c>
      <c r="O970" s="1">
        <v>387954.14</v>
      </c>
      <c r="P970" s="38">
        <f t="shared" si="117"/>
        <v>383184.21204918035</v>
      </c>
      <c r="Q970" s="178">
        <v>42579</v>
      </c>
      <c r="R970" s="66">
        <v>42583</v>
      </c>
      <c r="S970" s="187">
        <f t="shared" si="118"/>
        <v>14</v>
      </c>
    </row>
    <row r="971" spans="1:19" s="3" customFormat="1" hidden="1" x14ac:dyDescent="0.25">
      <c r="A971" s="30">
        <v>71</v>
      </c>
      <c r="B971" s="24">
        <v>42557</v>
      </c>
      <c r="C971" s="1">
        <v>103</v>
      </c>
      <c r="D971" s="1">
        <v>3000031311</v>
      </c>
      <c r="E971" s="18" t="s">
        <v>60</v>
      </c>
      <c r="F971" s="16">
        <v>279</v>
      </c>
      <c r="G971" s="25">
        <v>42540</v>
      </c>
      <c r="H971" s="25"/>
      <c r="I971" s="25">
        <v>42550</v>
      </c>
      <c r="J971" s="1" t="s">
        <v>61</v>
      </c>
      <c r="K971" s="77">
        <v>15.59</v>
      </c>
      <c r="L971" s="1">
        <v>15.59</v>
      </c>
      <c r="M971" s="1">
        <f t="shared" si="116"/>
        <v>15.59</v>
      </c>
      <c r="N971" s="7">
        <f t="shared" si="119"/>
        <v>42569</v>
      </c>
      <c r="O971" s="1">
        <v>1233184.5900000001</v>
      </c>
      <c r="P971" s="38">
        <f t="shared" si="117"/>
        <v>1233184.5900000001</v>
      </c>
      <c r="Q971" s="178">
        <v>42579</v>
      </c>
      <c r="R971" s="66">
        <v>42583</v>
      </c>
      <c r="S971" s="187">
        <f t="shared" si="118"/>
        <v>14</v>
      </c>
    </row>
    <row r="972" spans="1:19" s="3" customFormat="1" hidden="1" x14ac:dyDescent="0.25">
      <c r="A972" s="30">
        <v>72</v>
      </c>
      <c r="B972" s="24">
        <v>42557</v>
      </c>
      <c r="C972" s="1">
        <v>103</v>
      </c>
      <c r="D972" s="1">
        <v>3000031311</v>
      </c>
      <c r="E972" s="18" t="s">
        <v>60</v>
      </c>
      <c r="F972" s="1">
        <v>280</v>
      </c>
      <c r="G972" s="25">
        <v>42540</v>
      </c>
      <c r="H972" s="25"/>
      <c r="I972" s="25">
        <v>42550</v>
      </c>
      <c r="J972" s="1" t="s">
        <v>61</v>
      </c>
      <c r="K972" s="77">
        <v>16.100000000000001</v>
      </c>
      <c r="L972" s="1">
        <v>16.05</v>
      </c>
      <c r="M972" s="1">
        <f t="shared" si="116"/>
        <v>16.05</v>
      </c>
      <c r="N972" s="7">
        <f t="shared" si="119"/>
        <v>42569</v>
      </c>
      <c r="O972" s="1">
        <v>1273526</v>
      </c>
      <c r="P972" s="38">
        <f t="shared" si="117"/>
        <v>1269570.9503105588</v>
      </c>
      <c r="Q972" s="178">
        <v>42579</v>
      </c>
      <c r="R972" s="66">
        <v>42583</v>
      </c>
      <c r="S972" s="187">
        <f t="shared" si="118"/>
        <v>14</v>
      </c>
    </row>
    <row r="973" spans="1:19" s="3" customFormat="1" hidden="1" x14ac:dyDescent="0.25">
      <c r="A973" s="30">
        <v>73</v>
      </c>
      <c r="B973" s="24">
        <v>42557</v>
      </c>
      <c r="C973" s="1">
        <v>103</v>
      </c>
      <c r="D973" s="1">
        <v>3000031311</v>
      </c>
      <c r="E973" s="18" t="s">
        <v>60</v>
      </c>
      <c r="F973" s="1">
        <v>286</v>
      </c>
      <c r="G973" s="25">
        <v>42542</v>
      </c>
      <c r="H973" s="25"/>
      <c r="I973" s="25">
        <v>42550</v>
      </c>
      <c r="J973" s="1" t="s">
        <v>61</v>
      </c>
      <c r="K973" s="77">
        <v>16.27</v>
      </c>
      <c r="L973" s="1">
        <v>16.25</v>
      </c>
      <c r="M973" s="1">
        <f t="shared" si="116"/>
        <v>16.25</v>
      </c>
      <c r="N973" s="7">
        <f t="shared" si="119"/>
        <v>42569</v>
      </c>
      <c r="O973" s="1">
        <v>1286974</v>
      </c>
      <c r="P973" s="38">
        <f t="shared" si="117"/>
        <v>1285391.9791026427</v>
      </c>
      <c r="Q973" s="178">
        <v>42579</v>
      </c>
      <c r="R973" s="66">
        <v>42583</v>
      </c>
      <c r="S973" s="187">
        <f t="shared" si="118"/>
        <v>14</v>
      </c>
    </row>
    <row r="974" spans="1:19" s="3" customFormat="1" hidden="1" x14ac:dyDescent="0.25">
      <c r="A974" s="30">
        <v>74</v>
      </c>
      <c r="B974" s="24">
        <v>42557</v>
      </c>
      <c r="C974" s="1">
        <v>103</v>
      </c>
      <c r="D974" s="1">
        <v>3000031311</v>
      </c>
      <c r="E974" s="18" t="s">
        <v>60</v>
      </c>
      <c r="F974" s="1">
        <v>287</v>
      </c>
      <c r="G974" s="25">
        <v>42542</v>
      </c>
      <c r="H974" s="25"/>
      <c r="I974" s="25">
        <v>42550</v>
      </c>
      <c r="J974" s="1" t="s">
        <v>61</v>
      </c>
      <c r="K974" s="77">
        <v>15.89</v>
      </c>
      <c r="L974" s="1">
        <v>15.86</v>
      </c>
      <c r="M974" s="1">
        <f t="shared" si="116"/>
        <v>15.86</v>
      </c>
      <c r="N974" s="7">
        <f t="shared" si="119"/>
        <v>42569</v>
      </c>
      <c r="O974" s="1">
        <v>1256915</v>
      </c>
      <c r="P974" s="38">
        <f t="shared" si="117"/>
        <v>1254541.969792322</v>
      </c>
      <c r="Q974" s="178">
        <v>42579</v>
      </c>
      <c r="R974" s="66">
        <v>42583</v>
      </c>
      <c r="S974" s="187">
        <f t="shared" si="118"/>
        <v>14</v>
      </c>
    </row>
    <row r="975" spans="1:19" s="3" customFormat="1" hidden="1" x14ac:dyDescent="0.25">
      <c r="A975" s="30">
        <v>85</v>
      </c>
      <c r="B975" s="24">
        <v>42557</v>
      </c>
      <c r="C975" s="1">
        <v>103</v>
      </c>
      <c r="D975" s="1">
        <v>3000031694</v>
      </c>
      <c r="E975" s="18" t="s">
        <v>184</v>
      </c>
      <c r="F975" s="1">
        <v>78</v>
      </c>
      <c r="G975" s="25">
        <v>42546</v>
      </c>
      <c r="H975" s="25"/>
      <c r="I975" s="25">
        <v>42550</v>
      </c>
      <c r="J975" s="1" t="s">
        <v>61</v>
      </c>
      <c r="K975" s="77">
        <v>20.09</v>
      </c>
      <c r="L975" s="1">
        <v>20.02</v>
      </c>
      <c r="M975" s="1">
        <f t="shared" si="116"/>
        <v>20.02</v>
      </c>
      <c r="N975" s="7">
        <f t="shared" si="119"/>
        <v>42569</v>
      </c>
      <c r="O975" s="1">
        <v>1607376</v>
      </c>
      <c r="P975" s="38">
        <f t="shared" si="117"/>
        <v>1601775.386759582</v>
      </c>
      <c r="Q975" s="178">
        <v>42579</v>
      </c>
      <c r="R975" s="66">
        <v>42583</v>
      </c>
      <c r="S975" s="187">
        <f t="shared" si="118"/>
        <v>14</v>
      </c>
    </row>
    <row r="976" spans="1:19" s="3" customFormat="1" hidden="1" x14ac:dyDescent="0.25">
      <c r="A976" s="30">
        <v>86</v>
      </c>
      <c r="B976" s="24">
        <v>42557</v>
      </c>
      <c r="C976" s="1">
        <v>103</v>
      </c>
      <c r="D976" s="1">
        <v>3000031698</v>
      </c>
      <c r="E976" s="18" t="s">
        <v>184</v>
      </c>
      <c r="F976" s="1">
        <v>79</v>
      </c>
      <c r="G976" s="25">
        <v>42546</v>
      </c>
      <c r="H976" s="25"/>
      <c r="I976" s="25">
        <v>42550</v>
      </c>
      <c r="J976" s="1" t="s">
        <v>61</v>
      </c>
      <c r="K976" s="77">
        <v>20.29</v>
      </c>
      <c r="L976" s="1">
        <v>20.25</v>
      </c>
      <c r="M976" s="1">
        <f t="shared" si="116"/>
        <v>20.25</v>
      </c>
      <c r="N976" s="7">
        <f t="shared" si="119"/>
        <v>42569</v>
      </c>
      <c r="O976" s="1">
        <v>1653800</v>
      </c>
      <c r="P976" s="38">
        <f t="shared" si="117"/>
        <v>1650539.6747166093</v>
      </c>
      <c r="Q976" s="178">
        <v>42579</v>
      </c>
      <c r="R976" s="66">
        <v>42583</v>
      </c>
      <c r="S976" s="187">
        <f t="shared" si="118"/>
        <v>14</v>
      </c>
    </row>
    <row r="977" spans="1:19" s="3" customFormat="1" hidden="1" x14ac:dyDescent="0.25">
      <c r="A977" s="30">
        <v>97</v>
      </c>
      <c r="B977" s="24">
        <v>42557</v>
      </c>
      <c r="C977" s="1">
        <v>103</v>
      </c>
      <c r="D977" s="1">
        <v>3000031784</v>
      </c>
      <c r="E977" s="18" t="s">
        <v>184</v>
      </c>
      <c r="F977" s="1">
        <v>80</v>
      </c>
      <c r="G977" s="25">
        <v>42548</v>
      </c>
      <c r="H977" s="25"/>
      <c r="I977" s="25">
        <v>42553</v>
      </c>
      <c r="J977" s="1" t="s">
        <v>61</v>
      </c>
      <c r="K977" s="77">
        <v>16.14</v>
      </c>
      <c r="L977" s="1">
        <v>16.09</v>
      </c>
      <c r="M977" s="1">
        <f t="shared" si="116"/>
        <v>16.09</v>
      </c>
      <c r="N977" s="7">
        <f t="shared" si="119"/>
        <v>42572</v>
      </c>
      <c r="O977" s="1">
        <v>1315541</v>
      </c>
      <c r="P977" s="38">
        <f t="shared" si="117"/>
        <v>1311465.5941759604</v>
      </c>
      <c r="Q977" s="178">
        <v>42579</v>
      </c>
      <c r="R977" s="66">
        <v>42583</v>
      </c>
      <c r="S977" s="187">
        <f t="shared" si="118"/>
        <v>11</v>
      </c>
    </row>
    <row r="978" spans="1:19" s="3" customFormat="1" hidden="1" x14ac:dyDescent="0.25">
      <c r="A978" s="30">
        <v>105</v>
      </c>
      <c r="B978" s="24">
        <v>42557</v>
      </c>
      <c r="C978" s="1">
        <v>103</v>
      </c>
      <c r="D978" s="1">
        <v>3000031784</v>
      </c>
      <c r="E978" s="18" t="s">
        <v>184</v>
      </c>
      <c r="F978" s="1">
        <v>81</v>
      </c>
      <c r="G978" s="25">
        <v>42549</v>
      </c>
      <c r="H978" s="25"/>
      <c r="I978" s="25">
        <v>42554</v>
      </c>
      <c r="J978" s="1" t="s">
        <v>61</v>
      </c>
      <c r="K978" s="77">
        <v>23.725000000000001</v>
      </c>
      <c r="L978" s="1">
        <v>23.72</v>
      </c>
      <c r="M978" s="1">
        <f t="shared" si="116"/>
        <v>23.72</v>
      </c>
      <c r="N978" s="7">
        <f t="shared" si="119"/>
        <v>42573</v>
      </c>
      <c r="O978" s="1">
        <v>1933781</v>
      </c>
      <c r="P978" s="38">
        <f t="shared" si="117"/>
        <v>1933373.4592202317</v>
      </c>
      <c r="Q978" s="178">
        <v>42579</v>
      </c>
      <c r="R978" s="66">
        <v>42583</v>
      </c>
      <c r="S978" s="187">
        <f t="shared" si="118"/>
        <v>10</v>
      </c>
    </row>
    <row r="979" spans="1:19" s="3" customFormat="1" hidden="1" x14ac:dyDescent="0.25">
      <c r="A979" s="30">
        <v>98</v>
      </c>
      <c r="B979" s="24">
        <v>42557</v>
      </c>
      <c r="C979" s="1">
        <v>103</v>
      </c>
      <c r="D979" s="1">
        <v>3000031694</v>
      </c>
      <c r="E979" s="18" t="s">
        <v>184</v>
      </c>
      <c r="F979" s="1">
        <v>82</v>
      </c>
      <c r="G979" s="25">
        <v>42549</v>
      </c>
      <c r="H979" s="25"/>
      <c r="I979" s="25">
        <v>42553</v>
      </c>
      <c r="J979" s="1" t="s">
        <v>61</v>
      </c>
      <c r="K979" s="77">
        <v>20.149999999999999</v>
      </c>
      <c r="L979" s="1">
        <v>20.100000000000001</v>
      </c>
      <c r="M979" s="1">
        <f t="shared" si="116"/>
        <v>20.100000000000001</v>
      </c>
      <c r="N979" s="7">
        <f t="shared" si="119"/>
        <v>42572</v>
      </c>
      <c r="O979" s="1">
        <v>1612177</v>
      </c>
      <c r="P979" s="38">
        <f t="shared" si="117"/>
        <v>1608176.5607940448</v>
      </c>
      <c r="Q979" s="178">
        <v>42579</v>
      </c>
      <c r="R979" s="66">
        <v>42583</v>
      </c>
      <c r="S979" s="187">
        <f t="shared" si="118"/>
        <v>11</v>
      </c>
    </row>
    <row r="980" spans="1:19" s="3" customFormat="1" hidden="1" x14ac:dyDescent="0.25">
      <c r="A980" s="30">
        <v>129</v>
      </c>
      <c r="B980" s="24">
        <v>42562</v>
      </c>
      <c r="C980" s="1">
        <v>103</v>
      </c>
      <c r="D980" s="1">
        <v>3000031698</v>
      </c>
      <c r="E980" s="18" t="s">
        <v>184</v>
      </c>
      <c r="F980" s="1">
        <v>84</v>
      </c>
      <c r="G980" s="25">
        <v>42550</v>
      </c>
      <c r="H980" s="25"/>
      <c r="I980" s="25">
        <v>42554</v>
      </c>
      <c r="J980" s="1" t="s">
        <v>61</v>
      </c>
      <c r="K980" s="77">
        <v>19.98</v>
      </c>
      <c r="L980" s="1">
        <v>19.95</v>
      </c>
      <c r="M980" s="1">
        <f t="shared" si="116"/>
        <v>19.95</v>
      </c>
      <c r="N980" s="7">
        <f>+I980+15-1</f>
        <v>42568</v>
      </c>
      <c r="O980" s="1">
        <v>1628533</v>
      </c>
      <c r="P980" s="38">
        <f t="shared" si="117"/>
        <v>1626087.7552552551</v>
      </c>
      <c r="Q980" s="178">
        <v>42579</v>
      </c>
      <c r="R980" s="66">
        <v>42583</v>
      </c>
      <c r="S980" s="187">
        <f t="shared" si="118"/>
        <v>15</v>
      </c>
    </row>
    <row r="981" spans="1:19" s="3" customFormat="1" hidden="1" x14ac:dyDescent="0.25">
      <c r="A981" s="30">
        <v>77</v>
      </c>
      <c r="B981" s="24">
        <v>42557</v>
      </c>
      <c r="C981" s="1">
        <v>103</v>
      </c>
      <c r="D981" s="1">
        <v>3000031643</v>
      </c>
      <c r="E981" s="18" t="s">
        <v>159</v>
      </c>
      <c r="F981" s="1">
        <v>275</v>
      </c>
      <c r="G981" s="25">
        <v>42540</v>
      </c>
      <c r="H981" s="25"/>
      <c r="I981" s="25">
        <v>42550</v>
      </c>
      <c r="J981" s="1" t="s">
        <v>61</v>
      </c>
      <c r="K981" s="77">
        <v>20.45</v>
      </c>
      <c r="L981" s="1">
        <v>20.36</v>
      </c>
      <c r="M981" s="1">
        <f t="shared" si="116"/>
        <v>20.36</v>
      </c>
      <c r="N981" s="7">
        <f t="shared" ref="N981:N988" si="120">+I981+20-1</f>
        <v>42569</v>
      </c>
      <c r="O981" s="1">
        <v>1666676</v>
      </c>
      <c r="P981" s="38">
        <f t="shared" si="117"/>
        <v>1659340.9955990221</v>
      </c>
      <c r="Q981" s="178">
        <v>42579</v>
      </c>
      <c r="R981" s="66">
        <v>42583</v>
      </c>
      <c r="S981" s="187">
        <f t="shared" si="118"/>
        <v>14</v>
      </c>
    </row>
    <row r="982" spans="1:19" s="3" customFormat="1" hidden="1" x14ac:dyDescent="0.25">
      <c r="A982" s="30">
        <v>78</v>
      </c>
      <c r="B982" s="24">
        <v>42557</v>
      </c>
      <c r="C982" s="1">
        <v>103</v>
      </c>
      <c r="D982" s="1">
        <v>3000031643</v>
      </c>
      <c r="E982" s="18" t="s">
        <v>159</v>
      </c>
      <c r="F982" s="1">
        <v>276</v>
      </c>
      <c r="G982" s="25">
        <v>42540</v>
      </c>
      <c r="H982" s="25"/>
      <c r="I982" s="25">
        <v>42550</v>
      </c>
      <c r="J982" s="1" t="s">
        <v>61</v>
      </c>
      <c r="K982" s="77">
        <v>20.37</v>
      </c>
      <c r="L982" s="1">
        <v>20.27</v>
      </c>
      <c r="M982" s="1">
        <f t="shared" si="116"/>
        <v>20.27</v>
      </c>
      <c r="N982" s="7">
        <f t="shared" si="120"/>
        <v>42569</v>
      </c>
      <c r="O982" s="1">
        <v>1660156</v>
      </c>
      <c r="P982" s="38">
        <f t="shared" si="117"/>
        <v>1652005.9950908197</v>
      </c>
      <c r="Q982" s="178">
        <v>42579</v>
      </c>
      <c r="R982" s="66">
        <v>42583</v>
      </c>
      <c r="S982" s="187">
        <f t="shared" si="118"/>
        <v>14</v>
      </c>
    </row>
    <row r="983" spans="1:19" s="3" customFormat="1" hidden="1" x14ac:dyDescent="0.25">
      <c r="A983" s="30">
        <v>79</v>
      </c>
      <c r="B983" s="24">
        <v>42557</v>
      </c>
      <c r="C983" s="1">
        <v>103</v>
      </c>
      <c r="D983" s="1">
        <v>3000031794</v>
      </c>
      <c r="E983" s="18" t="s">
        <v>159</v>
      </c>
      <c r="F983" s="1">
        <v>288</v>
      </c>
      <c r="G983" s="25">
        <v>42543</v>
      </c>
      <c r="H983" s="25"/>
      <c r="I983" s="25">
        <v>42550</v>
      </c>
      <c r="J983" s="1" t="s">
        <v>61</v>
      </c>
      <c r="K983" s="77">
        <v>16.309999999999999</v>
      </c>
      <c r="L983" s="1">
        <v>16.27</v>
      </c>
      <c r="M983" s="1">
        <f t="shared" si="116"/>
        <v>16.27</v>
      </c>
      <c r="N983" s="7">
        <f t="shared" si="120"/>
        <v>42569</v>
      </c>
      <c r="O983" s="1">
        <v>1329266</v>
      </c>
      <c r="P983" s="38">
        <f t="shared" si="117"/>
        <v>1326005.9975475168</v>
      </c>
      <c r="Q983" s="178">
        <v>42579</v>
      </c>
      <c r="R983" s="66">
        <v>42583</v>
      </c>
      <c r="S983" s="187">
        <f t="shared" si="118"/>
        <v>14</v>
      </c>
    </row>
    <row r="984" spans="1:19" s="3" customFormat="1" hidden="1" x14ac:dyDescent="0.25">
      <c r="A984" s="30">
        <v>80</v>
      </c>
      <c r="B984" s="24">
        <v>42557</v>
      </c>
      <c r="C984" s="1">
        <v>103</v>
      </c>
      <c r="D984" s="1">
        <v>3000031636</v>
      </c>
      <c r="E984" s="18" t="s">
        <v>202</v>
      </c>
      <c r="F984" s="1">
        <v>64</v>
      </c>
      <c r="G984" s="25">
        <v>42543</v>
      </c>
      <c r="H984" s="25"/>
      <c r="I984" s="25">
        <v>42550</v>
      </c>
      <c r="J984" s="1" t="s">
        <v>61</v>
      </c>
      <c r="K984" s="77">
        <v>16.09</v>
      </c>
      <c r="L984" s="1">
        <v>16.09</v>
      </c>
      <c r="M984" s="1">
        <f t="shared" si="116"/>
        <v>16.09</v>
      </c>
      <c r="N984" s="7">
        <f t="shared" si="120"/>
        <v>42569</v>
      </c>
      <c r="O984" s="1">
        <v>1287200</v>
      </c>
      <c r="P984" s="38">
        <f t="shared" si="117"/>
        <v>1287200</v>
      </c>
      <c r="Q984" s="178">
        <v>42579</v>
      </c>
      <c r="R984" s="66">
        <v>42583</v>
      </c>
      <c r="S984" s="187">
        <f t="shared" si="118"/>
        <v>14</v>
      </c>
    </row>
    <row r="985" spans="1:19" s="3" customFormat="1" hidden="1" x14ac:dyDescent="0.25">
      <c r="A985" s="30">
        <v>81</v>
      </c>
      <c r="B985" s="24">
        <v>42557</v>
      </c>
      <c r="C985" s="1">
        <v>103</v>
      </c>
      <c r="D985" s="1">
        <v>3000031636</v>
      </c>
      <c r="E985" s="18" t="s">
        <v>202</v>
      </c>
      <c r="F985" s="1">
        <v>69</v>
      </c>
      <c r="G985" s="25">
        <v>42545</v>
      </c>
      <c r="H985" s="25"/>
      <c r="I985" s="25">
        <v>42550</v>
      </c>
      <c r="J985" s="1" t="s">
        <v>61</v>
      </c>
      <c r="K985" s="77">
        <v>20.16</v>
      </c>
      <c r="L985" s="1">
        <v>20.13</v>
      </c>
      <c r="M985" s="1">
        <f t="shared" si="116"/>
        <v>20.13</v>
      </c>
      <c r="N985" s="7">
        <f t="shared" si="120"/>
        <v>42569</v>
      </c>
      <c r="O985" s="1">
        <v>1612800</v>
      </c>
      <c r="P985" s="38">
        <f t="shared" si="117"/>
        <v>1610400</v>
      </c>
      <c r="Q985" s="178">
        <v>42579</v>
      </c>
      <c r="R985" s="66">
        <v>42583</v>
      </c>
      <c r="S985" s="187">
        <f t="shared" si="118"/>
        <v>14</v>
      </c>
    </row>
    <row r="986" spans="1:19" s="3" customFormat="1" hidden="1" x14ac:dyDescent="0.25">
      <c r="A986" s="30">
        <v>94</v>
      </c>
      <c r="B986" s="24">
        <v>42557</v>
      </c>
      <c r="C986" s="1">
        <v>103</v>
      </c>
      <c r="D986" s="1">
        <v>3000031404</v>
      </c>
      <c r="E986" s="18" t="s">
        <v>158</v>
      </c>
      <c r="F986" s="1">
        <v>38</v>
      </c>
      <c r="G986" s="25">
        <v>42546</v>
      </c>
      <c r="H986" s="25"/>
      <c r="I986" s="25">
        <v>42553</v>
      </c>
      <c r="J986" s="1" t="s">
        <v>61</v>
      </c>
      <c r="K986" s="77">
        <v>24.98</v>
      </c>
      <c r="L986" s="1">
        <v>24.94</v>
      </c>
      <c r="M986" s="1">
        <f t="shared" si="116"/>
        <v>24.94</v>
      </c>
      <c r="N986" s="7">
        <f t="shared" si="120"/>
        <v>42572</v>
      </c>
      <c r="O986" s="1">
        <v>1998400</v>
      </c>
      <c r="P986" s="38">
        <f t="shared" si="117"/>
        <v>1995200</v>
      </c>
      <c r="Q986" s="178">
        <v>42579</v>
      </c>
      <c r="R986" s="66">
        <v>42583</v>
      </c>
      <c r="S986" s="187">
        <f t="shared" si="118"/>
        <v>11</v>
      </c>
    </row>
    <row r="987" spans="1:19" s="3" customFormat="1" hidden="1" x14ac:dyDescent="0.25">
      <c r="A987" s="30">
        <v>102</v>
      </c>
      <c r="B987" s="24">
        <v>42557</v>
      </c>
      <c r="C987" s="1">
        <v>103</v>
      </c>
      <c r="D987" s="1">
        <v>3000031404</v>
      </c>
      <c r="E987" s="18" t="s">
        <v>158</v>
      </c>
      <c r="F987" s="16">
        <v>39</v>
      </c>
      <c r="G987" s="25">
        <v>42549</v>
      </c>
      <c r="H987" s="25"/>
      <c r="I987" s="25">
        <v>42553</v>
      </c>
      <c r="J987" s="1" t="s">
        <v>61</v>
      </c>
      <c r="K987" s="77">
        <v>6.16</v>
      </c>
      <c r="L987" s="1">
        <v>6.13</v>
      </c>
      <c r="M987" s="1">
        <f t="shared" si="116"/>
        <v>6.13</v>
      </c>
      <c r="N987" s="7">
        <f t="shared" si="120"/>
        <v>42572</v>
      </c>
      <c r="O987" s="1">
        <v>492793.84</v>
      </c>
      <c r="P987" s="38">
        <f t="shared" si="117"/>
        <v>490393.87</v>
      </c>
      <c r="Q987" s="178">
        <v>42579</v>
      </c>
      <c r="R987" s="66">
        <v>42583</v>
      </c>
      <c r="S987" s="187">
        <f t="shared" si="118"/>
        <v>11</v>
      </c>
    </row>
    <row r="988" spans="1:19" s="3" customFormat="1" hidden="1" x14ac:dyDescent="0.25">
      <c r="A988" s="30">
        <v>103</v>
      </c>
      <c r="B988" s="24">
        <v>42557</v>
      </c>
      <c r="C988" s="1">
        <v>103</v>
      </c>
      <c r="D988" s="1">
        <v>3000031639</v>
      </c>
      <c r="E988" s="18" t="s">
        <v>158</v>
      </c>
      <c r="F988" s="16">
        <v>39</v>
      </c>
      <c r="G988" s="25">
        <v>42549</v>
      </c>
      <c r="H988" s="25"/>
      <c r="I988" s="25">
        <v>42553</v>
      </c>
      <c r="J988" s="1" t="s">
        <v>61</v>
      </c>
      <c r="K988" s="77">
        <v>10.02</v>
      </c>
      <c r="L988" s="1">
        <v>10.02</v>
      </c>
      <c r="M988" s="1">
        <f t="shared" si="116"/>
        <v>10.02</v>
      </c>
      <c r="N988" s="7">
        <f t="shared" si="120"/>
        <v>42572</v>
      </c>
      <c r="O988" s="1">
        <v>816609.96</v>
      </c>
      <c r="P988" s="38">
        <f t="shared" si="117"/>
        <v>816609.96</v>
      </c>
      <c r="Q988" s="178">
        <v>42579</v>
      </c>
      <c r="R988" s="66">
        <v>42583</v>
      </c>
      <c r="S988" s="187">
        <f t="shared" si="118"/>
        <v>11</v>
      </c>
    </row>
    <row r="989" spans="1:19" s="3" customFormat="1" hidden="1" x14ac:dyDescent="0.25">
      <c r="A989" s="30">
        <v>201</v>
      </c>
      <c r="B989" s="24">
        <v>42569</v>
      </c>
      <c r="C989" s="1">
        <v>103</v>
      </c>
      <c r="D989" s="1">
        <v>3000032056</v>
      </c>
      <c r="E989" s="18" t="s">
        <v>225</v>
      </c>
      <c r="F989" s="1">
        <v>55</v>
      </c>
      <c r="G989" s="25">
        <v>42558</v>
      </c>
      <c r="H989" s="25"/>
      <c r="I989" s="25">
        <v>42562</v>
      </c>
      <c r="J989" s="1" t="s">
        <v>61</v>
      </c>
      <c r="K989" s="77">
        <v>20.440000000000001</v>
      </c>
      <c r="L989" s="1">
        <v>20.39</v>
      </c>
      <c r="M989" s="1">
        <f t="shared" si="116"/>
        <v>20.39</v>
      </c>
      <c r="N989" s="7">
        <f>+I989+10-1</f>
        <v>42571</v>
      </c>
      <c r="O989" s="1">
        <v>1620892</v>
      </c>
      <c r="P989" s="38">
        <f t="shared" si="117"/>
        <v>1616927</v>
      </c>
      <c r="Q989" s="178">
        <v>42579</v>
      </c>
      <c r="R989" s="66">
        <v>42583</v>
      </c>
      <c r="S989" s="187">
        <f t="shared" si="118"/>
        <v>12</v>
      </c>
    </row>
    <row r="990" spans="1:19" s="3" customFormat="1" hidden="1" x14ac:dyDescent="0.25">
      <c r="A990" s="30">
        <v>95</v>
      </c>
      <c r="B990" s="24">
        <v>42557</v>
      </c>
      <c r="C990" s="1">
        <v>103</v>
      </c>
      <c r="D990" s="1">
        <v>3000030956</v>
      </c>
      <c r="E990" s="18" t="s">
        <v>145</v>
      </c>
      <c r="F990" s="1">
        <v>31</v>
      </c>
      <c r="G990" s="25">
        <v>42546</v>
      </c>
      <c r="H990" s="25"/>
      <c r="I990" s="25">
        <v>42553</v>
      </c>
      <c r="J990" s="1" t="s">
        <v>61</v>
      </c>
      <c r="K990" s="77">
        <v>15.88</v>
      </c>
      <c r="L990" s="1">
        <v>15.87</v>
      </c>
      <c r="M990" s="1">
        <f t="shared" si="116"/>
        <v>15.87</v>
      </c>
      <c r="N990" s="7">
        <f t="shared" ref="N990:N1001" si="121">+I990+20-1</f>
        <v>42572</v>
      </c>
      <c r="O990" s="1">
        <v>1262603</v>
      </c>
      <c r="P990" s="38">
        <f t="shared" ref="P990:P1007" si="122">(+O990/K990*M990)</f>
        <v>1261807.9099496219</v>
      </c>
      <c r="Q990" s="178">
        <v>42579</v>
      </c>
      <c r="R990" s="66">
        <v>42583</v>
      </c>
      <c r="S990" s="187">
        <f t="shared" si="118"/>
        <v>11</v>
      </c>
    </row>
    <row r="991" spans="1:19" s="3" customFormat="1" hidden="1" x14ac:dyDescent="0.25">
      <c r="A991" s="30">
        <v>142</v>
      </c>
      <c r="B991" s="24">
        <v>42562</v>
      </c>
      <c r="C991" s="1">
        <v>103</v>
      </c>
      <c r="D991" s="1">
        <v>3000030956</v>
      </c>
      <c r="E991" s="18" t="s">
        <v>145</v>
      </c>
      <c r="F991" s="1">
        <v>32</v>
      </c>
      <c r="G991" s="25">
        <v>42547</v>
      </c>
      <c r="H991" s="25"/>
      <c r="I991" s="25">
        <v>42554</v>
      </c>
      <c r="J991" s="1" t="s">
        <v>61</v>
      </c>
      <c r="K991" s="77">
        <v>16.28</v>
      </c>
      <c r="L991" s="1">
        <v>16.25</v>
      </c>
      <c r="M991" s="1">
        <f t="shared" si="116"/>
        <v>16.25</v>
      </c>
      <c r="N991" s="7">
        <f t="shared" si="121"/>
        <v>42573</v>
      </c>
      <c r="O991" s="1">
        <v>1294407</v>
      </c>
      <c r="P991" s="38">
        <f t="shared" si="122"/>
        <v>1292021.7291154792</v>
      </c>
      <c r="Q991" s="178">
        <v>42579</v>
      </c>
      <c r="R991" s="66">
        <v>42583</v>
      </c>
      <c r="S991" s="187">
        <f t="shared" si="118"/>
        <v>10</v>
      </c>
    </row>
    <row r="992" spans="1:19" s="3" customFormat="1" hidden="1" x14ac:dyDescent="0.25">
      <c r="A992" s="30">
        <v>96</v>
      </c>
      <c r="B992" s="24">
        <v>42557</v>
      </c>
      <c r="C992" s="1">
        <v>103</v>
      </c>
      <c r="D992" s="1">
        <v>3000032107</v>
      </c>
      <c r="E992" s="18" t="s">
        <v>199</v>
      </c>
      <c r="F992" s="1">
        <v>5719</v>
      </c>
      <c r="G992" s="25">
        <v>42551</v>
      </c>
      <c r="H992" s="25"/>
      <c r="I992" s="25">
        <v>42553</v>
      </c>
      <c r="J992" s="1" t="s">
        <v>61</v>
      </c>
      <c r="K992" s="77">
        <v>20.175000000000001</v>
      </c>
      <c r="L992" s="1">
        <v>20.13</v>
      </c>
      <c r="M992" s="1">
        <f t="shared" si="116"/>
        <v>20.13</v>
      </c>
      <c r="N992" s="7">
        <f t="shared" si="121"/>
        <v>42572</v>
      </c>
      <c r="O992" s="1">
        <v>1692128</v>
      </c>
      <c r="P992" s="38">
        <f t="shared" si="122"/>
        <v>1688353.7368029738</v>
      </c>
      <c r="Q992" s="178">
        <v>42579</v>
      </c>
      <c r="R992" s="66">
        <v>42583</v>
      </c>
      <c r="S992" s="187">
        <f t="shared" si="118"/>
        <v>11</v>
      </c>
    </row>
    <row r="993" spans="1:19" s="3" customFormat="1" hidden="1" x14ac:dyDescent="0.25">
      <c r="A993" s="30">
        <v>101</v>
      </c>
      <c r="B993" s="24">
        <v>42557</v>
      </c>
      <c r="C993" s="1">
        <v>103</v>
      </c>
      <c r="D993" s="1">
        <v>3000031829</v>
      </c>
      <c r="E993" s="18" t="s">
        <v>201</v>
      </c>
      <c r="F993" s="1">
        <v>66</v>
      </c>
      <c r="G993" s="25">
        <v>42549</v>
      </c>
      <c r="H993" s="25"/>
      <c r="I993" s="25">
        <v>42553</v>
      </c>
      <c r="J993" s="1" t="s">
        <v>61</v>
      </c>
      <c r="K993" s="77">
        <v>20.41</v>
      </c>
      <c r="L993" s="1">
        <v>20.350000000000001</v>
      </c>
      <c r="M993" s="1">
        <f t="shared" si="116"/>
        <v>20.350000000000001</v>
      </c>
      <c r="N993" s="7">
        <f t="shared" si="121"/>
        <v>42572</v>
      </c>
      <c r="O993" s="1">
        <v>1647087</v>
      </c>
      <c r="P993" s="38">
        <f t="shared" si="122"/>
        <v>1642245</v>
      </c>
      <c r="Q993" s="178">
        <v>42579</v>
      </c>
      <c r="R993" s="66">
        <v>42583</v>
      </c>
      <c r="S993" s="187">
        <f t="shared" ref="S993:S1007" si="123">R993-N993</f>
        <v>11</v>
      </c>
    </row>
    <row r="994" spans="1:19" s="3" customFormat="1" hidden="1" x14ac:dyDescent="0.25">
      <c r="A994" s="30">
        <v>137</v>
      </c>
      <c r="B994" s="24">
        <v>42562</v>
      </c>
      <c r="C994" s="1">
        <v>103</v>
      </c>
      <c r="D994" s="1">
        <v>3000032074</v>
      </c>
      <c r="E994" s="18" t="s">
        <v>213</v>
      </c>
      <c r="F994" s="1">
        <v>72</v>
      </c>
      <c r="G994" s="25">
        <v>42550</v>
      </c>
      <c r="H994" s="25"/>
      <c r="I994" s="25">
        <v>42554</v>
      </c>
      <c r="J994" s="1" t="s">
        <v>61</v>
      </c>
      <c r="K994" s="77">
        <v>20.27</v>
      </c>
      <c r="L994" s="1">
        <v>20.27</v>
      </c>
      <c r="M994" s="1">
        <f t="shared" si="116"/>
        <v>20.27</v>
      </c>
      <c r="N994" s="7">
        <f t="shared" si="121"/>
        <v>42573</v>
      </c>
      <c r="O994" s="1">
        <v>1616609</v>
      </c>
      <c r="P994" s="38">
        <f t="shared" si="122"/>
        <v>1616609</v>
      </c>
      <c r="Q994" s="178">
        <v>42579</v>
      </c>
      <c r="R994" s="66">
        <v>42585</v>
      </c>
      <c r="S994" s="187">
        <f t="shared" si="123"/>
        <v>12</v>
      </c>
    </row>
    <row r="995" spans="1:19" s="3" customFormat="1" hidden="1" x14ac:dyDescent="0.25">
      <c r="A995" s="30">
        <v>138</v>
      </c>
      <c r="B995" s="24">
        <v>42562</v>
      </c>
      <c r="C995" s="1">
        <v>103</v>
      </c>
      <c r="D995" s="1">
        <v>3000031933</v>
      </c>
      <c r="E995" s="18" t="s">
        <v>198</v>
      </c>
      <c r="F995" s="1">
        <v>378</v>
      </c>
      <c r="G995" s="25">
        <v>42547</v>
      </c>
      <c r="H995" s="25"/>
      <c r="I995" s="25">
        <v>42554</v>
      </c>
      <c r="J995" s="1" t="s">
        <v>61</v>
      </c>
      <c r="K995" s="77">
        <v>19.66</v>
      </c>
      <c r="L995" s="1">
        <v>19.670000000000002</v>
      </c>
      <c r="M995" s="1">
        <f t="shared" si="116"/>
        <v>19.66</v>
      </c>
      <c r="N995" s="7">
        <f t="shared" si="121"/>
        <v>42573</v>
      </c>
      <c r="O995" s="1">
        <v>1602290</v>
      </c>
      <c r="P995" s="38">
        <f t="shared" si="122"/>
        <v>1602290</v>
      </c>
      <c r="Q995" s="178">
        <v>42579</v>
      </c>
      <c r="R995" s="66">
        <v>42583</v>
      </c>
      <c r="S995" s="187">
        <f t="shared" si="123"/>
        <v>10</v>
      </c>
    </row>
    <row r="996" spans="1:19" s="3" customFormat="1" hidden="1" x14ac:dyDescent="0.25">
      <c r="A996" s="30">
        <v>141</v>
      </c>
      <c r="B996" s="24">
        <v>42562</v>
      </c>
      <c r="C996" s="1">
        <v>103</v>
      </c>
      <c r="D996" s="1">
        <v>3000031718</v>
      </c>
      <c r="E996" s="18" t="s">
        <v>192</v>
      </c>
      <c r="F996" s="1">
        <v>14</v>
      </c>
      <c r="G996" s="25">
        <v>42550</v>
      </c>
      <c r="H996" s="25"/>
      <c r="I996" s="25">
        <v>42554</v>
      </c>
      <c r="J996" s="1" t="s">
        <v>61</v>
      </c>
      <c r="K996" s="77">
        <v>20.010000000000002</v>
      </c>
      <c r="L996" s="1">
        <v>19.96</v>
      </c>
      <c r="M996" s="1">
        <f t="shared" si="116"/>
        <v>19.96</v>
      </c>
      <c r="N996" s="7">
        <f t="shared" si="121"/>
        <v>42573</v>
      </c>
      <c r="O996" s="1">
        <v>1630820</v>
      </c>
      <c r="P996" s="38">
        <f t="shared" si="122"/>
        <v>1626744.9875062469</v>
      </c>
      <c r="Q996" s="178">
        <v>42579</v>
      </c>
      <c r="R996" s="66">
        <v>42583</v>
      </c>
      <c r="S996" s="187">
        <f t="shared" si="123"/>
        <v>10</v>
      </c>
    </row>
    <row r="997" spans="1:19" s="3" customFormat="1" hidden="1" x14ac:dyDescent="0.25">
      <c r="A997" s="30">
        <v>147</v>
      </c>
      <c r="B997" s="24">
        <v>42562</v>
      </c>
      <c r="C997" s="1">
        <v>103</v>
      </c>
      <c r="D997" s="1">
        <v>3000031644</v>
      </c>
      <c r="E997" s="18" t="s">
        <v>182</v>
      </c>
      <c r="F997" s="1">
        <v>43</v>
      </c>
      <c r="G997" s="25">
        <v>42545</v>
      </c>
      <c r="H997" s="25"/>
      <c r="I997" s="25">
        <v>42556</v>
      </c>
      <c r="J997" s="1" t="s">
        <v>61</v>
      </c>
      <c r="K997" s="77">
        <v>20.5</v>
      </c>
      <c r="L997" s="1">
        <v>20.45</v>
      </c>
      <c r="M997" s="1">
        <f t="shared" si="116"/>
        <v>20.45</v>
      </c>
      <c r="N997" s="7">
        <f t="shared" si="121"/>
        <v>42575</v>
      </c>
      <c r="O997" s="1">
        <v>1670750</v>
      </c>
      <c r="P997" s="38">
        <f t="shared" si="122"/>
        <v>1666675</v>
      </c>
      <c r="Q997" s="178">
        <v>42579</v>
      </c>
      <c r="R997" s="66">
        <v>42583</v>
      </c>
      <c r="S997" s="187">
        <f t="shared" si="123"/>
        <v>8</v>
      </c>
    </row>
    <row r="998" spans="1:19" s="3" customFormat="1" hidden="1" x14ac:dyDescent="0.25">
      <c r="A998" s="30">
        <v>148</v>
      </c>
      <c r="B998" s="24">
        <v>42562</v>
      </c>
      <c r="C998" s="1">
        <v>103</v>
      </c>
      <c r="D998" s="1">
        <v>3000031645</v>
      </c>
      <c r="E998" s="18" t="s">
        <v>170</v>
      </c>
      <c r="F998" s="1">
        <v>28</v>
      </c>
      <c r="G998" s="25">
        <v>42551</v>
      </c>
      <c r="H998" s="25"/>
      <c r="I998" s="25">
        <v>42556</v>
      </c>
      <c r="J998" s="1" t="s">
        <v>61</v>
      </c>
      <c r="K998" s="77">
        <v>20.32</v>
      </c>
      <c r="L998" s="1">
        <v>20.27</v>
      </c>
      <c r="M998" s="1">
        <f t="shared" si="116"/>
        <v>20.27</v>
      </c>
      <c r="N998" s="7">
        <f t="shared" si="121"/>
        <v>42575</v>
      </c>
      <c r="O998" s="1">
        <v>1656080</v>
      </c>
      <c r="P998" s="38">
        <f t="shared" si="122"/>
        <v>1652005</v>
      </c>
      <c r="Q998" s="178">
        <v>42579</v>
      </c>
      <c r="R998" s="66">
        <v>42583</v>
      </c>
      <c r="S998" s="187">
        <f t="shared" si="123"/>
        <v>8</v>
      </c>
    </row>
    <row r="999" spans="1:19" s="3" customFormat="1" hidden="1" x14ac:dyDescent="0.25">
      <c r="A999" s="30">
        <v>149</v>
      </c>
      <c r="B999" s="24">
        <v>42562</v>
      </c>
      <c r="C999" s="1">
        <v>103</v>
      </c>
      <c r="D999" s="1">
        <v>3000031642</v>
      </c>
      <c r="E999" s="18" t="s">
        <v>172</v>
      </c>
      <c r="F999" s="1">
        <v>37</v>
      </c>
      <c r="G999" s="25">
        <v>42550</v>
      </c>
      <c r="H999" s="25"/>
      <c r="I999" s="25">
        <v>42556</v>
      </c>
      <c r="J999" s="1" t="s">
        <v>61</v>
      </c>
      <c r="K999" s="77">
        <v>20.260000000000002</v>
      </c>
      <c r="L999" s="1">
        <v>20.22</v>
      </c>
      <c r="M999" s="1">
        <f t="shared" si="116"/>
        <v>20.22</v>
      </c>
      <c r="N999" s="7">
        <f t="shared" si="121"/>
        <v>42575</v>
      </c>
      <c r="O999" s="1">
        <v>1651190</v>
      </c>
      <c r="P999" s="38">
        <f t="shared" si="122"/>
        <v>1647930</v>
      </c>
      <c r="Q999" s="178">
        <v>42579</v>
      </c>
      <c r="R999" s="66">
        <v>42583</v>
      </c>
      <c r="S999" s="187">
        <f t="shared" si="123"/>
        <v>8</v>
      </c>
    </row>
    <row r="1000" spans="1:19" s="3" customFormat="1" hidden="1" x14ac:dyDescent="0.25">
      <c r="A1000" s="30">
        <v>150</v>
      </c>
      <c r="B1000" s="24">
        <v>42562</v>
      </c>
      <c r="C1000" s="1">
        <v>103</v>
      </c>
      <c r="D1000" s="1">
        <v>3000031544</v>
      </c>
      <c r="E1000" s="18" t="s">
        <v>180</v>
      </c>
      <c r="F1000" s="1">
        <v>140</v>
      </c>
      <c r="G1000" s="25">
        <v>42551</v>
      </c>
      <c r="H1000" s="25"/>
      <c r="I1000" s="25">
        <v>42556</v>
      </c>
      <c r="J1000" s="1" t="s">
        <v>61</v>
      </c>
      <c r="K1000" s="77">
        <v>20.12</v>
      </c>
      <c r="L1000" s="1">
        <v>20.079999999999998</v>
      </c>
      <c r="M1000" s="1">
        <f t="shared" si="116"/>
        <v>20.079999999999998</v>
      </c>
      <c r="N1000" s="7">
        <f t="shared" si="121"/>
        <v>42575</v>
      </c>
      <c r="O1000" s="1">
        <v>1629700</v>
      </c>
      <c r="P1000" s="38">
        <f t="shared" si="122"/>
        <v>1626460.0397614313</v>
      </c>
      <c r="Q1000" s="178">
        <v>42579</v>
      </c>
      <c r="R1000" s="66">
        <v>42583</v>
      </c>
      <c r="S1000" s="187">
        <f t="shared" si="123"/>
        <v>8</v>
      </c>
    </row>
    <row r="1001" spans="1:19" s="65" customFormat="1" hidden="1" x14ac:dyDescent="0.25">
      <c r="A1001" s="146">
        <v>90</v>
      </c>
      <c r="B1001" s="60">
        <v>42557</v>
      </c>
      <c r="C1001" s="18">
        <v>114</v>
      </c>
      <c r="D1001" s="18">
        <v>3000031937</v>
      </c>
      <c r="E1001" s="18" t="s">
        <v>214</v>
      </c>
      <c r="F1001" s="18">
        <v>29</v>
      </c>
      <c r="G1001" s="61">
        <v>42540</v>
      </c>
      <c r="H1001" s="61"/>
      <c r="I1001" s="61">
        <v>42552</v>
      </c>
      <c r="J1001" s="18" t="s">
        <v>61</v>
      </c>
      <c r="K1001" s="149">
        <v>20.04</v>
      </c>
      <c r="L1001" s="18">
        <v>20.02</v>
      </c>
      <c r="M1001" s="18">
        <f t="shared" si="116"/>
        <v>20.02</v>
      </c>
      <c r="N1001" s="62">
        <f t="shared" si="121"/>
        <v>42571</v>
      </c>
      <c r="O1001" s="18">
        <v>1683360</v>
      </c>
      <c r="P1001" s="38">
        <f t="shared" si="122"/>
        <v>1681680</v>
      </c>
      <c r="Q1001" s="178">
        <v>42579</v>
      </c>
      <c r="R1001" s="66">
        <v>42586</v>
      </c>
      <c r="S1001" s="187">
        <f t="shared" si="123"/>
        <v>15</v>
      </c>
    </row>
    <row r="1002" spans="1:19" s="3" customFormat="1" hidden="1" x14ac:dyDescent="0.25">
      <c r="A1002" s="30">
        <v>26</v>
      </c>
      <c r="B1002" s="24">
        <v>42545</v>
      </c>
      <c r="C1002" s="1">
        <v>114</v>
      </c>
      <c r="D1002" s="1">
        <v>3000030717</v>
      </c>
      <c r="E1002" s="1" t="s">
        <v>39</v>
      </c>
      <c r="F1002" s="1">
        <v>27</v>
      </c>
      <c r="G1002" s="25">
        <v>42539</v>
      </c>
      <c r="H1002" s="25"/>
      <c r="I1002" s="25">
        <v>42541</v>
      </c>
      <c r="J1002" s="1" t="s">
        <v>16</v>
      </c>
      <c r="K1002" s="77">
        <v>31.12</v>
      </c>
      <c r="L1002" s="1">
        <v>31.06</v>
      </c>
      <c r="M1002" s="1">
        <f t="shared" si="116"/>
        <v>31.06</v>
      </c>
      <c r="N1002" s="7">
        <f t="shared" ref="N1002:N1013" si="124">+I1002+15-1</f>
        <v>42555</v>
      </c>
      <c r="O1002" s="1">
        <v>1633800</v>
      </c>
      <c r="P1002" s="38">
        <f t="shared" si="122"/>
        <v>1630650</v>
      </c>
      <c r="Q1002" s="178">
        <v>42584</v>
      </c>
      <c r="R1002" s="66">
        <v>42584</v>
      </c>
      <c r="S1002" s="187">
        <f t="shared" si="123"/>
        <v>29</v>
      </c>
    </row>
    <row r="1003" spans="1:19" s="3" customFormat="1" hidden="1" x14ac:dyDescent="0.25">
      <c r="A1003" s="30">
        <v>33</v>
      </c>
      <c r="B1003" s="24">
        <v>42548</v>
      </c>
      <c r="C1003" s="1">
        <v>114</v>
      </c>
      <c r="D1003" s="1">
        <v>3000029761</v>
      </c>
      <c r="E1003" s="1" t="s">
        <v>49</v>
      </c>
      <c r="F1003" s="1">
        <v>22</v>
      </c>
      <c r="G1003" s="25">
        <v>42541</v>
      </c>
      <c r="H1003" s="25"/>
      <c r="I1003" s="25">
        <v>42543</v>
      </c>
      <c r="J1003" s="1" t="s">
        <v>8</v>
      </c>
      <c r="K1003" s="77">
        <v>28.67</v>
      </c>
      <c r="L1003" s="1">
        <v>28.57</v>
      </c>
      <c r="M1003" s="1">
        <f t="shared" si="116"/>
        <v>28.57</v>
      </c>
      <c r="N1003" s="7">
        <f t="shared" si="124"/>
        <v>42557</v>
      </c>
      <c r="O1003" s="1">
        <v>1591185</v>
      </c>
      <c r="P1003" s="38">
        <f t="shared" si="122"/>
        <v>1585635</v>
      </c>
      <c r="Q1003" s="178">
        <v>42584</v>
      </c>
      <c r="R1003" s="66">
        <v>42584</v>
      </c>
      <c r="S1003" s="187">
        <f t="shared" si="123"/>
        <v>27</v>
      </c>
    </row>
    <row r="1004" spans="1:19" s="3" customFormat="1" hidden="1" x14ac:dyDescent="0.25">
      <c r="A1004" s="30">
        <v>39</v>
      </c>
      <c r="B1004" s="24">
        <v>42551</v>
      </c>
      <c r="C1004" s="1">
        <v>114</v>
      </c>
      <c r="D1004" s="1">
        <v>3000031323</v>
      </c>
      <c r="E1004" s="1" t="s">
        <v>15</v>
      </c>
      <c r="F1004" s="16">
        <v>3081</v>
      </c>
      <c r="G1004" s="25">
        <v>42544</v>
      </c>
      <c r="H1004" s="25"/>
      <c r="I1004" s="25">
        <v>42547</v>
      </c>
      <c r="J1004" s="1" t="s">
        <v>8</v>
      </c>
      <c r="K1004" s="77">
        <v>11.91</v>
      </c>
      <c r="L1004" s="1">
        <v>11.91</v>
      </c>
      <c r="M1004" s="1">
        <f t="shared" si="116"/>
        <v>11.91</v>
      </c>
      <c r="N1004" s="7">
        <f t="shared" si="124"/>
        <v>42561</v>
      </c>
      <c r="O1004" s="1">
        <v>631230</v>
      </c>
      <c r="P1004" s="38">
        <f t="shared" si="122"/>
        <v>631230</v>
      </c>
      <c r="Q1004" s="178">
        <v>42584</v>
      </c>
      <c r="R1004" s="66">
        <v>42584</v>
      </c>
      <c r="S1004" s="187">
        <f t="shared" si="123"/>
        <v>23</v>
      </c>
    </row>
    <row r="1005" spans="1:19" s="3" customFormat="1" hidden="1" x14ac:dyDescent="0.25">
      <c r="A1005" s="30">
        <v>40</v>
      </c>
      <c r="B1005" s="24">
        <v>42551</v>
      </c>
      <c r="C1005" s="1">
        <v>114</v>
      </c>
      <c r="D1005" s="1">
        <v>3000031196</v>
      </c>
      <c r="E1005" s="1" t="s">
        <v>15</v>
      </c>
      <c r="F1005" s="16">
        <v>3081</v>
      </c>
      <c r="G1005" s="25">
        <v>115592</v>
      </c>
      <c r="H1005" s="25"/>
      <c r="I1005" s="25">
        <v>42547</v>
      </c>
      <c r="J1005" s="1" t="s">
        <v>8</v>
      </c>
      <c r="K1005" s="77">
        <v>16</v>
      </c>
      <c r="L1005" s="1">
        <v>16</v>
      </c>
      <c r="M1005" s="1">
        <f t="shared" si="116"/>
        <v>16</v>
      </c>
      <c r="N1005" s="7">
        <f t="shared" si="124"/>
        <v>42561</v>
      </c>
      <c r="O1005" s="1">
        <v>846400</v>
      </c>
      <c r="P1005" s="38">
        <f t="shared" si="122"/>
        <v>846400</v>
      </c>
      <c r="Q1005" s="178">
        <v>42584</v>
      </c>
      <c r="R1005" s="66">
        <v>42584</v>
      </c>
      <c r="S1005" s="187">
        <f t="shared" si="123"/>
        <v>23</v>
      </c>
    </row>
    <row r="1006" spans="1:19" s="3" customFormat="1" hidden="1" x14ac:dyDescent="0.25">
      <c r="A1006" s="30">
        <v>41</v>
      </c>
      <c r="B1006" s="24">
        <v>42551</v>
      </c>
      <c r="C1006" s="1">
        <v>114</v>
      </c>
      <c r="D1006" s="1">
        <v>3000031327</v>
      </c>
      <c r="E1006" s="1" t="s">
        <v>37</v>
      </c>
      <c r="F1006" s="16">
        <v>62</v>
      </c>
      <c r="G1006" s="25">
        <v>42540</v>
      </c>
      <c r="H1006" s="25"/>
      <c r="I1006" s="25">
        <v>42548</v>
      </c>
      <c r="J1006" s="1" t="s">
        <v>8</v>
      </c>
      <c r="K1006" s="77">
        <v>22.86</v>
      </c>
      <c r="L1006" s="1">
        <v>22.84</v>
      </c>
      <c r="M1006" s="1">
        <f t="shared" si="116"/>
        <v>22.84</v>
      </c>
      <c r="N1006" s="7">
        <f t="shared" si="124"/>
        <v>42562</v>
      </c>
      <c r="O1006" s="1">
        <v>1211580</v>
      </c>
      <c r="P1006" s="38">
        <f t="shared" si="122"/>
        <v>1210520</v>
      </c>
      <c r="Q1006" s="178">
        <v>42584</v>
      </c>
      <c r="R1006" s="66">
        <v>42584</v>
      </c>
      <c r="S1006" s="187">
        <f t="shared" si="123"/>
        <v>22</v>
      </c>
    </row>
    <row r="1007" spans="1:19" s="3" customFormat="1" hidden="1" x14ac:dyDescent="0.25">
      <c r="A1007" s="30">
        <v>42</v>
      </c>
      <c r="B1007" s="24">
        <v>42551</v>
      </c>
      <c r="C1007" s="1">
        <v>114</v>
      </c>
      <c r="D1007" s="1">
        <v>3000031936</v>
      </c>
      <c r="E1007" s="1" t="s">
        <v>37</v>
      </c>
      <c r="F1007" s="16">
        <v>62</v>
      </c>
      <c r="G1007" s="25">
        <v>42540</v>
      </c>
      <c r="H1007" s="25"/>
      <c r="I1007" s="25">
        <v>42548</v>
      </c>
      <c r="J1007" s="1" t="s">
        <v>8</v>
      </c>
      <c r="K1007" s="77">
        <v>4.0199999999999996</v>
      </c>
      <c r="L1007" s="1">
        <v>4.0199999999999996</v>
      </c>
      <c r="M1007" s="1">
        <f t="shared" si="116"/>
        <v>4.0199999999999996</v>
      </c>
      <c r="N1007" s="7">
        <f t="shared" si="124"/>
        <v>42562</v>
      </c>
      <c r="O1007" s="1">
        <v>205020</v>
      </c>
      <c r="P1007" s="38">
        <f t="shared" si="122"/>
        <v>205020</v>
      </c>
      <c r="Q1007" s="178">
        <v>42584</v>
      </c>
      <c r="R1007" s="66">
        <v>42584</v>
      </c>
      <c r="S1007" s="187">
        <f t="shared" si="123"/>
        <v>22</v>
      </c>
    </row>
    <row r="1008" spans="1:19" s="3" customFormat="1" hidden="1" x14ac:dyDescent="0.25">
      <c r="A1008" s="30">
        <v>196</v>
      </c>
      <c r="B1008" s="24">
        <v>42569</v>
      </c>
      <c r="C1008" s="1">
        <v>114</v>
      </c>
      <c r="D1008" s="1">
        <v>3000030925</v>
      </c>
      <c r="E1008" s="1" t="s">
        <v>28</v>
      </c>
      <c r="F1008" s="39" t="s">
        <v>223</v>
      </c>
      <c r="G1008" s="25">
        <v>42563</v>
      </c>
      <c r="H1008" s="25"/>
      <c r="I1008" s="25">
        <v>42549</v>
      </c>
      <c r="J1008" s="1" t="s">
        <v>16</v>
      </c>
      <c r="K1008" s="77"/>
      <c r="L1008" s="1"/>
      <c r="M1008" s="1">
        <f t="shared" si="116"/>
        <v>0</v>
      </c>
      <c r="N1008" s="7">
        <f t="shared" si="124"/>
        <v>42563</v>
      </c>
      <c r="O1008" s="1">
        <v>19853</v>
      </c>
      <c r="P1008" s="26"/>
      <c r="R1008" s="1"/>
      <c r="S1008" s="187"/>
    </row>
    <row r="1009" spans="1:19" s="3" customFormat="1" hidden="1" x14ac:dyDescent="0.25">
      <c r="A1009" s="30">
        <v>44</v>
      </c>
      <c r="B1009" s="24">
        <v>42551</v>
      </c>
      <c r="C1009" s="1">
        <v>114</v>
      </c>
      <c r="D1009" s="1">
        <v>3000030905</v>
      </c>
      <c r="E1009" s="1" t="s">
        <v>28</v>
      </c>
      <c r="F1009" s="1">
        <v>572</v>
      </c>
      <c r="G1009" s="25">
        <v>42547</v>
      </c>
      <c r="H1009" s="25"/>
      <c r="I1009" s="25">
        <v>42549</v>
      </c>
      <c r="J1009" s="1" t="s">
        <v>16</v>
      </c>
      <c r="K1009" s="77">
        <v>30.9</v>
      </c>
      <c r="L1009" s="1">
        <v>31.01</v>
      </c>
      <c r="M1009" s="1">
        <f t="shared" si="116"/>
        <v>30.9</v>
      </c>
      <c r="N1009" s="7">
        <f t="shared" si="124"/>
        <v>42563</v>
      </c>
      <c r="O1009" s="1">
        <v>1554270</v>
      </c>
      <c r="P1009" s="38">
        <f>(+O1009/K1009*M1009)-19853</f>
        <v>1534417</v>
      </c>
      <c r="Q1009" s="178">
        <v>42584</v>
      </c>
      <c r="R1009" s="66">
        <v>42584</v>
      </c>
      <c r="S1009" s="187">
        <f t="shared" ref="S1009:S1040" si="125">R1009-N1009</f>
        <v>21</v>
      </c>
    </row>
    <row r="1010" spans="1:19" s="3" customFormat="1" hidden="1" x14ac:dyDescent="0.25">
      <c r="A1010" s="30">
        <v>197</v>
      </c>
      <c r="B1010" s="24">
        <v>42569</v>
      </c>
      <c r="C1010" s="1">
        <v>114</v>
      </c>
      <c r="D1010" s="1">
        <v>3000031306</v>
      </c>
      <c r="E1010" s="1" t="s">
        <v>27</v>
      </c>
      <c r="F1010" s="39" t="s">
        <v>222</v>
      </c>
      <c r="G1010" s="25">
        <v>42563</v>
      </c>
      <c r="H1010" s="25"/>
      <c r="I1010" s="25">
        <v>42550</v>
      </c>
      <c r="J1010" s="1" t="s">
        <v>16</v>
      </c>
      <c r="K1010" s="77"/>
      <c r="L1010" s="1"/>
      <c r="M1010" s="1">
        <f t="shared" si="116"/>
        <v>0</v>
      </c>
      <c r="N1010" s="7">
        <f t="shared" si="124"/>
        <v>42564</v>
      </c>
      <c r="O1010" s="1">
        <v>14463</v>
      </c>
      <c r="P1010" s="38"/>
      <c r="Q1010" s="178">
        <v>42584</v>
      </c>
      <c r="R1010" s="66">
        <v>42584</v>
      </c>
      <c r="S1010" s="187">
        <f t="shared" si="125"/>
        <v>20</v>
      </c>
    </row>
    <row r="1011" spans="1:19" s="3" customFormat="1" hidden="1" x14ac:dyDescent="0.25">
      <c r="A1011" s="30">
        <v>198</v>
      </c>
      <c r="B1011" s="24">
        <v>42569</v>
      </c>
      <c r="C1011" s="1">
        <v>114</v>
      </c>
      <c r="D1011" s="1">
        <v>3000031306</v>
      </c>
      <c r="E1011" s="1" t="s">
        <v>27</v>
      </c>
      <c r="F1011" s="1">
        <v>110</v>
      </c>
      <c r="G1011" s="25">
        <v>42544</v>
      </c>
      <c r="H1011" s="25"/>
      <c r="I1011" s="25">
        <v>42550</v>
      </c>
      <c r="J1011" s="1" t="s">
        <v>16</v>
      </c>
      <c r="K1011" s="77">
        <v>29.925000000000001</v>
      </c>
      <c r="L1011" s="1">
        <v>29.82</v>
      </c>
      <c r="M1011" s="1">
        <f t="shared" si="116"/>
        <v>29.82</v>
      </c>
      <c r="N1011" s="7">
        <f t="shared" si="124"/>
        <v>42564</v>
      </c>
      <c r="O1011" s="1">
        <v>1496250</v>
      </c>
      <c r="P1011" s="38">
        <f>(+O1011/K1011*M1011)-14463</f>
        <v>1476537</v>
      </c>
      <c r="Q1011" s="178">
        <v>42584</v>
      </c>
      <c r="R1011" s="66">
        <v>42584</v>
      </c>
      <c r="S1011" s="187">
        <f t="shared" si="125"/>
        <v>20</v>
      </c>
    </row>
    <row r="1012" spans="1:19" s="65" customFormat="1" hidden="1" x14ac:dyDescent="0.25">
      <c r="A1012" s="146">
        <v>278</v>
      </c>
      <c r="B1012" s="60">
        <v>42571</v>
      </c>
      <c r="C1012" s="18">
        <v>116</v>
      </c>
      <c r="D1012" s="18">
        <v>3000031986</v>
      </c>
      <c r="E1012" s="18" t="s">
        <v>231</v>
      </c>
      <c r="F1012" s="18">
        <v>167</v>
      </c>
      <c r="G1012" s="61">
        <v>42551</v>
      </c>
      <c r="H1012" s="61"/>
      <c r="I1012" s="61">
        <v>42551</v>
      </c>
      <c r="J1012" s="18" t="s">
        <v>232</v>
      </c>
      <c r="K1012" s="149">
        <v>24.64</v>
      </c>
      <c r="L1012" s="18">
        <v>24.64</v>
      </c>
      <c r="M1012" s="18">
        <f t="shared" si="116"/>
        <v>24.64</v>
      </c>
      <c r="N1012" s="62">
        <f t="shared" si="124"/>
        <v>42565</v>
      </c>
      <c r="O1012" s="18">
        <v>1960358</v>
      </c>
      <c r="P1012" s="38">
        <f t="shared" ref="P1012:P1024" si="126">(+O1012/K1012*M1012)</f>
        <v>1960358</v>
      </c>
      <c r="Q1012" s="178">
        <v>42584</v>
      </c>
      <c r="R1012" s="66">
        <v>42585</v>
      </c>
      <c r="S1012" s="187">
        <f t="shared" si="125"/>
        <v>20</v>
      </c>
    </row>
    <row r="1013" spans="1:19" s="3" customFormat="1" hidden="1" x14ac:dyDescent="0.25">
      <c r="A1013" s="30">
        <v>56</v>
      </c>
      <c r="B1013" s="24">
        <v>42557</v>
      </c>
      <c r="C1013" s="1">
        <v>114</v>
      </c>
      <c r="D1013" s="1">
        <v>3000030909</v>
      </c>
      <c r="E1013" s="1" t="s">
        <v>18</v>
      </c>
      <c r="F1013" s="1">
        <v>33</v>
      </c>
      <c r="G1013" s="25">
        <v>42545</v>
      </c>
      <c r="H1013" s="25"/>
      <c r="I1013" s="25">
        <v>42552</v>
      </c>
      <c r="J1013" s="1" t="s">
        <v>16</v>
      </c>
      <c r="K1013" s="77">
        <v>26.04</v>
      </c>
      <c r="L1013" s="1">
        <v>25.94</v>
      </c>
      <c r="M1013" s="1">
        <f t="shared" si="116"/>
        <v>25.94</v>
      </c>
      <c r="N1013" s="7">
        <f t="shared" si="124"/>
        <v>42566</v>
      </c>
      <c r="O1013" s="1">
        <v>1309812</v>
      </c>
      <c r="P1013" s="38">
        <f t="shared" si="126"/>
        <v>1304782</v>
      </c>
      <c r="Q1013" s="178">
        <v>42584</v>
      </c>
      <c r="R1013" s="66">
        <v>42584</v>
      </c>
      <c r="S1013" s="187">
        <f t="shared" si="125"/>
        <v>18</v>
      </c>
    </row>
    <row r="1014" spans="1:19" s="3" customFormat="1" hidden="1" x14ac:dyDescent="0.25">
      <c r="A1014" s="30">
        <v>89</v>
      </c>
      <c r="B1014" s="24">
        <v>42557</v>
      </c>
      <c r="C1014" s="1">
        <v>103</v>
      </c>
      <c r="D1014" s="1">
        <v>3000031311</v>
      </c>
      <c r="E1014" s="1" t="s">
        <v>60</v>
      </c>
      <c r="F1014" s="1">
        <v>285</v>
      </c>
      <c r="G1014" s="25">
        <v>42542</v>
      </c>
      <c r="H1014" s="25"/>
      <c r="I1014" s="25">
        <v>42551</v>
      </c>
      <c r="J1014" s="1" t="s">
        <v>61</v>
      </c>
      <c r="K1014" s="77">
        <v>16.059999999999999</v>
      </c>
      <c r="L1014" s="1">
        <v>16.02</v>
      </c>
      <c r="M1014" s="1">
        <f t="shared" si="116"/>
        <v>16.02</v>
      </c>
      <c r="N1014" s="7">
        <f t="shared" ref="N1014:N1020" si="127">+I1014+20-1</f>
        <v>42570</v>
      </c>
      <c r="O1014" s="1">
        <v>1270362</v>
      </c>
      <c r="P1014" s="38">
        <f t="shared" si="126"/>
        <v>1267197.9601494398</v>
      </c>
      <c r="Q1014" s="178">
        <v>42584</v>
      </c>
      <c r="R1014" s="66">
        <v>42584</v>
      </c>
      <c r="S1014" s="187">
        <f t="shared" si="125"/>
        <v>14</v>
      </c>
    </row>
    <row r="1015" spans="1:19" s="3" customFormat="1" hidden="1" x14ac:dyDescent="0.25">
      <c r="A1015" s="30">
        <v>100</v>
      </c>
      <c r="B1015" s="24">
        <v>42557</v>
      </c>
      <c r="C1015" s="1">
        <v>103</v>
      </c>
      <c r="D1015" s="1">
        <v>3000031725</v>
      </c>
      <c r="E1015" s="1" t="s">
        <v>169</v>
      </c>
      <c r="F1015" s="1">
        <v>97</v>
      </c>
      <c r="G1015" s="25">
        <v>42548</v>
      </c>
      <c r="H1015" s="25"/>
      <c r="I1015" s="25">
        <v>42553</v>
      </c>
      <c r="J1015" s="1" t="s">
        <v>61</v>
      </c>
      <c r="K1015" s="77">
        <v>16.09</v>
      </c>
      <c r="L1015" s="1">
        <v>16.02</v>
      </c>
      <c r="M1015" s="1">
        <f t="shared" si="116"/>
        <v>16.02</v>
      </c>
      <c r="N1015" s="7">
        <f t="shared" si="127"/>
        <v>42572</v>
      </c>
      <c r="O1015" s="1">
        <v>1311335</v>
      </c>
      <c r="P1015" s="38">
        <f t="shared" si="126"/>
        <v>1305630</v>
      </c>
      <c r="Q1015" s="178">
        <v>42584</v>
      </c>
      <c r="R1015" s="66">
        <v>42584</v>
      </c>
      <c r="S1015" s="187">
        <f t="shared" si="125"/>
        <v>12</v>
      </c>
    </row>
    <row r="1016" spans="1:19" s="65" customFormat="1" hidden="1" x14ac:dyDescent="0.25">
      <c r="A1016" s="146">
        <v>104</v>
      </c>
      <c r="B1016" s="60">
        <v>42557</v>
      </c>
      <c r="C1016" s="18">
        <v>114</v>
      </c>
      <c r="D1016" s="18">
        <v>3000031779</v>
      </c>
      <c r="E1016" s="18" t="s">
        <v>202</v>
      </c>
      <c r="F1016" s="18">
        <v>61</v>
      </c>
      <c r="G1016" s="61">
        <v>42541</v>
      </c>
      <c r="H1016" s="61"/>
      <c r="I1016" s="61">
        <v>42554</v>
      </c>
      <c r="J1016" s="18" t="s">
        <v>61</v>
      </c>
      <c r="K1016" s="149">
        <v>24.08</v>
      </c>
      <c r="L1016" s="18">
        <v>24.14</v>
      </c>
      <c r="M1016" s="18">
        <f t="shared" si="116"/>
        <v>24.08</v>
      </c>
      <c r="N1016" s="62">
        <f t="shared" si="127"/>
        <v>42573</v>
      </c>
      <c r="O1016" s="18">
        <v>2046800</v>
      </c>
      <c r="P1016" s="38">
        <f t="shared" si="126"/>
        <v>2046799.9999999998</v>
      </c>
      <c r="Q1016" s="178">
        <v>42584</v>
      </c>
      <c r="R1016" s="66">
        <v>42586</v>
      </c>
      <c r="S1016" s="187">
        <f t="shared" si="125"/>
        <v>13</v>
      </c>
    </row>
    <row r="1017" spans="1:19" s="65" customFormat="1" hidden="1" x14ac:dyDescent="0.25">
      <c r="A1017" s="146">
        <v>139</v>
      </c>
      <c r="B1017" s="60">
        <v>42562</v>
      </c>
      <c r="C1017" s="18">
        <v>103</v>
      </c>
      <c r="D1017" s="18">
        <v>3000031694</v>
      </c>
      <c r="E1017" s="18" t="s">
        <v>184</v>
      </c>
      <c r="F1017" s="18">
        <v>83</v>
      </c>
      <c r="G1017" s="61">
        <v>42550</v>
      </c>
      <c r="H1017" s="61"/>
      <c r="I1017" s="61">
        <v>42554</v>
      </c>
      <c r="J1017" s="18" t="s">
        <v>61</v>
      </c>
      <c r="K1017" s="149">
        <v>20.059999999999999</v>
      </c>
      <c r="L1017" s="18">
        <v>20.059999999999999</v>
      </c>
      <c r="M1017" s="18">
        <f t="shared" si="116"/>
        <v>20.059999999999999</v>
      </c>
      <c r="N1017" s="62">
        <f t="shared" si="127"/>
        <v>42573</v>
      </c>
      <c r="O1017" s="18">
        <v>1604976</v>
      </c>
      <c r="P1017" s="38">
        <f t="shared" si="126"/>
        <v>1604976</v>
      </c>
      <c r="Q1017" s="178">
        <v>42584</v>
      </c>
      <c r="R1017" s="66">
        <v>42585</v>
      </c>
      <c r="S1017" s="187">
        <f t="shared" si="125"/>
        <v>12</v>
      </c>
    </row>
    <row r="1018" spans="1:19" s="65" customFormat="1" hidden="1" x14ac:dyDescent="0.25">
      <c r="A1018" s="146">
        <v>143</v>
      </c>
      <c r="B1018" s="60">
        <v>42562</v>
      </c>
      <c r="C1018" s="18">
        <v>103</v>
      </c>
      <c r="D1018" s="18">
        <v>3000031842</v>
      </c>
      <c r="E1018" s="18" t="s">
        <v>184</v>
      </c>
      <c r="F1018" s="18">
        <v>85</v>
      </c>
      <c r="G1018" s="61">
        <v>42551</v>
      </c>
      <c r="H1018" s="61"/>
      <c r="I1018" s="61">
        <v>42555</v>
      </c>
      <c r="J1018" s="18" t="s">
        <v>61</v>
      </c>
      <c r="K1018" s="149">
        <v>20.074999999999999</v>
      </c>
      <c r="L1018" s="18">
        <v>20.05</v>
      </c>
      <c r="M1018" s="18">
        <f t="shared" si="116"/>
        <v>20.05</v>
      </c>
      <c r="N1018" s="62">
        <f t="shared" si="127"/>
        <v>42574</v>
      </c>
      <c r="O1018" s="18">
        <v>1620053</v>
      </c>
      <c r="P1018" s="38">
        <f t="shared" si="126"/>
        <v>1618035.4993773352</v>
      </c>
      <c r="Q1018" s="178">
        <v>42584</v>
      </c>
      <c r="R1018" s="66">
        <v>42585</v>
      </c>
      <c r="S1018" s="187">
        <f t="shared" si="125"/>
        <v>11</v>
      </c>
    </row>
    <row r="1019" spans="1:19" s="3" customFormat="1" hidden="1" x14ac:dyDescent="0.25">
      <c r="A1019" s="30">
        <v>145</v>
      </c>
      <c r="B1019" s="24">
        <v>42562</v>
      </c>
      <c r="C1019" s="1">
        <v>103</v>
      </c>
      <c r="D1019" s="1">
        <v>3000032107</v>
      </c>
      <c r="E1019" s="1" t="s">
        <v>199</v>
      </c>
      <c r="F1019" s="1">
        <v>5720</v>
      </c>
      <c r="G1019" s="25">
        <v>42552</v>
      </c>
      <c r="H1019" s="25"/>
      <c r="I1019" s="25">
        <v>42555</v>
      </c>
      <c r="J1019" s="1" t="s">
        <v>61</v>
      </c>
      <c r="K1019" s="77">
        <v>20.2</v>
      </c>
      <c r="L1019" s="1">
        <v>20.25</v>
      </c>
      <c r="M1019" s="1">
        <f t="shared" si="116"/>
        <v>20.2</v>
      </c>
      <c r="N1019" s="7">
        <f t="shared" si="127"/>
        <v>42574</v>
      </c>
      <c r="O1019" s="1">
        <v>1694225</v>
      </c>
      <c r="P1019" s="38">
        <f t="shared" si="126"/>
        <v>1694225</v>
      </c>
      <c r="Q1019" s="178">
        <v>42584</v>
      </c>
      <c r="R1019" s="66">
        <v>42584</v>
      </c>
      <c r="S1019" s="187">
        <f t="shared" si="125"/>
        <v>10</v>
      </c>
    </row>
    <row r="1020" spans="1:19" s="3" customFormat="1" hidden="1" x14ac:dyDescent="0.25">
      <c r="A1020" s="30">
        <v>146</v>
      </c>
      <c r="B1020" s="24">
        <v>42562</v>
      </c>
      <c r="C1020" s="1">
        <v>103</v>
      </c>
      <c r="D1020" s="1">
        <v>3000031660</v>
      </c>
      <c r="E1020" s="1" t="s">
        <v>214</v>
      </c>
      <c r="F1020" s="1">
        <v>30</v>
      </c>
      <c r="G1020" s="25">
        <v>42551</v>
      </c>
      <c r="H1020" s="25"/>
      <c r="I1020" s="25">
        <v>42555</v>
      </c>
      <c r="J1020" s="1" t="s">
        <v>61</v>
      </c>
      <c r="K1020" s="77">
        <v>19.87</v>
      </c>
      <c r="L1020" s="1">
        <v>19.78</v>
      </c>
      <c r="M1020" s="1">
        <f t="shared" si="116"/>
        <v>19.78</v>
      </c>
      <c r="N1020" s="7">
        <f t="shared" si="127"/>
        <v>42574</v>
      </c>
      <c r="O1020" s="1">
        <v>1619405</v>
      </c>
      <c r="P1020" s="38">
        <f t="shared" si="126"/>
        <v>1612070</v>
      </c>
      <c r="Q1020" s="178">
        <v>42584</v>
      </c>
      <c r="R1020" s="66">
        <v>42584</v>
      </c>
      <c r="S1020" s="187">
        <f t="shared" si="125"/>
        <v>10</v>
      </c>
    </row>
    <row r="1021" spans="1:19" s="3" customFormat="1" hidden="1" x14ac:dyDescent="0.25">
      <c r="A1021" s="30">
        <v>298</v>
      </c>
      <c r="B1021" s="24">
        <v>42572</v>
      </c>
      <c r="C1021" s="1">
        <v>103</v>
      </c>
      <c r="D1021" s="1">
        <v>3000032056</v>
      </c>
      <c r="E1021" s="1" t="s">
        <v>225</v>
      </c>
      <c r="F1021" s="1">
        <v>56</v>
      </c>
      <c r="G1021" s="25">
        <v>42560</v>
      </c>
      <c r="H1021" s="25"/>
      <c r="I1021" s="25">
        <v>42565</v>
      </c>
      <c r="J1021" s="1" t="s">
        <v>61</v>
      </c>
      <c r="K1021" s="77">
        <v>20.03</v>
      </c>
      <c r="L1021" s="1">
        <v>19.97</v>
      </c>
      <c r="M1021" s="1">
        <f t="shared" ref="M1021:M1084" si="128">IF(L1021&gt;K1021,K1021,L1021)</f>
        <v>19.97</v>
      </c>
      <c r="N1021" s="7">
        <f>+I1021+10-1</f>
        <v>42574</v>
      </c>
      <c r="O1021" s="1">
        <v>1588379</v>
      </c>
      <c r="P1021" s="38">
        <f t="shared" si="126"/>
        <v>1583621</v>
      </c>
      <c r="Q1021" s="178">
        <v>42584</v>
      </c>
      <c r="R1021" s="66">
        <v>42584</v>
      </c>
      <c r="S1021" s="187">
        <f t="shared" si="125"/>
        <v>10</v>
      </c>
    </row>
    <row r="1022" spans="1:19" s="3" customFormat="1" hidden="1" x14ac:dyDescent="0.25">
      <c r="A1022" s="30">
        <v>152</v>
      </c>
      <c r="B1022" s="24">
        <v>42562</v>
      </c>
      <c r="C1022" s="1">
        <v>103</v>
      </c>
      <c r="D1022" s="1">
        <v>3000031718</v>
      </c>
      <c r="E1022" s="1" t="s">
        <v>192</v>
      </c>
      <c r="F1022" s="1">
        <v>15</v>
      </c>
      <c r="G1022" s="25">
        <v>42551</v>
      </c>
      <c r="H1022" s="25"/>
      <c r="I1022" s="25">
        <v>42556</v>
      </c>
      <c r="J1022" s="1" t="s">
        <v>61</v>
      </c>
      <c r="K1022" s="77">
        <v>20.05</v>
      </c>
      <c r="L1022" s="1">
        <v>20.04</v>
      </c>
      <c r="M1022" s="1">
        <f t="shared" si="128"/>
        <v>20.04</v>
      </c>
      <c r="N1022" s="7">
        <f>+I1022+20-1</f>
        <v>42575</v>
      </c>
      <c r="O1022" s="1">
        <v>1634080</v>
      </c>
      <c r="P1022" s="38">
        <f t="shared" si="126"/>
        <v>1633264.9975062341</v>
      </c>
      <c r="Q1022" s="178">
        <v>42584</v>
      </c>
      <c r="R1022" s="66">
        <v>42584</v>
      </c>
      <c r="S1022" s="187">
        <f t="shared" si="125"/>
        <v>9</v>
      </c>
    </row>
    <row r="1023" spans="1:19" s="3" customFormat="1" hidden="1" x14ac:dyDescent="0.25">
      <c r="A1023" s="30">
        <v>153</v>
      </c>
      <c r="B1023" s="24">
        <v>42562</v>
      </c>
      <c r="C1023" s="1">
        <v>103</v>
      </c>
      <c r="D1023" s="1">
        <v>3000031641</v>
      </c>
      <c r="E1023" s="1" t="s">
        <v>183</v>
      </c>
      <c r="F1023" s="1">
        <v>17</v>
      </c>
      <c r="G1023" s="25">
        <v>42551</v>
      </c>
      <c r="H1023" s="25"/>
      <c r="I1023" s="25">
        <v>42556</v>
      </c>
      <c r="J1023" s="1" t="s">
        <v>61</v>
      </c>
      <c r="K1023" s="77">
        <v>20.010000000000002</v>
      </c>
      <c r="L1023" s="1">
        <v>19.93</v>
      </c>
      <c r="M1023" s="1">
        <f t="shared" si="128"/>
        <v>19.93</v>
      </c>
      <c r="N1023" s="7">
        <f>+I1023+20-1</f>
        <v>42575</v>
      </c>
      <c r="O1023" s="1">
        <v>1630815</v>
      </c>
      <c r="P1023" s="38">
        <f t="shared" si="126"/>
        <v>1624295</v>
      </c>
      <c r="Q1023" s="178">
        <v>42584</v>
      </c>
      <c r="R1023" s="66">
        <v>42584</v>
      </c>
      <c r="S1023" s="187">
        <f t="shared" si="125"/>
        <v>9</v>
      </c>
    </row>
    <row r="1024" spans="1:19" s="3" customFormat="1" hidden="1" x14ac:dyDescent="0.25">
      <c r="A1024" s="30">
        <v>154</v>
      </c>
      <c r="B1024" s="24">
        <v>42562</v>
      </c>
      <c r="C1024" s="1">
        <v>103</v>
      </c>
      <c r="D1024" s="1">
        <v>3000031794</v>
      </c>
      <c r="E1024" s="1" t="s">
        <v>159</v>
      </c>
      <c r="F1024" s="1">
        <v>298</v>
      </c>
      <c r="G1024" s="25">
        <v>42546</v>
      </c>
      <c r="H1024" s="25"/>
      <c r="I1024" s="25">
        <v>42556</v>
      </c>
      <c r="J1024" s="1" t="s">
        <v>61</v>
      </c>
      <c r="K1024" s="77">
        <v>25.2</v>
      </c>
      <c r="L1024" s="1">
        <v>25.13</v>
      </c>
      <c r="M1024" s="1">
        <f t="shared" si="128"/>
        <v>25.13</v>
      </c>
      <c r="N1024" s="7">
        <f>+I1024+20-1</f>
        <v>42575</v>
      </c>
      <c r="O1024" s="1">
        <v>2053801</v>
      </c>
      <c r="P1024" s="38">
        <f t="shared" si="126"/>
        <v>2048095.9972222224</v>
      </c>
      <c r="Q1024" s="178">
        <v>42584</v>
      </c>
      <c r="R1024" s="66">
        <v>42584</v>
      </c>
      <c r="S1024" s="187">
        <f t="shared" si="125"/>
        <v>9</v>
      </c>
    </row>
    <row r="1025" spans="1:22" s="3" customFormat="1" hidden="1" x14ac:dyDescent="0.25">
      <c r="A1025" s="30">
        <v>353</v>
      </c>
      <c r="B1025" s="24">
        <v>42577</v>
      </c>
      <c r="C1025" s="1">
        <v>114</v>
      </c>
      <c r="D1025" s="1">
        <v>3000032039</v>
      </c>
      <c r="E1025" s="18" t="s">
        <v>152</v>
      </c>
      <c r="F1025" s="1">
        <v>1622010535</v>
      </c>
      <c r="G1025" s="25">
        <v>42558</v>
      </c>
      <c r="H1025" s="25"/>
      <c r="I1025" s="25">
        <v>42558</v>
      </c>
      <c r="J1025" s="1" t="s">
        <v>153</v>
      </c>
      <c r="K1025" s="77" t="s">
        <v>265</v>
      </c>
      <c r="L1025" s="1" t="s">
        <v>265</v>
      </c>
      <c r="M1025" s="1" t="str">
        <f t="shared" si="128"/>
        <v>2mt</v>
      </c>
      <c r="N1025" s="7">
        <f>+I1025+20-1</f>
        <v>42577</v>
      </c>
      <c r="O1025" s="1">
        <v>193800</v>
      </c>
      <c r="P1025" s="38">
        <v>193800</v>
      </c>
      <c r="Q1025" s="178">
        <v>42584</v>
      </c>
      <c r="R1025" s="66">
        <v>42584</v>
      </c>
      <c r="S1025" s="187">
        <f t="shared" si="125"/>
        <v>7</v>
      </c>
    </row>
    <row r="1026" spans="1:22" s="3" customFormat="1" hidden="1" x14ac:dyDescent="0.25">
      <c r="A1026" s="30">
        <v>170</v>
      </c>
      <c r="B1026" s="24">
        <v>42563</v>
      </c>
      <c r="C1026" s="1">
        <v>103</v>
      </c>
      <c r="D1026" s="1">
        <v>3000031295</v>
      </c>
      <c r="E1026" s="1" t="s">
        <v>50</v>
      </c>
      <c r="F1026" s="1">
        <v>22</v>
      </c>
      <c r="G1026" s="25">
        <v>42553</v>
      </c>
      <c r="H1026" s="25"/>
      <c r="I1026" s="25">
        <v>42553</v>
      </c>
      <c r="J1026" s="1" t="s">
        <v>43</v>
      </c>
      <c r="K1026" s="77">
        <v>26.4</v>
      </c>
      <c r="L1026" s="1">
        <v>26.4</v>
      </c>
      <c r="M1026" s="1">
        <f t="shared" si="128"/>
        <v>26.4</v>
      </c>
      <c r="N1026" s="7">
        <f>+I1026+15-1</f>
        <v>42567</v>
      </c>
      <c r="O1026" s="1">
        <v>1541965</v>
      </c>
      <c r="P1026" s="26">
        <f t="shared" ref="P1026:P1034" si="129">(+O1026/K1026*M1026)</f>
        <v>1541965</v>
      </c>
      <c r="Q1026" s="178">
        <v>42578</v>
      </c>
      <c r="R1026" s="66">
        <v>42584</v>
      </c>
      <c r="S1026" s="187">
        <f t="shared" si="125"/>
        <v>17</v>
      </c>
    </row>
    <row r="1027" spans="1:22" s="65" customFormat="1" hidden="1" x14ac:dyDescent="0.25">
      <c r="A1027" s="146">
        <v>171</v>
      </c>
      <c r="B1027" s="60">
        <v>42563</v>
      </c>
      <c r="C1027" s="18">
        <v>103</v>
      </c>
      <c r="D1027" s="18">
        <v>3000031295</v>
      </c>
      <c r="E1027" s="18" t="s">
        <v>50</v>
      </c>
      <c r="F1027" s="18">
        <v>23</v>
      </c>
      <c r="G1027" s="61">
        <v>42555</v>
      </c>
      <c r="H1027" s="61"/>
      <c r="I1027" s="61">
        <v>42555</v>
      </c>
      <c r="J1027" s="18" t="s">
        <v>43</v>
      </c>
      <c r="K1027" s="149">
        <v>27.16</v>
      </c>
      <c r="L1027" s="18">
        <v>27.16</v>
      </c>
      <c r="M1027" s="18">
        <f t="shared" si="128"/>
        <v>27.16</v>
      </c>
      <c r="N1027" s="62">
        <f>+I1027+15-1</f>
        <v>42569</v>
      </c>
      <c r="O1027" s="18">
        <v>1586355</v>
      </c>
      <c r="P1027" s="38">
        <f t="shared" si="129"/>
        <v>1586355</v>
      </c>
      <c r="Q1027" s="178">
        <v>42584</v>
      </c>
      <c r="R1027" s="66">
        <v>42584</v>
      </c>
      <c r="S1027" s="187">
        <f t="shared" si="125"/>
        <v>15</v>
      </c>
    </row>
    <row r="1028" spans="1:22" s="3" customFormat="1" hidden="1" x14ac:dyDescent="0.25">
      <c r="A1028" s="30">
        <v>186</v>
      </c>
      <c r="B1028" s="24">
        <v>42564</v>
      </c>
      <c r="C1028" s="1">
        <v>103</v>
      </c>
      <c r="D1028" s="1">
        <v>3000032200</v>
      </c>
      <c r="E1028" s="1" t="s">
        <v>146</v>
      </c>
      <c r="F1028" s="1">
        <v>1129</v>
      </c>
      <c r="G1028" s="25">
        <v>42554</v>
      </c>
      <c r="H1028" s="25"/>
      <c r="I1028" s="25">
        <v>42559</v>
      </c>
      <c r="J1028" s="1" t="s">
        <v>61</v>
      </c>
      <c r="K1028" s="77">
        <v>19.89</v>
      </c>
      <c r="L1028" s="1">
        <v>19.850000000000001</v>
      </c>
      <c r="M1028" s="1">
        <f t="shared" si="128"/>
        <v>19.850000000000001</v>
      </c>
      <c r="N1028" s="7">
        <f>+I1028+20-1</f>
        <v>42578</v>
      </c>
      <c r="O1028" s="1">
        <v>1561365</v>
      </c>
      <c r="P1028" s="26">
        <f t="shared" si="129"/>
        <v>1558225</v>
      </c>
      <c r="Q1028" s="178">
        <v>42586</v>
      </c>
      <c r="R1028" s="66">
        <v>42591</v>
      </c>
      <c r="S1028" s="187">
        <f t="shared" si="125"/>
        <v>13</v>
      </c>
    </row>
    <row r="1029" spans="1:22" s="3" customFormat="1" hidden="1" x14ac:dyDescent="0.25">
      <c r="A1029" s="30">
        <v>187</v>
      </c>
      <c r="B1029" s="24">
        <v>42564</v>
      </c>
      <c r="C1029" s="1">
        <v>103</v>
      </c>
      <c r="D1029" s="1">
        <v>3000032200</v>
      </c>
      <c r="E1029" s="1" t="s">
        <v>146</v>
      </c>
      <c r="F1029" s="1">
        <v>1130</v>
      </c>
      <c r="G1029" s="25">
        <v>42555</v>
      </c>
      <c r="H1029" s="25"/>
      <c r="I1029" s="25">
        <v>42559</v>
      </c>
      <c r="J1029" s="1" t="s">
        <v>61</v>
      </c>
      <c r="K1029" s="77">
        <v>20.170000000000002</v>
      </c>
      <c r="L1029" s="1">
        <v>20.14</v>
      </c>
      <c r="M1029" s="1">
        <f t="shared" si="128"/>
        <v>20.14</v>
      </c>
      <c r="N1029" s="7">
        <f>+I1029+20-1</f>
        <v>42578</v>
      </c>
      <c r="O1029" s="1">
        <v>1583345</v>
      </c>
      <c r="P1029" s="26">
        <f t="shared" si="129"/>
        <v>1580990</v>
      </c>
      <c r="Q1029" s="178">
        <v>42586</v>
      </c>
      <c r="R1029" s="66">
        <v>42591</v>
      </c>
      <c r="S1029" s="187">
        <f t="shared" si="125"/>
        <v>13</v>
      </c>
    </row>
    <row r="1030" spans="1:22" s="3" customFormat="1" hidden="1" x14ac:dyDescent="0.25">
      <c r="A1030" s="30">
        <v>159</v>
      </c>
      <c r="B1030" s="24">
        <v>42562</v>
      </c>
      <c r="C1030" s="1">
        <v>103</v>
      </c>
      <c r="D1030" s="1">
        <v>3000032121</v>
      </c>
      <c r="E1030" s="1" t="s">
        <v>212</v>
      </c>
      <c r="F1030" s="1">
        <v>630</v>
      </c>
      <c r="G1030" s="25">
        <v>42555</v>
      </c>
      <c r="H1030" s="25"/>
      <c r="I1030" s="25">
        <v>42557</v>
      </c>
      <c r="J1030" s="1" t="s">
        <v>61</v>
      </c>
      <c r="K1030" s="77">
        <v>20.32</v>
      </c>
      <c r="L1030" s="1">
        <v>20.23</v>
      </c>
      <c r="M1030" s="1">
        <f t="shared" si="128"/>
        <v>20.23</v>
      </c>
      <c r="N1030" s="7">
        <f>+I1030+20-1</f>
        <v>42576</v>
      </c>
      <c r="O1030" s="1">
        <v>1704289</v>
      </c>
      <c r="P1030" s="26">
        <f t="shared" si="129"/>
        <v>1696740.4758858266</v>
      </c>
      <c r="Q1030" s="178">
        <v>42586</v>
      </c>
      <c r="R1030" s="66">
        <v>42591</v>
      </c>
      <c r="S1030" s="187">
        <f t="shared" si="125"/>
        <v>15</v>
      </c>
    </row>
    <row r="1031" spans="1:22" s="3" customFormat="1" hidden="1" x14ac:dyDescent="0.25">
      <c r="A1031" s="30">
        <v>99</v>
      </c>
      <c r="B1031" s="24">
        <v>42557</v>
      </c>
      <c r="C1031" s="1">
        <v>103</v>
      </c>
      <c r="D1031" s="1">
        <v>3000031725</v>
      </c>
      <c r="E1031" s="18" t="s">
        <v>169</v>
      </c>
      <c r="F1031" s="1">
        <v>95</v>
      </c>
      <c r="G1031" s="25">
        <v>42548</v>
      </c>
      <c r="H1031" s="25"/>
      <c r="I1031" s="25">
        <v>42553</v>
      </c>
      <c r="J1031" s="1" t="s">
        <v>61</v>
      </c>
      <c r="K1031" s="77">
        <v>20.23</v>
      </c>
      <c r="L1031" s="1">
        <v>20.21</v>
      </c>
      <c r="M1031" s="1">
        <f t="shared" si="128"/>
        <v>20.21</v>
      </c>
      <c r="N1031" s="7">
        <f>+I1031+20-1</f>
        <v>42572</v>
      </c>
      <c r="O1031" s="1">
        <v>1648745</v>
      </c>
      <c r="P1031" s="26">
        <f t="shared" si="129"/>
        <v>1647115</v>
      </c>
      <c r="Q1031" s="178">
        <v>42579</v>
      </c>
      <c r="R1031" s="66">
        <v>42591</v>
      </c>
      <c r="S1031" s="187">
        <f t="shared" si="125"/>
        <v>19</v>
      </c>
    </row>
    <row r="1032" spans="1:22" s="65" customFormat="1" hidden="1" x14ac:dyDescent="0.25">
      <c r="A1032" s="146">
        <v>88</v>
      </c>
      <c r="B1032" s="60">
        <v>42557</v>
      </c>
      <c r="C1032" s="18">
        <v>114</v>
      </c>
      <c r="D1032" s="18">
        <v>3000031779</v>
      </c>
      <c r="E1032" s="18" t="s">
        <v>202</v>
      </c>
      <c r="F1032" s="63">
        <v>62</v>
      </c>
      <c r="G1032" s="61">
        <v>42542</v>
      </c>
      <c r="H1032" s="61"/>
      <c r="I1032" s="61">
        <v>42551</v>
      </c>
      <c r="J1032" s="18" t="s">
        <v>61</v>
      </c>
      <c r="K1032" s="149">
        <v>20.21</v>
      </c>
      <c r="L1032" s="18">
        <v>20.29</v>
      </c>
      <c r="M1032" s="18">
        <f t="shared" si="128"/>
        <v>20.21</v>
      </c>
      <c r="N1032" s="62">
        <f>+I1032+20-1</f>
        <v>42570</v>
      </c>
      <c r="O1032" s="18">
        <v>1717850</v>
      </c>
      <c r="P1032" s="38">
        <f t="shared" si="129"/>
        <v>1717850</v>
      </c>
      <c r="Q1032" s="178">
        <v>42579</v>
      </c>
      <c r="R1032" s="66">
        <v>42590</v>
      </c>
      <c r="S1032" s="113">
        <f t="shared" si="125"/>
        <v>20</v>
      </c>
    </row>
    <row r="1033" spans="1:22" s="65" customFormat="1" hidden="1" x14ac:dyDescent="0.25">
      <c r="A1033" s="146">
        <v>43</v>
      </c>
      <c r="B1033" s="60">
        <v>42551</v>
      </c>
      <c r="C1033" s="18">
        <v>114</v>
      </c>
      <c r="D1033" s="18">
        <v>3000030988</v>
      </c>
      <c r="E1033" s="18" t="s">
        <v>37</v>
      </c>
      <c r="F1033" s="18">
        <v>65</v>
      </c>
      <c r="G1033" s="61">
        <v>42545</v>
      </c>
      <c r="H1033" s="61"/>
      <c r="I1033" s="61">
        <v>42549</v>
      </c>
      <c r="J1033" s="18" t="s">
        <v>16</v>
      </c>
      <c r="K1033" s="149">
        <v>26.63</v>
      </c>
      <c r="L1033" s="18">
        <v>26.63</v>
      </c>
      <c r="M1033" s="18">
        <f t="shared" si="128"/>
        <v>26.63</v>
      </c>
      <c r="N1033" s="62">
        <f t="shared" ref="N1033:N1042" si="130">+I1033+15-1</f>
        <v>42563</v>
      </c>
      <c r="O1033" s="18">
        <v>1304870</v>
      </c>
      <c r="P1033" s="38">
        <f t="shared" si="129"/>
        <v>1304870</v>
      </c>
      <c r="Q1033" s="178">
        <v>42591</v>
      </c>
      <c r="R1033" s="66">
        <v>42593</v>
      </c>
      <c r="S1033" s="113">
        <f t="shared" si="125"/>
        <v>30</v>
      </c>
    </row>
    <row r="1034" spans="1:22" s="65" customFormat="1" hidden="1" x14ac:dyDescent="0.25">
      <c r="A1034" s="146">
        <v>51</v>
      </c>
      <c r="B1034" s="60">
        <v>42557</v>
      </c>
      <c r="C1034" s="18">
        <v>114</v>
      </c>
      <c r="D1034" s="18">
        <v>3000030717</v>
      </c>
      <c r="E1034" s="18" t="s">
        <v>39</v>
      </c>
      <c r="F1034" s="18">
        <v>29</v>
      </c>
      <c r="G1034" s="61">
        <v>42548</v>
      </c>
      <c r="H1034" s="61"/>
      <c r="I1034" s="61">
        <v>42550</v>
      </c>
      <c r="J1034" s="18" t="s">
        <v>16</v>
      </c>
      <c r="K1034" s="149">
        <v>28.975000000000001</v>
      </c>
      <c r="L1034" s="18">
        <v>28.93</v>
      </c>
      <c r="M1034" s="18">
        <f t="shared" si="128"/>
        <v>28.93</v>
      </c>
      <c r="N1034" s="62">
        <f t="shared" si="130"/>
        <v>42564</v>
      </c>
      <c r="O1034" s="18">
        <v>1521188</v>
      </c>
      <c r="P1034" s="38">
        <f t="shared" si="129"/>
        <v>1518825.4992234686</v>
      </c>
      <c r="Q1034" s="178">
        <v>42591</v>
      </c>
      <c r="R1034" s="66">
        <v>42593</v>
      </c>
      <c r="S1034" s="113">
        <f t="shared" si="125"/>
        <v>29</v>
      </c>
    </row>
    <row r="1035" spans="1:22" s="3" customFormat="1" hidden="1" x14ac:dyDescent="0.25">
      <c r="A1035" s="30">
        <v>421</v>
      </c>
      <c r="B1035" s="60">
        <v>42562</v>
      </c>
      <c r="C1035" s="18">
        <v>103</v>
      </c>
      <c r="D1035" s="18">
        <v>3000031295</v>
      </c>
      <c r="E1035" s="18" t="s">
        <v>50</v>
      </c>
      <c r="F1035" s="18">
        <v>19</v>
      </c>
      <c r="G1035" s="61">
        <v>42551</v>
      </c>
      <c r="H1035" s="61"/>
      <c r="I1035" s="61">
        <v>42551</v>
      </c>
      <c r="J1035" s="18" t="s">
        <v>43</v>
      </c>
      <c r="K1035" s="149">
        <v>32.840000000000003</v>
      </c>
      <c r="L1035" s="18">
        <v>32.840000000000003</v>
      </c>
      <c r="M1035" s="18">
        <f t="shared" si="128"/>
        <v>32.840000000000003</v>
      </c>
      <c r="N1035" s="7">
        <f t="shared" si="130"/>
        <v>42565</v>
      </c>
      <c r="O1035" s="18">
        <v>1918111</v>
      </c>
      <c r="P1035" s="26">
        <f>O1035*10%</f>
        <v>191811.1</v>
      </c>
      <c r="Q1035" s="178">
        <v>42591</v>
      </c>
      <c r="R1035" s="66">
        <v>42593</v>
      </c>
      <c r="S1035" s="113">
        <f t="shared" si="125"/>
        <v>28</v>
      </c>
      <c r="T1035" s="131"/>
      <c r="U1035" s="12" t="s">
        <v>279</v>
      </c>
      <c r="V1035" s="131"/>
    </row>
    <row r="1036" spans="1:22" s="3" customFormat="1" hidden="1" x14ac:dyDescent="0.25">
      <c r="A1036" s="30">
        <f>+closed!A314+1</f>
        <v>250</v>
      </c>
      <c r="B1036" s="24">
        <v>42562</v>
      </c>
      <c r="C1036" s="1">
        <v>103</v>
      </c>
      <c r="D1036" s="1">
        <v>3000031295</v>
      </c>
      <c r="E1036" s="1" t="s">
        <v>50</v>
      </c>
      <c r="F1036" s="1">
        <v>21</v>
      </c>
      <c r="G1036" s="25">
        <v>42553</v>
      </c>
      <c r="H1036" s="25"/>
      <c r="I1036" s="25">
        <v>42553</v>
      </c>
      <c r="J1036" s="1" t="s">
        <v>43</v>
      </c>
      <c r="K1036" s="77">
        <v>33.6</v>
      </c>
      <c r="L1036" s="1">
        <v>33.6</v>
      </c>
      <c r="M1036" s="1">
        <f t="shared" si="128"/>
        <v>33.6</v>
      </c>
      <c r="N1036" s="7">
        <f t="shared" si="130"/>
        <v>42567</v>
      </c>
      <c r="O1036" s="1">
        <v>1962500</v>
      </c>
      <c r="P1036" s="26">
        <f>O1036*10%</f>
        <v>196250</v>
      </c>
      <c r="Q1036" s="178">
        <v>42591</v>
      </c>
      <c r="R1036" s="66">
        <v>42593</v>
      </c>
      <c r="S1036" s="113">
        <f t="shared" si="125"/>
        <v>26</v>
      </c>
      <c r="T1036" s="131"/>
      <c r="U1036" s="12" t="s">
        <v>279</v>
      </c>
      <c r="V1036" s="131"/>
    </row>
    <row r="1037" spans="1:22" s="65" customFormat="1" hidden="1" x14ac:dyDescent="0.25">
      <c r="A1037" s="146">
        <v>55</v>
      </c>
      <c r="B1037" s="60">
        <v>42557</v>
      </c>
      <c r="C1037" s="18">
        <v>114</v>
      </c>
      <c r="D1037" s="18">
        <v>3000030905</v>
      </c>
      <c r="E1037" s="18" t="s">
        <v>28</v>
      </c>
      <c r="F1037" s="18">
        <v>579</v>
      </c>
      <c r="G1037" s="61">
        <v>42550</v>
      </c>
      <c r="H1037" s="61"/>
      <c r="I1037" s="61">
        <v>42552</v>
      </c>
      <c r="J1037" s="18" t="s">
        <v>16</v>
      </c>
      <c r="K1037" s="149">
        <v>24.54</v>
      </c>
      <c r="L1037" s="18">
        <v>24.59</v>
      </c>
      <c r="M1037" s="18">
        <f t="shared" si="128"/>
        <v>24.54</v>
      </c>
      <c r="N1037" s="62">
        <f t="shared" si="130"/>
        <v>42566</v>
      </c>
      <c r="O1037" s="18">
        <v>1234362</v>
      </c>
      <c r="P1037" s="38">
        <f t="shared" ref="P1037:P1068" si="131">(+O1037/K1037*M1037)</f>
        <v>1234362</v>
      </c>
      <c r="Q1037" s="178">
        <v>42591</v>
      </c>
      <c r="R1037" s="66">
        <v>42593</v>
      </c>
      <c r="S1037" s="113">
        <f t="shared" si="125"/>
        <v>27</v>
      </c>
    </row>
    <row r="1038" spans="1:22" s="65" customFormat="1" hidden="1" x14ac:dyDescent="0.25">
      <c r="A1038" s="146">
        <v>60</v>
      </c>
      <c r="B1038" s="60">
        <v>42557</v>
      </c>
      <c r="C1038" s="18">
        <v>114</v>
      </c>
      <c r="D1038" s="18">
        <v>3000031322</v>
      </c>
      <c r="E1038" s="18" t="s">
        <v>138</v>
      </c>
      <c r="F1038" s="18">
        <v>8998</v>
      </c>
      <c r="G1038" s="61">
        <v>42548</v>
      </c>
      <c r="H1038" s="61"/>
      <c r="I1038" s="61">
        <v>42553</v>
      </c>
      <c r="J1038" s="18" t="s">
        <v>8</v>
      </c>
      <c r="K1038" s="149">
        <v>19.75</v>
      </c>
      <c r="L1038" s="18">
        <v>19.7</v>
      </c>
      <c r="M1038" s="18">
        <f t="shared" si="128"/>
        <v>19.7</v>
      </c>
      <c r="N1038" s="62">
        <f t="shared" si="130"/>
        <v>42567</v>
      </c>
      <c r="O1038" s="18">
        <v>1046750</v>
      </c>
      <c r="P1038" s="38">
        <f t="shared" si="131"/>
        <v>1044100</v>
      </c>
      <c r="Q1038" s="178">
        <v>42591</v>
      </c>
      <c r="R1038" s="66">
        <v>42593</v>
      </c>
      <c r="S1038" s="113">
        <f t="shared" si="125"/>
        <v>26</v>
      </c>
    </row>
    <row r="1039" spans="1:22" s="65" customFormat="1" hidden="1" x14ac:dyDescent="0.25">
      <c r="A1039" s="146">
        <v>62</v>
      </c>
      <c r="B1039" s="60">
        <v>42557</v>
      </c>
      <c r="C1039" s="18">
        <v>114</v>
      </c>
      <c r="D1039" s="18">
        <v>3000030898</v>
      </c>
      <c r="E1039" s="18" t="s">
        <v>44</v>
      </c>
      <c r="F1039" s="18">
        <v>27</v>
      </c>
      <c r="G1039" s="61">
        <v>42548</v>
      </c>
      <c r="H1039" s="61"/>
      <c r="I1039" s="61">
        <v>42553</v>
      </c>
      <c r="J1039" s="18" t="s">
        <v>16</v>
      </c>
      <c r="K1039" s="149">
        <v>26.76</v>
      </c>
      <c r="L1039" s="18">
        <v>26.67</v>
      </c>
      <c r="M1039" s="18">
        <f t="shared" si="128"/>
        <v>26.67</v>
      </c>
      <c r="N1039" s="62">
        <f t="shared" si="130"/>
        <v>42567</v>
      </c>
      <c r="O1039" s="18">
        <v>1346028</v>
      </c>
      <c r="P1039" s="38">
        <f t="shared" si="131"/>
        <v>1341501</v>
      </c>
      <c r="Q1039" s="178">
        <v>42591</v>
      </c>
      <c r="R1039" s="66">
        <v>42593</v>
      </c>
      <c r="S1039" s="113">
        <f t="shared" si="125"/>
        <v>26</v>
      </c>
    </row>
    <row r="1040" spans="1:22" s="65" customFormat="1" hidden="1" x14ac:dyDescent="0.25">
      <c r="A1040" s="146">
        <v>65</v>
      </c>
      <c r="B1040" s="60">
        <v>42557</v>
      </c>
      <c r="C1040" s="18">
        <v>114</v>
      </c>
      <c r="D1040" s="18">
        <v>3000031328</v>
      </c>
      <c r="E1040" s="18" t="s">
        <v>18</v>
      </c>
      <c r="F1040" s="18">
        <v>37</v>
      </c>
      <c r="G1040" s="61">
        <v>42548</v>
      </c>
      <c r="H1040" s="61"/>
      <c r="I1040" s="61">
        <v>42554</v>
      </c>
      <c r="J1040" s="18" t="s">
        <v>8</v>
      </c>
      <c r="K1040" s="149">
        <v>17.239999999999998</v>
      </c>
      <c r="L1040" s="18">
        <v>17.190000000000001</v>
      </c>
      <c r="M1040" s="18">
        <f t="shared" si="128"/>
        <v>17.190000000000001</v>
      </c>
      <c r="N1040" s="62">
        <f t="shared" si="130"/>
        <v>42568</v>
      </c>
      <c r="O1040" s="18">
        <v>913720</v>
      </c>
      <c r="P1040" s="38">
        <f t="shared" si="131"/>
        <v>911070.00000000023</v>
      </c>
      <c r="Q1040" s="178">
        <v>42591</v>
      </c>
      <c r="R1040" s="66">
        <v>42593</v>
      </c>
      <c r="S1040" s="113">
        <f t="shared" si="125"/>
        <v>25</v>
      </c>
    </row>
    <row r="1041" spans="1:19" s="65" customFormat="1" hidden="1" x14ac:dyDescent="0.25">
      <c r="A1041" s="146">
        <v>68</v>
      </c>
      <c r="B1041" s="60">
        <v>42557</v>
      </c>
      <c r="C1041" s="18">
        <v>114</v>
      </c>
      <c r="D1041" s="18">
        <v>3000031192</v>
      </c>
      <c r="E1041" s="18" t="s">
        <v>29</v>
      </c>
      <c r="F1041" s="18">
        <v>114</v>
      </c>
      <c r="G1041" s="61">
        <v>42551</v>
      </c>
      <c r="H1041" s="61"/>
      <c r="I1041" s="61">
        <v>42555</v>
      </c>
      <c r="J1041" s="18" t="s">
        <v>8</v>
      </c>
      <c r="K1041" s="149">
        <v>28.34</v>
      </c>
      <c r="L1041" s="18">
        <v>28.33</v>
      </c>
      <c r="M1041" s="18">
        <f t="shared" si="128"/>
        <v>28.33</v>
      </c>
      <c r="N1041" s="62">
        <f t="shared" si="130"/>
        <v>42569</v>
      </c>
      <c r="O1041" s="18">
        <v>1499186</v>
      </c>
      <c r="P1041" s="38">
        <f t="shared" si="131"/>
        <v>1498657</v>
      </c>
      <c r="Q1041" s="178">
        <v>42591</v>
      </c>
      <c r="R1041" s="66">
        <v>42593</v>
      </c>
      <c r="S1041" s="113">
        <f t="shared" ref="S1041:S1072" si="132">R1041-N1041</f>
        <v>24</v>
      </c>
    </row>
    <row r="1042" spans="1:19" s="65" customFormat="1" hidden="1" x14ac:dyDescent="0.25">
      <c r="A1042" s="146">
        <v>130</v>
      </c>
      <c r="B1042" s="60">
        <v>42562</v>
      </c>
      <c r="C1042" s="18">
        <v>114</v>
      </c>
      <c r="D1042" s="18">
        <v>3000031361</v>
      </c>
      <c r="E1042" s="18" t="s">
        <v>27</v>
      </c>
      <c r="F1042" s="18">
        <v>852</v>
      </c>
      <c r="G1042" s="61">
        <v>42552</v>
      </c>
      <c r="H1042" s="61"/>
      <c r="I1042" s="61">
        <v>42556</v>
      </c>
      <c r="J1042" s="18" t="s">
        <v>8</v>
      </c>
      <c r="K1042" s="149">
        <v>29.295000000000002</v>
      </c>
      <c r="L1042" s="18">
        <v>29.23</v>
      </c>
      <c r="M1042" s="18">
        <f t="shared" si="128"/>
        <v>29.23</v>
      </c>
      <c r="N1042" s="62">
        <f t="shared" si="130"/>
        <v>42570</v>
      </c>
      <c r="O1042" s="18">
        <v>1561423</v>
      </c>
      <c r="P1042" s="38">
        <f t="shared" si="131"/>
        <v>1557958.5011094043</v>
      </c>
      <c r="Q1042" s="178">
        <v>42591</v>
      </c>
      <c r="R1042" s="66">
        <v>42593</v>
      </c>
      <c r="S1042" s="113">
        <f t="shared" si="132"/>
        <v>23</v>
      </c>
    </row>
    <row r="1043" spans="1:19" s="65" customFormat="1" hidden="1" x14ac:dyDescent="0.25">
      <c r="A1043" s="146">
        <v>199</v>
      </c>
      <c r="B1043" s="60">
        <v>42569</v>
      </c>
      <c r="C1043" s="18">
        <v>103</v>
      </c>
      <c r="D1043" s="18">
        <v>3000031813</v>
      </c>
      <c r="E1043" s="18" t="s">
        <v>60</v>
      </c>
      <c r="F1043" s="18">
        <v>308</v>
      </c>
      <c r="G1043" s="61">
        <v>42546</v>
      </c>
      <c r="H1043" s="61"/>
      <c r="I1043" s="61">
        <v>42551</v>
      </c>
      <c r="J1043" s="18" t="s">
        <v>61</v>
      </c>
      <c r="K1043" s="149">
        <v>16.09</v>
      </c>
      <c r="L1043" s="18">
        <v>16.05</v>
      </c>
      <c r="M1043" s="18">
        <f t="shared" si="128"/>
        <v>16.05</v>
      </c>
      <c r="N1043" s="62">
        <f>+I1043+20-1</f>
        <v>42570</v>
      </c>
      <c r="O1043" s="18">
        <v>1219561</v>
      </c>
      <c r="P1043" s="38">
        <f t="shared" si="131"/>
        <v>1216529.1516469857</v>
      </c>
      <c r="Q1043" s="178">
        <v>42591</v>
      </c>
      <c r="R1043" s="66">
        <v>42593</v>
      </c>
      <c r="S1043" s="113">
        <f t="shared" si="132"/>
        <v>23</v>
      </c>
    </row>
    <row r="1044" spans="1:19" s="65" customFormat="1" hidden="1" x14ac:dyDescent="0.25">
      <c r="A1044" s="146">
        <v>140</v>
      </c>
      <c r="B1044" s="60">
        <v>42562</v>
      </c>
      <c r="C1044" s="18">
        <v>103</v>
      </c>
      <c r="D1044" s="18">
        <v>3000031781</v>
      </c>
      <c r="E1044" s="18" t="s">
        <v>169</v>
      </c>
      <c r="F1044" s="18">
        <v>99</v>
      </c>
      <c r="G1044" s="61">
        <v>42549</v>
      </c>
      <c r="H1044" s="61"/>
      <c r="I1044" s="61">
        <v>42554</v>
      </c>
      <c r="J1044" s="18" t="s">
        <v>61</v>
      </c>
      <c r="K1044" s="149">
        <v>20.16</v>
      </c>
      <c r="L1044" s="18">
        <v>20.11</v>
      </c>
      <c r="M1044" s="18">
        <f t="shared" si="128"/>
        <v>20.11</v>
      </c>
      <c r="N1044" s="62">
        <f>+I1044+20-1</f>
        <v>42573</v>
      </c>
      <c r="O1044" s="18">
        <v>1643040</v>
      </c>
      <c r="P1044" s="38">
        <f t="shared" si="131"/>
        <v>1638965</v>
      </c>
      <c r="Q1044" s="178">
        <v>42591</v>
      </c>
      <c r="R1044" s="66">
        <v>42593</v>
      </c>
      <c r="S1044" s="113">
        <f t="shared" si="132"/>
        <v>20</v>
      </c>
    </row>
    <row r="1045" spans="1:19" s="65" customFormat="1" hidden="1" x14ac:dyDescent="0.25">
      <c r="A1045" s="146">
        <v>155</v>
      </c>
      <c r="B1045" s="60">
        <v>42562</v>
      </c>
      <c r="C1045" s="18">
        <v>103</v>
      </c>
      <c r="D1045" s="18">
        <v>3000031643</v>
      </c>
      <c r="E1045" s="18" t="s">
        <v>159</v>
      </c>
      <c r="F1045" s="18">
        <v>300</v>
      </c>
      <c r="G1045" s="61">
        <v>42547</v>
      </c>
      <c r="H1045" s="61"/>
      <c r="I1045" s="61">
        <v>42556</v>
      </c>
      <c r="J1045" s="18" t="s">
        <v>61</v>
      </c>
      <c r="K1045" s="149">
        <v>20.079999999999998</v>
      </c>
      <c r="L1045" s="18">
        <v>20.02</v>
      </c>
      <c r="M1045" s="18">
        <f t="shared" si="128"/>
        <v>20.02</v>
      </c>
      <c r="N1045" s="62">
        <f>+I1045+20-1</f>
        <v>42575</v>
      </c>
      <c r="O1045" s="18">
        <v>1636521</v>
      </c>
      <c r="P1045" s="38">
        <f t="shared" si="131"/>
        <v>1631630.9970119521</v>
      </c>
      <c r="Q1045" s="178">
        <v>42591</v>
      </c>
      <c r="R1045" s="66">
        <v>42593</v>
      </c>
      <c r="S1045" s="113">
        <f t="shared" si="132"/>
        <v>18</v>
      </c>
    </row>
    <row r="1046" spans="1:19" s="65" customFormat="1" hidden="1" x14ac:dyDescent="0.25">
      <c r="A1046" s="146">
        <v>325</v>
      </c>
      <c r="B1046" s="60">
        <v>42576</v>
      </c>
      <c r="C1046" s="18">
        <v>103</v>
      </c>
      <c r="D1046" s="18">
        <v>3000031935</v>
      </c>
      <c r="E1046" s="18" t="s">
        <v>225</v>
      </c>
      <c r="F1046" s="18">
        <v>64</v>
      </c>
      <c r="G1046" s="61">
        <v>42565</v>
      </c>
      <c r="H1046" s="61"/>
      <c r="I1046" s="61">
        <v>42569</v>
      </c>
      <c r="J1046" s="18" t="s">
        <v>61</v>
      </c>
      <c r="K1046" s="149">
        <v>20.38</v>
      </c>
      <c r="L1046" s="18">
        <v>20.329999999999998</v>
      </c>
      <c r="M1046" s="18">
        <f t="shared" si="128"/>
        <v>20.329999999999998</v>
      </c>
      <c r="N1046" s="62">
        <f>+I1046+7-1</f>
        <v>42575</v>
      </c>
      <c r="O1046" s="18">
        <v>1524424</v>
      </c>
      <c r="P1046" s="38">
        <f t="shared" si="131"/>
        <v>1520683.9999999998</v>
      </c>
      <c r="Q1046" s="178">
        <v>42591</v>
      </c>
      <c r="R1046" s="66">
        <v>42593</v>
      </c>
      <c r="S1046" s="113">
        <f t="shared" si="132"/>
        <v>18</v>
      </c>
    </row>
    <row r="1047" spans="1:19" s="65" customFormat="1" hidden="1" x14ac:dyDescent="0.25">
      <c r="A1047" s="146">
        <v>157</v>
      </c>
      <c r="B1047" s="60">
        <v>42562</v>
      </c>
      <c r="C1047" s="18">
        <v>103</v>
      </c>
      <c r="D1047" s="18">
        <v>3000031829</v>
      </c>
      <c r="E1047" s="18" t="s">
        <v>201</v>
      </c>
      <c r="F1047" s="18">
        <v>105</v>
      </c>
      <c r="G1047" s="61">
        <v>42553</v>
      </c>
      <c r="H1047" s="61"/>
      <c r="I1047" s="61">
        <v>42557</v>
      </c>
      <c r="J1047" s="18" t="s">
        <v>61</v>
      </c>
      <c r="K1047" s="149">
        <v>20.23</v>
      </c>
      <c r="L1047" s="18">
        <v>20.2</v>
      </c>
      <c r="M1047" s="18">
        <f t="shared" si="128"/>
        <v>20.2</v>
      </c>
      <c r="N1047" s="62">
        <f t="shared" ref="N1047:N1052" si="133">+I1047+20-1</f>
        <v>42576</v>
      </c>
      <c r="O1047" s="18">
        <v>1632561</v>
      </c>
      <c r="P1047" s="38">
        <f t="shared" si="131"/>
        <v>1630140</v>
      </c>
      <c r="Q1047" s="178">
        <v>42591</v>
      </c>
      <c r="R1047" s="66">
        <v>42593</v>
      </c>
      <c r="S1047" s="113">
        <f t="shared" si="132"/>
        <v>17</v>
      </c>
    </row>
    <row r="1048" spans="1:19" s="65" customFormat="1" hidden="1" x14ac:dyDescent="0.25">
      <c r="A1048" s="146">
        <v>158</v>
      </c>
      <c r="B1048" s="60">
        <v>42562</v>
      </c>
      <c r="C1048" s="18">
        <v>103</v>
      </c>
      <c r="D1048" s="18">
        <v>3000031793</v>
      </c>
      <c r="E1048" s="18" t="s">
        <v>170</v>
      </c>
      <c r="F1048" s="18">
        <v>31</v>
      </c>
      <c r="G1048" s="61">
        <v>42553</v>
      </c>
      <c r="H1048" s="61"/>
      <c r="I1048" s="61">
        <v>42557</v>
      </c>
      <c r="J1048" s="18" t="s">
        <v>61</v>
      </c>
      <c r="K1048" s="149">
        <v>20.22</v>
      </c>
      <c r="L1048" s="18">
        <v>20.149999999999999</v>
      </c>
      <c r="M1048" s="18">
        <f t="shared" si="128"/>
        <v>20.149999999999999</v>
      </c>
      <c r="N1048" s="62">
        <f t="shared" si="133"/>
        <v>42576</v>
      </c>
      <c r="O1048" s="18">
        <v>1647930</v>
      </c>
      <c r="P1048" s="38">
        <f t="shared" si="131"/>
        <v>1642225</v>
      </c>
      <c r="Q1048" s="178">
        <v>42591</v>
      </c>
      <c r="R1048" s="66">
        <v>42593</v>
      </c>
      <c r="S1048" s="113">
        <f t="shared" si="132"/>
        <v>17</v>
      </c>
    </row>
    <row r="1049" spans="1:19" s="65" customFormat="1" hidden="1" x14ac:dyDescent="0.25">
      <c r="A1049" s="146">
        <v>160</v>
      </c>
      <c r="B1049" s="60">
        <v>42562</v>
      </c>
      <c r="C1049" s="18">
        <v>103</v>
      </c>
      <c r="D1049" s="18">
        <v>3000032076</v>
      </c>
      <c r="E1049" s="18" t="s">
        <v>180</v>
      </c>
      <c r="F1049" s="18">
        <v>137</v>
      </c>
      <c r="G1049" s="61">
        <v>42551</v>
      </c>
      <c r="H1049" s="61"/>
      <c r="I1049" s="61">
        <v>42557</v>
      </c>
      <c r="J1049" s="18" t="s">
        <v>61</v>
      </c>
      <c r="K1049" s="149">
        <v>24.36</v>
      </c>
      <c r="L1049" s="18">
        <v>24.37</v>
      </c>
      <c r="M1049" s="18">
        <f t="shared" si="128"/>
        <v>24.36</v>
      </c>
      <c r="N1049" s="62">
        <f t="shared" si="133"/>
        <v>42576</v>
      </c>
      <c r="O1049" s="18">
        <v>1934400</v>
      </c>
      <c r="P1049" s="38">
        <f t="shared" si="131"/>
        <v>1934400.0000000002</v>
      </c>
      <c r="Q1049" s="178">
        <v>42591</v>
      </c>
      <c r="R1049" s="66">
        <v>42593</v>
      </c>
      <c r="S1049" s="113">
        <f t="shared" si="132"/>
        <v>17</v>
      </c>
    </row>
    <row r="1050" spans="1:19" s="65" customFormat="1" hidden="1" x14ac:dyDescent="0.25">
      <c r="A1050" s="146">
        <v>162</v>
      </c>
      <c r="B1050" s="60">
        <v>42562</v>
      </c>
      <c r="C1050" s="18">
        <v>103</v>
      </c>
      <c r="D1050" s="18">
        <v>3000031842</v>
      </c>
      <c r="E1050" s="18" t="s">
        <v>184</v>
      </c>
      <c r="F1050" s="18">
        <v>86</v>
      </c>
      <c r="G1050" s="61">
        <v>42553</v>
      </c>
      <c r="H1050" s="61"/>
      <c r="I1050" s="61">
        <v>42557</v>
      </c>
      <c r="J1050" s="18" t="s">
        <v>61</v>
      </c>
      <c r="K1050" s="149">
        <v>20.100000000000001</v>
      </c>
      <c r="L1050" s="18">
        <v>20.079999999999998</v>
      </c>
      <c r="M1050" s="18">
        <f t="shared" si="128"/>
        <v>20.079999999999998</v>
      </c>
      <c r="N1050" s="62">
        <f t="shared" si="133"/>
        <v>42576</v>
      </c>
      <c r="O1050" s="18">
        <v>1622118</v>
      </c>
      <c r="P1050" s="38">
        <f t="shared" si="131"/>
        <v>1620503.9522388058</v>
      </c>
      <c r="Q1050" s="178">
        <v>42591</v>
      </c>
      <c r="R1050" s="66">
        <v>42593</v>
      </c>
      <c r="S1050" s="113">
        <f t="shared" si="132"/>
        <v>17</v>
      </c>
    </row>
    <row r="1051" spans="1:19" s="65" customFormat="1" hidden="1" x14ac:dyDescent="0.25">
      <c r="A1051" s="146">
        <v>166</v>
      </c>
      <c r="B1051" s="60">
        <v>42562</v>
      </c>
      <c r="C1051" s="18">
        <v>103</v>
      </c>
      <c r="D1051" s="18">
        <v>3000031639</v>
      </c>
      <c r="E1051" s="18" t="s">
        <v>158</v>
      </c>
      <c r="F1051" s="18">
        <v>41</v>
      </c>
      <c r="G1051" s="61">
        <v>42553</v>
      </c>
      <c r="H1051" s="61"/>
      <c r="I1051" s="61">
        <v>42557</v>
      </c>
      <c r="J1051" s="18" t="s">
        <v>61</v>
      </c>
      <c r="K1051" s="149">
        <v>21.05</v>
      </c>
      <c r="L1051" s="18">
        <v>21.01</v>
      </c>
      <c r="M1051" s="18">
        <f t="shared" si="128"/>
        <v>21.01</v>
      </c>
      <c r="N1051" s="62">
        <f t="shared" si="133"/>
        <v>42576</v>
      </c>
      <c r="O1051" s="18">
        <v>1715575</v>
      </c>
      <c r="P1051" s="38">
        <f t="shared" si="131"/>
        <v>1712315.0000000002</v>
      </c>
      <c r="Q1051" s="178">
        <v>42591</v>
      </c>
      <c r="R1051" s="66">
        <v>42593</v>
      </c>
      <c r="S1051" s="113">
        <f t="shared" si="132"/>
        <v>17</v>
      </c>
    </row>
    <row r="1052" spans="1:19" s="65" customFormat="1" hidden="1" x14ac:dyDescent="0.25">
      <c r="A1052" s="146">
        <v>180</v>
      </c>
      <c r="B1052" s="60">
        <v>42564</v>
      </c>
      <c r="C1052" s="18">
        <v>103</v>
      </c>
      <c r="D1052" s="18">
        <v>3000030956</v>
      </c>
      <c r="E1052" s="18" t="s">
        <v>145</v>
      </c>
      <c r="F1052" s="18">
        <v>33</v>
      </c>
      <c r="G1052" s="61">
        <v>42549</v>
      </c>
      <c r="H1052" s="61"/>
      <c r="I1052" s="61">
        <v>42557</v>
      </c>
      <c r="J1052" s="18" t="s">
        <v>61</v>
      </c>
      <c r="K1052" s="149">
        <v>19.89</v>
      </c>
      <c r="L1052" s="18">
        <v>19.850000000000001</v>
      </c>
      <c r="M1052" s="18">
        <f t="shared" si="128"/>
        <v>19.850000000000001</v>
      </c>
      <c r="N1052" s="62">
        <f t="shared" si="133"/>
        <v>42576</v>
      </c>
      <c r="O1052" s="18">
        <v>1581435</v>
      </c>
      <c r="P1052" s="38">
        <f t="shared" si="131"/>
        <v>1578254.6380090499</v>
      </c>
      <c r="Q1052" s="178">
        <v>42591</v>
      </c>
      <c r="R1052" s="66">
        <v>42593</v>
      </c>
      <c r="S1052" s="113">
        <f t="shared" si="132"/>
        <v>17</v>
      </c>
    </row>
    <row r="1053" spans="1:19" s="65" customFormat="1" hidden="1" x14ac:dyDescent="0.25">
      <c r="A1053" s="146">
        <v>258</v>
      </c>
      <c r="B1053" s="60">
        <v>42570</v>
      </c>
      <c r="C1053" s="18">
        <v>114</v>
      </c>
      <c r="D1053" s="18">
        <v>3000032301</v>
      </c>
      <c r="E1053" s="18" t="s">
        <v>30</v>
      </c>
      <c r="F1053" s="18">
        <v>147</v>
      </c>
      <c r="G1053" s="61">
        <v>42559</v>
      </c>
      <c r="H1053" s="61"/>
      <c r="I1053" s="61">
        <v>42562</v>
      </c>
      <c r="J1053" s="18" t="s">
        <v>229</v>
      </c>
      <c r="K1053" s="149">
        <v>26.97</v>
      </c>
      <c r="L1053" s="18">
        <v>26.89</v>
      </c>
      <c r="M1053" s="18">
        <f t="shared" si="128"/>
        <v>26.89</v>
      </c>
      <c r="N1053" s="62">
        <f>+I1053+15-1</f>
        <v>42576</v>
      </c>
      <c r="O1053" s="18">
        <v>1469866</v>
      </c>
      <c r="P1053" s="38">
        <f t="shared" si="131"/>
        <v>1465505.9970337413</v>
      </c>
      <c r="Q1053" s="178">
        <v>42591</v>
      </c>
      <c r="R1053" s="66">
        <v>42593</v>
      </c>
      <c r="S1053" s="113">
        <f t="shared" si="132"/>
        <v>17</v>
      </c>
    </row>
    <row r="1054" spans="1:19" s="65" customFormat="1" hidden="1" x14ac:dyDescent="0.25">
      <c r="A1054" s="146">
        <v>217</v>
      </c>
      <c r="B1054" s="60">
        <v>42569</v>
      </c>
      <c r="C1054" s="18">
        <v>103</v>
      </c>
      <c r="D1054" s="18">
        <v>3000032200</v>
      </c>
      <c r="E1054" s="18" t="s">
        <v>146</v>
      </c>
      <c r="F1054" s="18">
        <v>1132</v>
      </c>
      <c r="G1054" s="61">
        <v>42558</v>
      </c>
      <c r="H1054" s="61"/>
      <c r="I1054" s="61">
        <v>42562</v>
      </c>
      <c r="J1054" s="18" t="s">
        <v>61</v>
      </c>
      <c r="K1054" s="149">
        <v>19.73</v>
      </c>
      <c r="L1054" s="18">
        <v>19.72</v>
      </c>
      <c r="M1054" s="18">
        <f t="shared" si="128"/>
        <v>19.72</v>
      </c>
      <c r="N1054" s="62">
        <f>+I1054+20-1</f>
        <v>42581</v>
      </c>
      <c r="O1054" s="18">
        <v>1548805</v>
      </c>
      <c r="P1054" s="38">
        <f t="shared" si="131"/>
        <v>1548020</v>
      </c>
      <c r="Q1054" s="178">
        <v>42591</v>
      </c>
      <c r="R1054" s="66">
        <v>42593</v>
      </c>
      <c r="S1054" s="113">
        <f t="shared" si="132"/>
        <v>12</v>
      </c>
    </row>
    <row r="1055" spans="1:19" s="15" customFormat="1" hidden="1" x14ac:dyDescent="0.25">
      <c r="A1055" s="102">
        <v>581</v>
      </c>
      <c r="B1055" s="103">
        <v>42593</v>
      </c>
      <c r="C1055" s="8">
        <v>116</v>
      </c>
      <c r="D1055" s="8">
        <v>3000033167</v>
      </c>
      <c r="E1055" s="8" t="s">
        <v>282</v>
      </c>
      <c r="F1055" s="8">
        <v>62861024</v>
      </c>
      <c r="G1055" s="104">
        <v>42590</v>
      </c>
      <c r="H1055" s="104"/>
      <c r="I1055" s="104">
        <v>42590</v>
      </c>
      <c r="J1055" s="8" t="s">
        <v>16</v>
      </c>
      <c r="K1055" s="106">
        <v>19.920000000000002</v>
      </c>
      <c r="L1055" s="8">
        <v>19.920000000000002</v>
      </c>
      <c r="M1055" s="8">
        <f t="shared" si="128"/>
        <v>19.920000000000002</v>
      </c>
      <c r="N1055" s="11">
        <f>+I1055+4-1</f>
        <v>42593</v>
      </c>
      <c r="O1055" s="8">
        <v>964751</v>
      </c>
      <c r="P1055" s="57">
        <f t="shared" si="131"/>
        <v>964751</v>
      </c>
      <c r="Q1055" s="180">
        <v>42591</v>
      </c>
      <c r="R1055" s="23">
        <v>42594</v>
      </c>
      <c r="S1055" s="190">
        <f t="shared" si="132"/>
        <v>1</v>
      </c>
    </row>
    <row r="1056" spans="1:19" s="65" customFormat="1" hidden="1" x14ac:dyDescent="0.25">
      <c r="A1056" s="146">
        <v>52</v>
      </c>
      <c r="B1056" s="60">
        <v>42557</v>
      </c>
      <c r="C1056" s="18">
        <v>114</v>
      </c>
      <c r="D1056" s="18">
        <v>3000030906</v>
      </c>
      <c r="E1056" s="18" t="s">
        <v>15</v>
      </c>
      <c r="F1056" s="154">
        <v>3091</v>
      </c>
      <c r="G1056" s="61">
        <v>42548</v>
      </c>
      <c r="H1056" s="61"/>
      <c r="I1056" s="61">
        <v>42551</v>
      </c>
      <c r="J1056" s="18" t="s">
        <v>16</v>
      </c>
      <c r="K1056" s="149">
        <v>20</v>
      </c>
      <c r="L1056" s="18">
        <v>19.75</v>
      </c>
      <c r="M1056" s="18">
        <f t="shared" si="128"/>
        <v>19.75</v>
      </c>
      <c r="N1056" s="62">
        <f t="shared" ref="N1056:N1069" si="134">+I1056+15-1</f>
        <v>42565</v>
      </c>
      <c r="O1056" s="18">
        <v>1006000</v>
      </c>
      <c r="P1056" s="38">
        <f t="shared" si="131"/>
        <v>993425</v>
      </c>
      <c r="Q1056" s="178">
        <v>42593</v>
      </c>
      <c r="R1056" s="66">
        <v>42594</v>
      </c>
      <c r="S1056" s="113">
        <f t="shared" si="132"/>
        <v>29</v>
      </c>
    </row>
    <row r="1057" spans="1:19" s="3" customFormat="1" hidden="1" x14ac:dyDescent="0.25">
      <c r="A1057" s="30">
        <v>53</v>
      </c>
      <c r="B1057" s="24">
        <v>42557</v>
      </c>
      <c r="C1057" s="1">
        <v>114</v>
      </c>
      <c r="D1057" s="1">
        <v>3000031317</v>
      </c>
      <c r="E1057" s="1" t="s">
        <v>15</v>
      </c>
      <c r="F1057" s="16">
        <v>3091</v>
      </c>
      <c r="G1057" s="25">
        <v>42548</v>
      </c>
      <c r="H1057" s="25"/>
      <c r="I1057" s="25">
        <v>42551</v>
      </c>
      <c r="J1057" s="1" t="s">
        <v>16</v>
      </c>
      <c r="K1057" s="77">
        <v>8.9</v>
      </c>
      <c r="L1057" s="1">
        <v>8.9</v>
      </c>
      <c r="M1057" s="1">
        <f t="shared" si="128"/>
        <v>8.9</v>
      </c>
      <c r="N1057" s="7">
        <f t="shared" si="134"/>
        <v>42565</v>
      </c>
      <c r="O1057" s="1">
        <v>445000</v>
      </c>
      <c r="P1057" s="38">
        <f t="shared" si="131"/>
        <v>445000</v>
      </c>
      <c r="Q1057" s="178">
        <v>42593</v>
      </c>
      <c r="R1057" s="66">
        <v>42594</v>
      </c>
      <c r="S1057" s="113">
        <f t="shared" si="132"/>
        <v>29</v>
      </c>
    </row>
    <row r="1058" spans="1:19" s="3" customFormat="1" hidden="1" x14ac:dyDescent="0.25">
      <c r="A1058" s="30">
        <v>54</v>
      </c>
      <c r="B1058" s="24">
        <v>42557</v>
      </c>
      <c r="C1058" s="1">
        <v>114</v>
      </c>
      <c r="D1058" s="1">
        <v>3000031317</v>
      </c>
      <c r="E1058" s="1" t="s">
        <v>15</v>
      </c>
      <c r="F1058" s="1">
        <v>3092</v>
      </c>
      <c r="G1058" s="25">
        <v>42549</v>
      </c>
      <c r="H1058" s="25"/>
      <c r="I1058" s="25">
        <v>42551</v>
      </c>
      <c r="J1058" s="1" t="s">
        <v>16</v>
      </c>
      <c r="K1058" s="77">
        <v>28.3</v>
      </c>
      <c r="L1058" s="1">
        <v>28.08</v>
      </c>
      <c r="M1058" s="1">
        <f t="shared" si="128"/>
        <v>28.08</v>
      </c>
      <c r="N1058" s="7">
        <f t="shared" si="134"/>
        <v>42565</v>
      </c>
      <c r="O1058" s="1">
        <v>1415000</v>
      </c>
      <c r="P1058" s="38">
        <f t="shared" si="131"/>
        <v>1404000</v>
      </c>
      <c r="Q1058" s="178">
        <v>42593</v>
      </c>
      <c r="R1058" s="66">
        <v>42594</v>
      </c>
      <c r="S1058" s="113">
        <f t="shared" si="132"/>
        <v>29</v>
      </c>
    </row>
    <row r="1059" spans="1:19" s="3" customFormat="1" hidden="1" x14ac:dyDescent="0.25">
      <c r="A1059" s="30">
        <v>61</v>
      </c>
      <c r="B1059" s="24">
        <v>42557</v>
      </c>
      <c r="C1059" s="1">
        <v>114</v>
      </c>
      <c r="D1059" s="1">
        <v>3000031322</v>
      </c>
      <c r="E1059" s="1" t="s">
        <v>138</v>
      </c>
      <c r="F1059" s="1">
        <v>8999</v>
      </c>
      <c r="G1059" s="25">
        <v>42548</v>
      </c>
      <c r="H1059" s="25"/>
      <c r="I1059" s="25">
        <v>42553</v>
      </c>
      <c r="J1059" s="1" t="s">
        <v>8</v>
      </c>
      <c r="K1059" s="77">
        <v>19.78</v>
      </c>
      <c r="L1059" s="1">
        <v>19.75</v>
      </c>
      <c r="M1059" s="1">
        <f t="shared" si="128"/>
        <v>19.75</v>
      </c>
      <c r="N1059" s="7">
        <f t="shared" si="134"/>
        <v>42567</v>
      </c>
      <c r="O1059" s="1">
        <v>1048340</v>
      </c>
      <c r="P1059" s="38">
        <f t="shared" si="131"/>
        <v>1046750</v>
      </c>
      <c r="Q1059" s="178">
        <v>42593</v>
      </c>
      <c r="R1059" s="66">
        <v>42594</v>
      </c>
      <c r="S1059" s="113">
        <f t="shared" si="132"/>
        <v>27</v>
      </c>
    </row>
    <row r="1060" spans="1:19" s="3" customFormat="1" hidden="1" x14ac:dyDescent="0.25">
      <c r="A1060" s="30">
        <v>133</v>
      </c>
      <c r="B1060" s="24">
        <v>42562</v>
      </c>
      <c r="C1060" s="1">
        <v>114</v>
      </c>
      <c r="D1060" s="1">
        <v>3000030922</v>
      </c>
      <c r="E1060" s="1" t="s">
        <v>138</v>
      </c>
      <c r="F1060" s="16">
        <v>9001</v>
      </c>
      <c r="G1060" s="25">
        <v>42551</v>
      </c>
      <c r="H1060" s="25"/>
      <c r="I1060" s="25">
        <v>42556</v>
      </c>
      <c r="J1060" s="1" t="s">
        <v>8</v>
      </c>
      <c r="K1060" s="77">
        <v>17.5</v>
      </c>
      <c r="L1060" s="1">
        <v>17.5</v>
      </c>
      <c r="M1060" s="1">
        <f t="shared" si="128"/>
        <v>17.5</v>
      </c>
      <c r="N1060" s="7">
        <f t="shared" si="134"/>
        <v>42570</v>
      </c>
      <c r="O1060" s="1">
        <v>927500</v>
      </c>
      <c r="P1060" s="38">
        <f t="shared" si="131"/>
        <v>927500</v>
      </c>
      <c r="Q1060" s="178">
        <v>42593</v>
      </c>
      <c r="R1060" s="66">
        <v>42594</v>
      </c>
      <c r="S1060" s="113">
        <f t="shared" si="132"/>
        <v>24</v>
      </c>
    </row>
    <row r="1061" spans="1:19" s="3" customFormat="1" hidden="1" x14ac:dyDescent="0.25">
      <c r="A1061" s="30">
        <v>131</v>
      </c>
      <c r="B1061" s="24">
        <v>42562</v>
      </c>
      <c r="C1061" s="1">
        <v>114</v>
      </c>
      <c r="D1061" s="1">
        <v>3000031328</v>
      </c>
      <c r="E1061" s="1" t="s">
        <v>18</v>
      </c>
      <c r="F1061" s="16">
        <v>38</v>
      </c>
      <c r="G1061" s="25">
        <v>42550</v>
      </c>
      <c r="H1061" s="25"/>
      <c r="I1061" s="25">
        <v>42556</v>
      </c>
      <c r="J1061" s="1" t="s">
        <v>8</v>
      </c>
      <c r="K1061" s="77">
        <v>4.6900000000000004</v>
      </c>
      <c r="L1061" s="1">
        <v>4.6900000000000004</v>
      </c>
      <c r="M1061" s="1">
        <f t="shared" si="128"/>
        <v>4.6900000000000004</v>
      </c>
      <c r="N1061" s="7">
        <f t="shared" si="134"/>
        <v>42570</v>
      </c>
      <c r="O1061" s="1">
        <v>248570</v>
      </c>
      <c r="P1061" s="38">
        <f t="shared" si="131"/>
        <v>248570</v>
      </c>
      <c r="Q1061" s="178">
        <v>42593</v>
      </c>
      <c r="R1061" s="66">
        <v>42594</v>
      </c>
      <c r="S1061" s="113">
        <f t="shared" si="132"/>
        <v>24</v>
      </c>
    </row>
    <row r="1062" spans="1:19" s="3" customFormat="1" hidden="1" x14ac:dyDescent="0.25">
      <c r="A1062" s="30">
        <v>132</v>
      </c>
      <c r="B1062" s="24">
        <v>42562</v>
      </c>
      <c r="C1062" s="1">
        <v>114</v>
      </c>
      <c r="D1062" s="1">
        <v>3000031371</v>
      </c>
      <c r="E1062" s="1" t="s">
        <v>18</v>
      </c>
      <c r="F1062" s="16">
        <v>38</v>
      </c>
      <c r="G1062" s="25">
        <v>42550</v>
      </c>
      <c r="H1062" s="25"/>
      <c r="I1062" s="25">
        <v>42556</v>
      </c>
      <c r="J1062" s="1" t="s">
        <v>8</v>
      </c>
      <c r="K1062" s="77">
        <v>23.38</v>
      </c>
      <c r="L1062" s="1">
        <v>23.31</v>
      </c>
      <c r="M1062" s="1">
        <f t="shared" si="128"/>
        <v>23.31</v>
      </c>
      <c r="N1062" s="7">
        <f t="shared" si="134"/>
        <v>42570</v>
      </c>
      <c r="O1062" s="1">
        <v>1246154</v>
      </c>
      <c r="P1062" s="38">
        <f t="shared" si="131"/>
        <v>1242423</v>
      </c>
      <c r="Q1062" s="178">
        <v>42593</v>
      </c>
      <c r="R1062" s="66">
        <v>42594</v>
      </c>
      <c r="S1062" s="113">
        <f t="shared" si="132"/>
        <v>24</v>
      </c>
    </row>
    <row r="1063" spans="1:19" s="3" customFormat="1" hidden="1" x14ac:dyDescent="0.25">
      <c r="A1063" s="30">
        <v>135</v>
      </c>
      <c r="B1063" s="24">
        <v>42562</v>
      </c>
      <c r="C1063" s="1">
        <v>114</v>
      </c>
      <c r="D1063" s="1">
        <v>3000030988</v>
      </c>
      <c r="E1063" s="1" t="s">
        <v>37</v>
      </c>
      <c r="F1063" s="16">
        <v>69</v>
      </c>
      <c r="G1063" s="25">
        <v>42552</v>
      </c>
      <c r="H1063" s="25"/>
      <c r="I1063" s="25">
        <v>42556</v>
      </c>
      <c r="J1063" s="1" t="s">
        <v>16</v>
      </c>
      <c r="K1063" s="77">
        <v>10.58</v>
      </c>
      <c r="L1063" s="1">
        <v>10.58</v>
      </c>
      <c r="M1063" s="1">
        <f t="shared" si="128"/>
        <v>10.58</v>
      </c>
      <c r="N1063" s="7">
        <f t="shared" si="134"/>
        <v>42570</v>
      </c>
      <c r="O1063" s="1">
        <v>518420</v>
      </c>
      <c r="P1063" s="38">
        <f t="shared" si="131"/>
        <v>518420</v>
      </c>
      <c r="Q1063" s="178">
        <v>42593</v>
      </c>
      <c r="R1063" s="66">
        <v>42594</v>
      </c>
      <c r="S1063" s="113">
        <f t="shared" si="132"/>
        <v>24</v>
      </c>
    </row>
    <row r="1064" spans="1:19" s="3" customFormat="1" hidden="1" x14ac:dyDescent="0.25">
      <c r="A1064" s="30">
        <v>136</v>
      </c>
      <c r="B1064" s="24">
        <v>42562</v>
      </c>
      <c r="C1064" s="1">
        <v>114</v>
      </c>
      <c r="D1064" s="1">
        <v>3000031308</v>
      </c>
      <c r="E1064" s="1" t="s">
        <v>37</v>
      </c>
      <c r="F1064" s="16">
        <v>69</v>
      </c>
      <c r="G1064" s="25">
        <v>42552</v>
      </c>
      <c r="H1064" s="25"/>
      <c r="I1064" s="25">
        <v>42556</v>
      </c>
      <c r="J1064" s="1" t="s">
        <v>16</v>
      </c>
      <c r="K1064" s="77">
        <v>16.399999999999999</v>
      </c>
      <c r="L1064" s="1">
        <v>16.5</v>
      </c>
      <c r="M1064" s="1">
        <f t="shared" si="128"/>
        <v>16.399999999999999</v>
      </c>
      <c r="N1064" s="7">
        <f t="shared" si="134"/>
        <v>42570</v>
      </c>
      <c r="O1064" s="1">
        <v>820000</v>
      </c>
      <c r="P1064" s="38">
        <f t="shared" si="131"/>
        <v>820000</v>
      </c>
      <c r="Q1064" s="178">
        <v>42593</v>
      </c>
      <c r="R1064" s="66">
        <v>42594</v>
      </c>
      <c r="S1064" s="113">
        <f t="shared" si="132"/>
        <v>24</v>
      </c>
    </row>
    <row r="1065" spans="1:19" s="3" customFormat="1" hidden="1" x14ac:dyDescent="0.25">
      <c r="A1065" s="30">
        <v>200</v>
      </c>
      <c r="B1065" s="24">
        <v>42569</v>
      </c>
      <c r="C1065" s="1">
        <v>103</v>
      </c>
      <c r="D1065" s="1">
        <v>3000031295</v>
      </c>
      <c r="E1065" s="1" t="s">
        <v>50</v>
      </c>
      <c r="F1065" s="1">
        <v>26</v>
      </c>
      <c r="G1065" s="25">
        <v>42556</v>
      </c>
      <c r="H1065" s="25"/>
      <c r="I1065" s="25">
        <v>42556</v>
      </c>
      <c r="J1065" s="1" t="s">
        <v>43</v>
      </c>
      <c r="K1065" s="77">
        <v>32.340000000000003</v>
      </c>
      <c r="L1065" s="1">
        <v>32.340000000000003</v>
      </c>
      <c r="M1065" s="1">
        <f t="shared" si="128"/>
        <v>32.340000000000003</v>
      </c>
      <c r="N1065" s="7">
        <f t="shared" si="134"/>
        <v>42570</v>
      </c>
      <c r="O1065" s="1">
        <v>1888906</v>
      </c>
      <c r="P1065" s="38">
        <f t="shared" si="131"/>
        <v>1888905.9999999998</v>
      </c>
      <c r="Q1065" s="178">
        <v>42593</v>
      </c>
      <c r="R1065" s="66">
        <v>42594</v>
      </c>
      <c r="S1065" s="113">
        <f t="shared" si="132"/>
        <v>24</v>
      </c>
    </row>
    <row r="1066" spans="1:19" s="3" customFormat="1" hidden="1" x14ac:dyDescent="0.25">
      <c r="A1066" s="30">
        <v>174</v>
      </c>
      <c r="B1066" s="24">
        <v>42563</v>
      </c>
      <c r="C1066" s="1">
        <v>114</v>
      </c>
      <c r="D1066" s="1">
        <v>3000031361</v>
      </c>
      <c r="E1066" s="1" t="s">
        <v>27</v>
      </c>
      <c r="F1066" s="16">
        <v>859</v>
      </c>
      <c r="G1066" s="25">
        <v>42556</v>
      </c>
      <c r="H1066" s="25"/>
      <c r="I1066" s="25">
        <v>42559</v>
      </c>
      <c r="J1066" s="1" t="s">
        <v>8</v>
      </c>
      <c r="K1066" s="77">
        <v>21.96</v>
      </c>
      <c r="L1066" s="1">
        <v>21.96</v>
      </c>
      <c r="M1066" s="1">
        <f t="shared" si="128"/>
        <v>21.96</v>
      </c>
      <c r="N1066" s="7">
        <f t="shared" si="134"/>
        <v>42573</v>
      </c>
      <c r="O1066" s="1">
        <v>1170468</v>
      </c>
      <c r="P1066" s="38">
        <f t="shared" si="131"/>
        <v>1170468</v>
      </c>
      <c r="Q1066" s="178">
        <v>42593</v>
      </c>
      <c r="R1066" s="66">
        <v>42594</v>
      </c>
      <c r="S1066" s="113">
        <f t="shared" si="132"/>
        <v>21</v>
      </c>
    </row>
    <row r="1067" spans="1:19" s="3" customFormat="1" hidden="1" x14ac:dyDescent="0.25">
      <c r="A1067" s="30">
        <v>175</v>
      </c>
      <c r="B1067" s="24">
        <v>42563</v>
      </c>
      <c r="C1067" s="1">
        <v>114</v>
      </c>
      <c r="D1067" s="1">
        <v>3000031337</v>
      </c>
      <c r="E1067" s="1" t="s">
        <v>27</v>
      </c>
      <c r="F1067" s="16">
        <v>859</v>
      </c>
      <c r="G1067" s="25">
        <v>42556</v>
      </c>
      <c r="H1067" s="25"/>
      <c r="I1067" s="25">
        <v>42559</v>
      </c>
      <c r="J1067" s="1" t="s">
        <v>8</v>
      </c>
      <c r="K1067" s="77">
        <v>7.12</v>
      </c>
      <c r="L1067" s="1">
        <v>7.07</v>
      </c>
      <c r="M1067" s="1">
        <f t="shared" si="128"/>
        <v>7.07</v>
      </c>
      <c r="N1067" s="7">
        <f t="shared" si="134"/>
        <v>42573</v>
      </c>
      <c r="O1067" s="1">
        <v>380920</v>
      </c>
      <c r="P1067" s="38">
        <f t="shared" si="131"/>
        <v>378245</v>
      </c>
      <c r="Q1067" s="178">
        <v>42593</v>
      </c>
      <c r="R1067" s="66">
        <v>42594</v>
      </c>
      <c r="S1067" s="113">
        <f t="shared" si="132"/>
        <v>21</v>
      </c>
    </row>
    <row r="1068" spans="1:19" s="3" customFormat="1" hidden="1" x14ac:dyDescent="0.25">
      <c r="A1068" s="30">
        <v>176</v>
      </c>
      <c r="B1068" s="24">
        <v>42563</v>
      </c>
      <c r="C1068" s="1">
        <v>114</v>
      </c>
      <c r="D1068" s="1">
        <v>3000031360</v>
      </c>
      <c r="E1068" s="1" t="s">
        <v>29</v>
      </c>
      <c r="F1068" s="1">
        <v>115</v>
      </c>
      <c r="G1068" s="25">
        <v>42553</v>
      </c>
      <c r="H1068" s="25"/>
      <c r="I1068" s="25">
        <v>42559</v>
      </c>
      <c r="J1068" s="1" t="s">
        <v>8</v>
      </c>
      <c r="K1068" s="77">
        <v>31.81</v>
      </c>
      <c r="L1068" s="1">
        <v>31.6</v>
      </c>
      <c r="M1068" s="1">
        <f t="shared" si="128"/>
        <v>31.6</v>
      </c>
      <c r="N1068" s="7">
        <f t="shared" si="134"/>
        <v>42573</v>
      </c>
      <c r="O1068" s="1">
        <v>1695473</v>
      </c>
      <c r="P1068" s="38">
        <f t="shared" si="131"/>
        <v>1684280</v>
      </c>
      <c r="Q1068" s="178">
        <v>42593</v>
      </c>
      <c r="R1068" s="66">
        <v>42594</v>
      </c>
      <c r="S1068" s="113">
        <f t="shared" si="132"/>
        <v>21</v>
      </c>
    </row>
    <row r="1069" spans="1:19" s="3" customFormat="1" hidden="1" x14ac:dyDescent="0.25">
      <c r="A1069" s="30">
        <v>179</v>
      </c>
      <c r="B1069" s="24">
        <v>42563</v>
      </c>
      <c r="C1069" s="1">
        <v>114</v>
      </c>
      <c r="D1069" s="1">
        <v>3000030896</v>
      </c>
      <c r="E1069" s="1" t="s">
        <v>29</v>
      </c>
      <c r="F1069" s="1">
        <v>119</v>
      </c>
      <c r="G1069" s="25">
        <v>42557</v>
      </c>
      <c r="H1069" s="25"/>
      <c r="I1069" s="25">
        <v>42560</v>
      </c>
      <c r="J1069" s="1" t="s">
        <v>16</v>
      </c>
      <c r="K1069" s="77">
        <v>27.33</v>
      </c>
      <c r="L1069" s="1">
        <v>27.5</v>
      </c>
      <c r="M1069" s="1">
        <f t="shared" si="128"/>
        <v>27.33</v>
      </c>
      <c r="N1069" s="7">
        <f t="shared" si="134"/>
        <v>42574</v>
      </c>
      <c r="O1069" s="1">
        <v>1374699</v>
      </c>
      <c r="P1069" s="38">
        <f t="shared" ref="P1069:P1100" si="135">(+O1069/K1069*M1069)</f>
        <v>1374699</v>
      </c>
      <c r="Q1069" s="178">
        <v>42593</v>
      </c>
      <c r="R1069" s="66">
        <v>42594</v>
      </c>
      <c r="S1069" s="113">
        <f t="shared" si="132"/>
        <v>20</v>
      </c>
    </row>
    <row r="1070" spans="1:19" s="3" customFormat="1" hidden="1" x14ac:dyDescent="0.25">
      <c r="A1070" s="30">
        <v>144</v>
      </c>
      <c r="B1070" s="24">
        <v>42562</v>
      </c>
      <c r="C1070" s="1">
        <v>103</v>
      </c>
      <c r="D1070" s="1">
        <v>3000031798</v>
      </c>
      <c r="E1070" s="21" t="s">
        <v>169</v>
      </c>
      <c r="F1070" s="1">
        <v>102</v>
      </c>
      <c r="G1070" s="25">
        <v>42551</v>
      </c>
      <c r="H1070" s="25"/>
      <c r="I1070" s="25">
        <v>42555</v>
      </c>
      <c r="J1070" s="1" t="s">
        <v>61</v>
      </c>
      <c r="K1070" s="77">
        <v>20.22</v>
      </c>
      <c r="L1070" s="1">
        <v>20.22</v>
      </c>
      <c r="M1070" s="1">
        <f t="shared" si="128"/>
        <v>20.22</v>
      </c>
      <c r="N1070" s="7">
        <f t="shared" ref="N1070:N1088" si="136">+I1070+20-1</f>
        <v>42574</v>
      </c>
      <c r="O1070" s="1">
        <v>1647930</v>
      </c>
      <c r="P1070" s="38">
        <f t="shared" si="135"/>
        <v>1647930</v>
      </c>
      <c r="Q1070" s="178">
        <v>42593</v>
      </c>
      <c r="R1070" s="66">
        <v>42594</v>
      </c>
      <c r="S1070" s="113">
        <f t="shared" si="132"/>
        <v>20</v>
      </c>
    </row>
    <row r="1071" spans="1:19" s="3" customFormat="1" hidden="1" x14ac:dyDescent="0.25">
      <c r="A1071" s="30">
        <v>161</v>
      </c>
      <c r="B1071" s="24">
        <v>42562</v>
      </c>
      <c r="C1071" s="1">
        <v>103</v>
      </c>
      <c r="D1071" s="1">
        <v>3000032076</v>
      </c>
      <c r="E1071" s="1" t="s">
        <v>180</v>
      </c>
      <c r="F1071" s="1">
        <v>138</v>
      </c>
      <c r="G1071" s="25">
        <v>42551</v>
      </c>
      <c r="H1071" s="25"/>
      <c r="I1071" s="25">
        <v>42557</v>
      </c>
      <c r="J1071" s="1" t="s">
        <v>61</v>
      </c>
      <c r="K1071" s="77">
        <v>15.69</v>
      </c>
      <c r="L1071" s="1">
        <v>15.67</v>
      </c>
      <c r="M1071" s="1">
        <f t="shared" si="128"/>
        <v>15.67</v>
      </c>
      <c r="N1071" s="7">
        <f t="shared" si="136"/>
        <v>42576</v>
      </c>
      <c r="O1071" s="1">
        <v>1245900</v>
      </c>
      <c r="P1071" s="38">
        <f t="shared" si="135"/>
        <v>1244311.8546845124</v>
      </c>
      <c r="Q1071" s="178">
        <v>42593</v>
      </c>
      <c r="R1071" s="66">
        <v>42594</v>
      </c>
      <c r="S1071" s="113">
        <f t="shared" si="132"/>
        <v>18</v>
      </c>
    </row>
    <row r="1072" spans="1:19" s="3" customFormat="1" hidden="1" x14ac:dyDescent="0.25">
      <c r="A1072" s="30">
        <v>163</v>
      </c>
      <c r="B1072" s="24">
        <v>42562</v>
      </c>
      <c r="C1072" s="1">
        <v>103</v>
      </c>
      <c r="D1072" s="1">
        <v>3000031694</v>
      </c>
      <c r="E1072" s="1" t="s">
        <v>184</v>
      </c>
      <c r="F1072" s="1">
        <v>87</v>
      </c>
      <c r="G1072" s="25">
        <v>42553</v>
      </c>
      <c r="H1072" s="25"/>
      <c r="I1072" s="25">
        <v>42557</v>
      </c>
      <c r="J1072" s="1" t="s">
        <v>61</v>
      </c>
      <c r="K1072" s="77">
        <v>19.84</v>
      </c>
      <c r="L1072" s="1">
        <v>19.84</v>
      </c>
      <c r="M1072" s="1">
        <f t="shared" si="128"/>
        <v>19.84</v>
      </c>
      <c r="N1072" s="7">
        <f t="shared" si="136"/>
        <v>42576</v>
      </c>
      <c r="O1072" s="1">
        <v>1587373</v>
      </c>
      <c r="P1072" s="38">
        <f t="shared" si="135"/>
        <v>1587373</v>
      </c>
      <c r="Q1072" s="178">
        <v>42593</v>
      </c>
      <c r="R1072" s="66">
        <v>42594</v>
      </c>
      <c r="S1072" s="113">
        <f t="shared" si="132"/>
        <v>18</v>
      </c>
    </row>
    <row r="1073" spans="1:19" s="3" customFormat="1" hidden="1" x14ac:dyDescent="0.25">
      <c r="A1073" s="30">
        <v>164</v>
      </c>
      <c r="B1073" s="24">
        <v>42562</v>
      </c>
      <c r="C1073" s="1">
        <v>103</v>
      </c>
      <c r="D1073" s="1">
        <v>3000031842</v>
      </c>
      <c r="E1073" s="1" t="s">
        <v>184</v>
      </c>
      <c r="F1073" s="1">
        <v>88</v>
      </c>
      <c r="G1073" s="25">
        <v>42553</v>
      </c>
      <c r="H1073" s="25"/>
      <c r="I1073" s="25">
        <v>42557</v>
      </c>
      <c r="J1073" s="1" t="s">
        <v>61</v>
      </c>
      <c r="K1073" s="77">
        <v>20.170000000000002</v>
      </c>
      <c r="L1073" s="1">
        <v>20.12</v>
      </c>
      <c r="M1073" s="1">
        <f t="shared" si="128"/>
        <v>20.12</v>
      </c>
      <c r="N1073" s="7">
        <f t="shared" si="136"/>
        <v>42576</v>
      </c>
      <c r="O1073" s="1">
        <v>1627767</v>
      </c>
      <c r="P1073" s="38">
        <f t="shared" si="135"/>
        <v>1623731.8810114032</v>
      </c>
      <c r="Q1073" s="178">
        <v>42593</v>
      </c>
      <c r="R1073" s="66">
        <v>42594</v>
      </c>
      <c r="S1073" s="113">
        <f t="shared" ref="S1073:S1104" si="137">R1073-N1073</f>
        <v>18</v>
      </c>
    </row>
    <row r="1074" spans="1:19" s="3" customFormat="1" hidden="1" x14ac:dyDescent="0.25">
      <c r="A1074" s="30">
        <v>168</v>
      </c>
      <c r="B1074" s="24">
        <v>42562</v>
      </c>
      <c r="C1074" s="1">
        <v>103</v>
      </c>
      <c r="D1074" s="1">
        <v>3000031698</v>
      </c>
      <c r="E1074" s="1" t="s">
        <v>184</v>
      </c>
      <c r="F1074" s="1">
        <v>89</v>
      </c>
      <c r="G1074" s="25">
        <v>42554</v>
      </c>
      <c r="H1074" s="25"/>
      <c r="I1074" s="25">
        <v>42558</v>
      </c>
      <c r="J1074" s="1" t="s">
        <v>61</v>
      </c>
      <c r="K1074" s="77">
        <v>19.66</v>
      </c>
      <c r="L1074" s="1">
        <v>19.670000000000002</v>
      </c>
      <c r="M1074" s="1">
        <f t="shared" si="128"/>
        <v>19.66</v>
      </c>
      <c r="N1074" s="7">
        <f t="shared" si="136"/>
        <v>42577</v>
      </c>
      <c r="O1074" s="1">
        <v>1602450</v>
      </c>
      <c r="P1074" s="38">
        <f t="shared" si="135"/>
        <v>1602450</v>
      </c>
      <c r="Q1074" s="178">
        <v>42593</v>
      </c>
      <c r="R1074" s="66">
        <v>42594</v>
      </c>
      <c r="S1074" s="113">
        <f t="shared" si="137"/>
        <v>17</v>
      </c>
    </row>
    <row r="1075" spans="1:19" s="3" customFormat="1" hidden="1" x14ac:dyDescent="0.25">
      <c r="A1075" s="30">
        <v>165</v>
      </c>
      <c r="B1075" s="24">
        <v>42562</v>
      </c>
      <c r="C1075" s="1">
        <v>103</v>
      </c>
      <c r="D1075" s="1">
        <v>3000031640</v>
      </c>
      <c r="E1075" s="1" t="s">
        <v>171</v>
      </c>
      <c r="F1075" s="1">
        <v>18</v>
      </c>
      <c r="G1075" s="25">
        <v>42553</v>
      </c>
      <c r="H1075" s="25"/>
      <c r="I1075" s="25">
        <v>42557</v>
      </c>
      <c r="J1075" s="1" t="s">
        <v>61</v>
      </c>
      <c r="K1075" s="77">
        <v>20.309999999999999</v>
      </c>
      <c r="L1075" s="1">
        <v>20.32</v>
      </c>
      <c r="M1075" s="1">
        <f t="shared" si="128"/>
        <v>20.309999999999999</v>
      </c>
      <c r="N1075" s="7">
        <f t="shared" si="136"/>
        <v>42576</v>
      </c>
      <c r="O1075" s="1">
        <v>1655224</v>
      </c>
      <c r="P1075" s="38">
        <f t="shared" si="135"/>
        <v>1655224</v>
      </c>
      <c r="Q1075" s="178">
        <v>42593</v>
      </c>
      <c r="R1075" s="66">
        <v>42594</v>
      </c>
      <c r="S1075" s="113">
        <f t="shared" si="137"/>
        <v>18</v>
      </c>
    </row>
    <row r="1076" spans="1:19" s="3" customFormat="1" hidden="1" x14ac:dyDescent="0.25">
      <c r="A1076" s="30">
        <v>205</v>
      </c>
      <c r="B1076" s="24">
        <v>42569</v>
      </c>
      <c r="C1076" s="1">
        <v>103</v>
      </c>
      <c r="D1076" s="1">
        <v>3000031819</v>
      </c>
      <c r="E1076" s="1" t="s">
        <v>171</v>
      </c>
      <c r="F1076" s="1">
        <v>19</v>
      </c>
      <c r="G1076" s="25">
        <v>42556</v>
      </c>
      <c r="H1076" s="25"/>
      <c r="I1076" s="25">
        <v>42560</v>
      </c>
      <c r="J1076" s="1" t="s">
        <v>61</v>
      </c>
      <c r="K1076" s="77">
        <v>20.94</v>
      </c>
      <c r="L1076" s="1">
        <v>20.91</v>
      </c>
      <c r="M1076" s="1">
        <f t="shared" si="128"/>
        <v>20.91</v>
      </c>
      <c r="N1076" s="7">
        <f t="shared" si="136"/>
        <v>42579</v>
      </c>
      <c r="O1076" s="1">
        <v>1689908</v>
      </c>
      <c r="P1076" s="38">
        <f t="shared" si="135"/>
        <v>1687486.9283667621</v>
      </c>
      <c r="Q1076" s="178">
        <v>42593</v>
      </c>
      <c r="R1076" s="66">
        <v>42594</v>
      </c>
      <c r="S1076" s="113">
        <f t="shared" si="137"/>
        <v>15</v>
      </c>
    </row>
    <row r="1077" spans="1:19" s="3" customFormat="1" hidden="1" x14ac:dyDescent="0.25">
      <c r="A1077" s="30">
        <v>181</v>
      </c>
      <c r="B1077" s="24">
        <v>42564</v>
      </c>
      <c r="C1077" s="1">
        <v>103</v>
      </c>
      <c r="D1077" s="1">
        <v>3000031934</v>
      </c>
      <c r="E1077" s="1" t="s">
        <v>216</v>
      </c>
      <c r="F1077" s="1">
        <v>73</v>
      </c>
      <c r="G1077" s="25">
        <v>42552</v>
      </c>
      <c r="H1077" s="25"/>
      <c r="I1077" s="25">
        <v>42557</v>
      </c>
      <c r="J1077" s="1" t="s">
        <v>61</v>
      </c>
      <c r="K1077" s="77">
        <v>20.63</v>
      </c>
      <c r="L1077" s="1">
        <v>20.6</v>
      </c>
      <c r="M1077" s="1">
        <f t="shared" si="128"/>
        <v>20.6</v>
      </c>
      <c r="N1077" s="7">
        <f t="shared" si="136"/>
        <v>42576</v>
      </c>
      <c r="O1077" s="1">
        <v>1681514</v>
      </c>
      <c r="P1077" s="38">
        <f t="shared" si="135"/>
        <v>1679068.7542413964</v>
      </c>
      <c r="Q1077" s="178">
        <v>42593</v>
      </c>
      <c r="R1077" s="66">
        <v>42594</v>
      </c>
      <c r="S1077" s="113">
        <f t="shared" si="137"/>
        <v>18</v>
      </c>
    </row>
    <row r="1078" spans="1:19" s="3" customFormat="1" hidden="1" x14ac:dyDescent="0.25">
      <c r="A1078" s="30">
        <v>182</v>
      </c>
      <c r="B1078" s="24">
        <v>42564</v>
      </c>
      <c r="C1078" s="1">
        <v>103</v>
      </c>
      <c r="D1078" s="1">
        <v>3000031782</v>
      </c>
      <c r="E1078" s="21" t="s">
        <v>158</v>
      </c>
      <c r="F1078" s="1">
        <v>40</v>
      </c>
      <c r="G1078" s="25">
        <v>42552</v>
      </c>
      <c r="H1078" s="25"/>
      <c r="I1078" s="25">
        <v>42558</v>
      </c>
      <c r="J1078" s="1" t="s">
        <v>61</v>
      </c>
      <c r="K1078" s="77">
        <v>16.989999999999998</v>
      </c>
      <c r="L1078" s="1">
        <v>16.97</v>
      </c>
      <c r="M1078" s="1">
        <f t="shared" si="128"/>
        <v>16.97</v>
      </c>
      <c r="N1078" s="7">
        <f t="shared" si="136"/>
        <v>42577</v>
      </c>
      <c r="O1078" s="1">
        <v>1384685</v>
      </c>
      <c r="P1078" s="38">
        <f t="shared" si="135"/>
        <v>1383055.0000000002</v>
      </c>
      <c r="Q1078" s="178">
        <v>42593</v>
      </c>
      <c r="R1078" s="66">
        <v>42594</v>
      </c>
      <c r="S1078" s="113">
        <f t="shared" si="137"/>
        <v>17</v>
      </c>
    </row>
    <row r="1079" spans="1:19" s="3" customFormat="1" hidden="1" x14ac:dyDescent="0.25">
      <c r="A1079" s="30">
        <v>193</v>
      </c>
      <c r="B1079" s="24">
        <v>42564</v>
      </c>
      <c r="C1079" s="1">
        <v>103</v>
      </c>
      <c r="D1079" s="1">
        <v>3000031782</v>
      </c>
      <c r="E1079" s="21" t="s">
        <v>158</v>
      </c>
      <c r="F1079" s="1">
        <v>42</v>
      </c>
      <c r="G1079" s="25">
        <v>42555</v>
      </c>
      <c r="H1079" s="25"/>
      <c r="I1079" s="25">
        <v>42559</v>
      </c>
      <c r="J1079" s="1" t="s">
        <v>61</v>
      </c>
      <c r="K1079" s="77">
        <v>21.14</v>
      </c>
      <c r="L1079" s="1">
        <v>21.08</v>
      </c>
      <c r="M1079" s="1">
        <f t="shared" si="128"/>
        <v>21.08</v>
      </c>
      <c r="N1079" s="7">
        <f t="shared" si="136"/>
        <v>42578</v>
      </c>
      <c r="O1079" s="1">
        <v>1722910</v>
      </c>
      <c r="P1079" s="38">
        <f t="shared" si="135"/>
        <v>1718019.9999999998</v>
      </c>
      <c r="Q1079" s="178">
        <v>42593</v>
      </c>
      <c r="R1079" s="66">
        <v>42594</v>
      </c>
      <c r="S1079" s="113">
        <f t="shared" si="137"/>
        <v>16</v>
      </c>
    </row>
    <row r="1080" spans="1:19" s="3" customFormat="1" hidden="1" x14ac:dyDescent="0.25">
      <c r="A1080" s="30">
        <v>184</v>
      </c>
      <c r="B1080" s="24">
        <v>42564</v>
      </c>
      <c r="C1080" s="1">
        <v>103</v>
      </c>
      <c r="D1080" s="1">
        <v>3000032067</v>
      </c>
      <c r="E1080" s="1" t="s">
        <v>200</v>
      </c>
      <c r="F1080" s="1">
        <v>80</v>
      </c>
      <c r="G1080" s="25">
        <v>42555</v>
      </c>
      <c r="H1080" s="25"/>
      <c r="I1080" s="25">
        <v>42558</v>
      </c>
      <c r="J1080" s="1" t="s">
        <v>61</v>
      </c>
      <c r="K1080" s="77">
        <v>20.5</v>
      </c>
      <c r="L1080" s="1">
        <v>20.48</v>
      </c>
      <c r="M1080" s="1">
        <f t="shared" si="128"/>
        <v>20.48</v>
      </c>
      <c r="N1080" s="7">
        <f t="shared" si="136"/>
        <v>42577</v>
      </c>
      <c r="O1080" s="1">
        <v>1635000</v>
      </c>
      <c r="P1080" s="38">
        <f t="shared" si="135"/>
        <v>1633404.8780487806</v>
      </c>
      <c r="Q1080" s="178">
        <v>42593</v>
      </c>
      <c r="R1080" s="66">
        <v>42594</v>
      </c>
      <c r="S1080" s="113">
        <f t="shared" si="137"/>
        <v>17</v>
      </c>
    </row>
    <row r="1081" spans="1:19" s="3" customFormat="1" hidden="1" x14ac:dyDescent="0.25">
      <c r="A1081" s="30">
        <v>185</v>
      </c>
      <c r="B1081" s="24">
        <v>42564</v>
      </c>
      <c r="C1081" s="1">
        <v>103</v>
      </c>
      <c r="D1081" s="1">
        <v>3000031786</v>
      </c>
      <c r="E1081" s="1" t="s">
        <v>172</v>
      </c>
      <c r="F1081" s="1">
        <v>38</v>
      </c>
      <c r="G1081" s="25">
        <v>42552</v>
      </c>
      <c r="H1081" s="25"/>
      <c r="I1081" s="25">
        <v>42558</v>
      </c>
      <c r="J1081" s="1" t="s">
        <v>61</v>
      </c>
      <c r="K1081" s="77">
        <v>20.02</v>
      </c>
      <c r="L1081" s="1">
        <v>20.04</v>
      </c>
      <c r="M1081" s="1">
        <f t="shared" si="128"/>
        <v>20.02</v>
      </c>
      <c r="N1081" s="7">
        <f t="shared" si="136"/>
        <v>42577</v>
      </c>
      <c r="O1081" s="1">
        <v>1631630</v>
      </c>
      <c r="P1081" s="38">
        <f t="shared" si="135"/>
        <v>1631630</v>
      </c>
      <c r="Q1081" s="178">
        <v>42593</v>
      </c>
      <c r="R1081" s="66">
        <v>42594</v>
      </c>
      <c r="S1081" s="113">
        <f t="shared" si="137"/>
        <v>17</v>
      </c>
    </row>
    <row r="1082" spans="1:19" s="3" customFormat="1" hidden="1" x14ac:dyDescent="0.25">
      <c r="A1082" s="30">
        <v>188</v>
      </c>
      <c r="B1082" s="24">
        <v>42564</v>
      </c>
      <c r="C1082" s="1">
        <v>103</v>
      </c>
      <c r="D1082" s="1">
        <v>3000032065</v>
      </c>
      <c r="E1082" s="1" t="s">
        <v>170</v>
      </c>
      <c r="F1082" s="1">
        <v>33</v>
      </c>
      <c r="G1082" s="25">
        <v>42555</v>
      </c>
      <c r="H1082" s="25"/>
      <c r="I1082" s="25">
        <v>42559</v>
      </c>
      <c r="J1082" s="1" t="s">
        <v>61</v>
      </c>
      <c r="K1082" s="77">
        <v>20.28</v>
      </c>
      <c r="L1082" s="1">
        <v>20.22</v>
      </c>
      <c r="M1082" s="1">
        <f t="shared" si="128"/>
        <v>20.22</v>
      </c>
      <c r="N1082" s="7">
        <f t="shared" si="136"/>
        <v>42578</v>
      </c>
      <c r="O1082" s="1">
        <v>1617330</v>
      </c>
      <c r="P1082" s="38">
        <f t="shared" si="135"/>
        <v>1612545</v>
      </c>
      <c r="Q1082" s="178">
        <v>42593</v>
      </c>
      <c r="R1082" s="66">
        <v>42594</v>
      </c>
      <c r="S1082" s="113">
        <f t="shared" si="137"/>
        <v>16</v>
      </c>
    </row>
    <row r="1083" spans="1:19" s="3" customFormat="1" hidden="1" x14ac:dyDescent="0.25">
      <c r="A1083" s="30">
        <v>191</v>
      </c>
      <c r="B1083" s="24">
        <v>42564</v>
      </c>
      <c r="C1083" s="1">
        <v>103</v>
      </c>
      <c r="D1083" s="1">
        <v>3000030956</v>
      </c>
      <c r="E1083" s="1" t="s">
        <v>145</v>
      </c>
      <c r="F1083" s="1">
        <v>34</v>
      </c>
      <c r="G1083" s="25">
        <v>42550</v>
      </c>
      <c r="H1083" s="25"/>
      <c r="I1083" s="25">
        <v>42559</v>
      </c>
      <c r="J1083" s="1" t="s">
        <v>61</v>
      </c>
      <c r="K1083" s="77">
        <v>20.05</v>
      </c>
      <c r="L1083" s="1">
        <v>20.305</v>
      </c>
      <c r="M1083" s="1">
        <f t="shared" si="128"/>
        <v>20.05</v>
      </c>
      <c r="N1083" s="7">
        <f t="shared" si="136"/>
        <v>42578</v>
      </c>
      <c r="O1083" s="1">
        <v>1594156</v>
      </c>
      <c r="P1083" s="38">
        <f t="shared" si="135"/>
        <v>1594156</v>
      </c>
      <c r="Q1083" s="178">
        <v>42593</v>
      </c>
      <c r="R1083" s="66">
        <v>42594</v>
      </c>
      <c r="S1083" s="113">
        <f t="shared" si="137"/>
        <v>16</v>
      </c>
    </row>
    <row r="1084" spans="1:19" s="3" customFormat="1" hidden="1" x14ac:dyDescent="0.25">
      <c r="A1084" s="30">
        <v>192</v>
      </c>
      <c r="B1084" s="24">
        <v>42564</v>
      </c>
      <c r="C1084" s="1">
        <v>103</v>
      </c>
      <c r="D1084" s="1">
        <v>3000030956</v>
      </c>
      <c r="E1084" s="1" t="s">
        <v>145</v>
      </c>
      <c r="F1084" s="1">
        <v>35</v>
      </c>
      <c r="G1084" s="25">
        <v>42550</v>
      </c>
      <c r="H1084" s="25"/>
      <c r="I1084" s="25">
        <v>42559</v>
      </c>
      <c r="J1084" s="1" t="s">
        <v>61</v>
      </c>
      <c r="K1084" s="77">
        <v>19.89</v>
      </c>
      <c r="L1084" s="1">
        <v>19.87</v>
      </c>
      <c r="M1084" s="1">
        <f t="shared" si="128"/>
        <v>19.87</v>
      </c>
      <c r="N1084" s="7">
        <f t="shared" si="136"/>
        <v>42578</v>
      </c>
      <c r="O1084" s="1">
        <v>1581435</v>
      </c>
      <c r="P1084" s="38">
        <f t="shared" si="135"/>
        <v>1579844.819004525</v>
      </c>
      <c r="Q1084" s="178">
        <v>42593</v>
      </c>
      <c r="R1084" s="66">
        <v>42594</v>
      </c>
      <c r="S1084" s="113">
        <f t="shared" si="137"/>
        <v>16</v>
      </c>
    </row>
    <row r="1085" spans="1:19" s="3" customFormat="1" hidden="1" x14ac:dyDescent="0.25">
      <c r="A1085" s="30">
        <v>247</v>
      </c>
      <c r="B1085" s="24">
        <v>42570</v>
      </c>
      <c r="C1085" s="1">
        <v>114</v>
      </c>
      <c r="D1085" s="1">
        <v>3000031779</v>
      </c>
      <c r="E1085" s="21" t="s">
        <v>202</v>
      </c>
      <c r="F1085" s="1">
        <v>71</v>
      </c>
      <c r="G1085" s="25">
        <v>42545</v>
      </c>
      <c r="H1085" s="25"/>
      <c r="I1085" s="25">
        <v>42560</v>
      </c>
      <c r="J1085" s="1" t="s">
        <v>61</v>
      </c>
      <c r="K1085" s="77">
        <v>15.77</v>
      </c>
      <c r="L1085" s="1">
        <v>15.79</v>
      </c>
      <c r="M1085" s="1">
        <f t="shared" ref="M1085:M1148" si="138">IF(L1085&gt;K1085,K1085,L1085)</f>
        <v>15.77</v>
      </c>
      <c r="N1085" s="7">
        <f t="shared" si="136"/>
        <v>42579</v>
      </c>
      <c r="O1085" s="1">
        <v>1340450</v>
      </c>
      <c r="P1085" s="38">
        <f t="shared" si="135"/>
        <v>1340450</v>
      </c>
      <c r="Q1085" s="178">
        <v>42593</v>
      </c>
      <c r="R1085" s="66">
        <v>42594</v>
      </c>
      <c r="S1085" s="113">
        <f t="shared" si="137"/>
        <v>15</v>
      </c>
    </row>
    <row r="1086" spans="1:19" s="3" customFormat="1" hidden="1" x14ac:dyDescent="0.25">
      <c r="A1086" s="30">
        <v>207</v>
      </c>
      <c r="B1086" s="24">
        <v>42569</v>
      </c>
      <c r="C1086" s="1">
        <v>103</v>
      </c>
      <c r="D1086" s="1">
        <v>3000031644</v>
      </c>
      <c r="E1086" s="1" t="s">
        <v>182</v>
      </c>
      <c r="F1086" s="1">
        <v>46</v>
      </c>
      <c r="G1086" s="25">
        <v>42557</v>
      </c>
      <c r="H1086" s="25"/>
      <c r="I1086" s="25">
        <v>42561</v>
      </c>
      <c r="J1086" s="1" t="s">
        <v>61</v>
      </c>
      <c r="K1086" s="77">
        <v>20.68</v>
      </c>
      <c r="L1086" s="1">
        <v>20.67</v>
      </c>
      <c r="M1086" s="1">
        <f t="shared" si="138"/>
        <v>20.67</v>
      </c>
      <c r="N1086" s="7">
        <f t="shared" si="136"/>
        <v>42580</v>
      </c>
      <c r="O1086" s="1">
        <v>1685420</v>
      </c>
      <c r="P1086" s="38">
        <f t="shared" si="135"/>
        <v>1684605.0000000002</v>
      </c>
      <c r="Q1086" s="178">
        <v>42593</v>
      </c>
      <c r="R1086" s="66">
        <v>42594</v>
      </c>
      <c r="S1086" s="113">
        <f t="shared" si="137"/>
        <v>14</v>
      </c>
    </row>
    <row r="1087" spans="1:19" s="3" customFormat="1" hidden="1" x14ac:dyDescent="0.25">
      <c r="A1087" s="30">
        <v>210</v>
      </c>
      <c r="B1087" s="24">
        <v>42569</v>
      </c>
      <c r="C1087" s="1">
        <v>103</v>
      </c>
      <c r="D1087" s="1">
        <v>3000031813</v>
      </c>
      <c r="E1087" s="1" t="s">
        <v>60</v>
      </c>
      <c r="F1087" s="1">
        <v>345</v>
      </c>
      <c r="G1087" s="25">
        <v>42557</v>
      </c>
      <c r="H1087" s="25"/>
      <c r="I1087" s="25">
        <v>42561</v>
      </c>
      <c r="J1087" s="1" t="s">
        <v>61</v>
      </c>
      <c r="K1087" s="77">
        <v>20.59</v>
      </c>
      <c r="L1087" s="1">
        <v>20.54</v>
      </c>
      <c r="M1087" s="1">
        <f t="shared" si="138"/>
        <v>20.54</v>
      </c>
      <c r="N1087" s="7">
        <f t="shared" si="136"/>
        <v>42580</v>
      </c>
      <c r="O1087" s="1">
        <v>1560644</v>
      </c>
      <c r="P1087" s="38">
        <f t="shared" si="135"/>
        <v>1556854.1894123359</v>
      </c>
      <c r="Q1087" s="178">
        <v>42593</v>
      </c>
      <c r="R1087" s="66">
        <v>42594</v>
      </c>
      <c r="S1087" s="113">
        <f t="shared" si="137"/>
        <v>14</v>
      </c>
    </row>
    <row r="1088" spans="1:19" s="3" customFormat="1" hidden="1" x14ac:dyDescent="0.25">
      <c r="A1088" s="30">
        <v>230</v>
      </c>
      <c r="B1088" s="24">
        <v>42569</v>
      </c>
      <c r="C1088" s="1">
        <v>103</v>
      </c>
      <c r="D1088" s="1">
        <v>3000031813</v>
      </c>
      <c r="E1088" s="1" t="s">
        <v>60</v>
      </c>
      <c r="F1088" s="1">
        <v>350</v>
      </c>
      <c r="G1088" s="25">
        <v>42559</v>
      </c>
      <c r="H1088" s="25"/>
      <c r="I1088" s="25">
        <v>42563</v>
      </c>
      <c r="J1088" s="1" t="s">
        <v>61</v>
      </c>
      <c r="K1088" s="77">
        <v>19.84</v>
      </c>
      <c r="L1088" s="1">
        <v>19.760000000000002</v>
      </c>
      <c r="M1088" s="1">
        <f t="shared" si="138"/>
        <v>19.760000000000002</v>
      </c>
      <c r="N1088" s="7">
        <f t="shared" si="136"/>
        <v>42582</v>
      </c>
      <c r="O1088" s="1">
        <v>1503796</v>
      </c>
      <c r="P1088" s="38">
        <f t="shared" si="135"/>
        <v>1497732.3064516131</v>
      </c>
      <c r="Q1088" s="178">
        <v>42593</v>
      </c>
      <c r="R1088" s="66">
        <v>42594</v>
      </c>
      <c r="S1088" s="113">
        <f t="shared" si="137"/>
        <v>12</v>
      </c>
    </row>
    <row r="1089" spans="1:19" s="3" customFormat="1" hidden="1" x14ac:dyDescent="0.25">
      <c r="A1089" s="30">
        <v>269</v>
      </c>
      <c r="B1089" s="24">
        <v>42570</v>
      </c>
      <c r="C1089" s="1">
        <v>114</v>
      </c>
      <c r="D1089" s="1">
        <v>3000032301</v>
      </c>
      <c r="E1089" s="1" t="s">
        <v>30</v>
      </c>
      <c r="F1089" s="1">
        <v>153</v>
      </c>
      <c r="G1089" s="25">
        <v>42563</v>
      </c>
      <c r="H1089" s="25"/>
      <c r="I1089" s="25">
        <v>42566</v>
      </c>
      <c r="J1089" s="1" t="s">
        <v>229</v>
      </c>
      <c r="K1089" s="77">
        <v>27.89</v>
      </c>
      <c r="L1089" s="1">
        <v>27.81</v>
      </c>
      <c r="M1089" s="1">
        <f t="shared" si="138"/>
        <v>27.81</v>
      </c>
      <c r="N1089" s="7">
        <f>+I1089+15-1</f>
        <v>42580</v>
      </c>
      <c r="O1089" s="1">
        <v>1520006</v>
      </c>
      <c r="P1089" s="38">
        <f t="shared" si="135"/>
        <v>1515645.9971315884</v>
      </c>
      <c r="Q1089" s="178">
        <v>42593</v>
      </c>
      <c r="R1089" s="66">
        <v>42594</v>
      </c>
      <c r="S1089" s="113">
        <f t="shared" si="137"/>
        <v>14</v>
      </c>
    </row>
    <row r="1090" spans="1:19" s="3" customFormat="1" hidden="1" x14ac:dyDescent="0.25">
      <c r="A1090" s="30">
        <v>216</v>
      </c>
      <c r="B1090" s="24">
        <v>42569</v>
      </c>
      <c r="C1090" s="1">
        <v>103</v>
      </c>
      <c r="D1090" s="1">
        <v>3000032080</v>
      </c>
      <c r="E1090" s="1" t="s">
        <v>213</v>
      </c>
      <c r="F1090" s="1">
        <v>75</v>
      </c>
      <c r="G1090" s="25">
        <v>42556</v>
      </c>
      <c r="H1090" s="25"/>
      <c r="I1090" s="25">
        <v>42562</v>
      </c>
      <c r="J1090" s="1" t="s">
        <v>61</v>
      </c>
      <c r="K1090" s="77">
        <v>20.71</v>
      </c>
      <c r="L1090" s="1">
        <v>20.69</v>
      </c>
      <c r="M1090" s="1">
        <f t="shared" si="138"/>
        <v>20.69</v>
      </c>
      <c r="N1090" s="7">
        <f>+I1090+20-1</f>
        <v>42581</v>
      </c>
      <c r="O1090" s="1">
        <v>1644518</v>
      </c>
      <c r="P1090" s="38">
        <f t="shared" si="135"/>
        <v>1642929.8609367455</v>
      </c>
      <c r="Q1090" s="178">
        <v>42593</v>
      </c>
      <c r="R1090" s="66">
        <v>42594</v>
      </c>
      <c r="S1090" s="113">
        <f t="shared" si="137"/>
        <v>13</v>
      </c>
    </row>
    <row r="1091" spans="1:19" s="3" customFormat="1" hidden="1" x14ac:dyDescent="0.25">
      <c r="A1091" s="30">
        <v>487</v>
      </c>
      <c r="B1091" s="24">
        <v>42586</v>
      </c>
      <c r="C1091" s="1">
        <v>114</v>
      </c>
      <c r="D1091" s="1">
        <v>3000032768</v>
      </c>
      <c r="E1091" s="1" t="s">
        <v>281</v>
      </c>
      <c r="F1091" s="1">
        <v>107</v>
      </c>
      <c r="G1091" s="25">
        <v>42570</v>
      </c>
      <c r="H1091" s="25"/>
      <c r="I1091" s="25">
        <v>42570</v>
      </c>
      <c r="J1091" s="1" t="s">
        <v>277</v>
      </c>
      <c r="K1091" s="77">
        <v>18.504999999999999</v>
      </c>
      <c r="L1091" s="1">
        <v>18.510000000000002</v>
      </c>
      <c r="M1091" s="1">
        <f t="shared" si="138"/>
        <v>18.504999999999999</v>
      </c>
      <c r="N1091" s="7">
        <f>+I1091+15-1</f>
        <v>42584</v>
      </c>
      <c r="O1091" s="1">
        <v>899343</v>
      </c>
      <c r="P1091" s="38">
        <f t="shared" si="135"/>
        <v>899343</v>
      </c>
      <c r="Q1091" s="178">
        <v>42593</v>
      </c>
      <c r="R1091" s="66">
        <v>42594</v>
      </c>
      <c r="S1091" s="113">
        <f t="shared" si="137"/>
        <v>10</v>
      </c>
    </row>
    <row r="1092" spans="1:19" s="3" customFormat="1" hidden="1" x14ac:dyDescent="0.25">
      <c r="A1092" s="30">
        <v>488</v>
      </c>
      <c r="B1092" s="24">
        <v>42586</v>
      </c>
      <c r="C1092" s="1">
        <v>114</v>
      </c>
      <c r="D1092" s="1">
        <v>3000032768</v>
      </c>
      <c r="E1092" s="1" t="s">
        <v>281</v>
      </c>
      <c r="F1092" s="1">
        <v>108</v>
      </c>
      <c r="G1092" s="25">
        <v>42571</v>
      </c>
      <c r="H1092" s="25"/>
      <c r="I1092" s="25">
        <v>42571</v>
      </c>
      <c r="J1092" s="1" t="s">
        <v>277</v>
      </c>
      <c r="K1092" s="77">
        <v>20.184999999999999</v>
      </c>
      <c r="L1092" s="1">
        <v>20.184999999999999</v>
      </c>
      <c r="M1092" s="1">
        <f t="shared" si="138"/>
        <v>20.184999999999999</v>
      </c>
      <c r="N1092" s="7">
        <f>+I1092+15-1</f>
        <v>42585</v>
      </c>
      <c r="O1092" s="1">
        <v>980991</v>
      </c>
      <c r="P1092" s="38">
        <f t="shared" si="135"/>
        <v>980990.99999999988</v>
      </c>
      <c r="Q1092" s="178">
        <v>42593</v>
      </c>
      <c r="R1092" s="66">
        <v>42594</v>
      </c>
      <c r="S1092" s="113">
        <f t="shared" si="137"/>
        <v>9</v>
      </c>
    </row>
    <row r="1093" spans="1:19" s="3" customFormat="1" hidden="1" x14ac:dyDescent="0.25">
      <c r="A1093" s="30">
        <v>489</v>
      </c>
      <c r="B1093" s="24">
        <v>42586</v>
      </c>
      <c r="C1093" s="1">
        <v>114</v>
      </c>
      <c r="D1093" s="1">
        <v>3000032768</v>
      </c>
      <c r="E1093" s="1" t="s">
        <v>281</v>
      </c>
      <c r="F1093" s="1">
        <v>109</v>
      </c>
      <c r="G1093" s="25">
        <v>42571</v>
      </c>
      <c r="H1093" s="25"/>
      <c r="I1093" s="25">
        <v>42571</v>
      </c>
      <c r="J1093" s="1" t="s">
        <v>277</v>
      </c>
      <c r="K1093" s="77">
        <v>20.28</v>
      </c>
      <c r="L1093" s="1">
        <v>20.28</v>
      </c>
      <c r="M1093" s="1">
        <f t="shared" si="138"/>
        <v>20.28</v>
      </c>
      <c r="N1093" s="7">
        <f>+I1093+15-1</f>
        <v>42585</v>
      </c>
      <c r="O1093" s="1">
        <v>985608</v>
      </c>
      <c r="P1093" s="38">
        <f t="shared" si="135"/>
        <v>985608</v>
      </c>
      <c r="Q1093" s="178">
        <v>42593</v>
      </c>
      <c r="R1093" s="66">
        <v>42594</v>
      </c>
      <c r="S1093" s="113">
        <f t="shared" si="137"/>
        <v>9</v>
      </c>
    </row>
    <row r="1094" spans="1:19" s="3" customFormat="1" hidden="1" x14ac:dyDescent="0.25">
      <c r="A1094" s="30">
        <v>346</v>
      </c>
      <c r="B1094" s="24">
        <v>42576</v>
      </c>
      <c r="C1094" s="1">
        <v>103</v>
      </c>
      <c r="D1094" s="1">
        <v>3000032684</v>
      </c>
      <c r="E1094" s="1" t="s">
        <v>199</v>
      </c>
      <c r="F1094" s="1">
        <v>5729</v>
      </c>
      <c r="G1094" s="25">
        <v>42569</v>
      </c>
      <c r="H1094" s="25"/>
      <c r="I1094" s="25">
        <v>42572</v>
      </c>
      <c r="J1094" s="1" t="s">
        <v>61</v>
      </c>
      <c r="K1094" s="77">
        <v>20.5</v>
      </c>
      <c r="L1094" s="1">
        <v>20.45</v>
      </c>
      <c r="M1094" s="1">
        <f t="shared" si="138"/>
        <v>20.45</v>
      </c>
      <c r="N1094" s="7">
        <f>+I1094+20-1</f>
        <v>42591</v>
      </c>
      <c r="O1094" s="1">
        <v>1632876</v>
      </c>
      <c r="P1094" s="38">
        <f t="shared" si="135"/>
        <v>1628893.3756097562</v>
      </c>
      <c r="Q1094" s="178">
        <v>42593</v>
      </c>
      <c r="R1094" s="66">
        <v>42594</v>
      </c>
      <c r="S1094" s="113">
        <f t="shared" si="137"/>
        <v>3</v>
      </c>
    </row>
    <row r="1095" spans="1:19" s="3" customFormat="1" hidden="1" x14ac:dyDescent="0.25">
      <c r="A1095" s="30">
        <v>526</v>
      </c>
      <c r="B1095" s="24">
        <v>42587</v>
      </c>
      <c r="C1095" s="1">
        <v>103</v>
      </c>
      <c r="D1095" s="1">
        <v>3000033152</v>
      </c>
      <c r="E1095" s="1" t="s">
        <v>225</v>
      </c>
      <c r="F1095" s="1">
        <v>77</v>
      </c>
      <c r="G1095" s="25">
        <v>42576</v>
      </c>
      <c r="H1095" s="25"/>
      <c r="I1095" s="25">
        <v>42584</v>
      </c>
      <c r="J1095" s="1" t="s">
        <v>61</v>
      </c>
      <c r="K1095" s="77">
        <v>20.25</v>
      </c>
      <c r="L1095" s="1">
        <v>20.170000000000002</v>
      </c>
      <c r="M1095" s="1">
        <f t="shared" si="138"/>
        <v>20.170000000000002</v>
      </c>
      <c r="N1095" s="7">
        <f>+I1095+7-1</f>
        <v>42590</v>
      </c>
      <c r="O1095" s="1">
        <v>1514700</v>
      </c>
      <c r="P1095" s="38">
        <f t="shared" si="135"/>
        <v>1508716.0000000002</v>
      </c>
      <c r="Q1095" s="178">
        <v>42593</v>
      </c>
      <c r="R1095" s="66">
        <v>42594</v>
      </c>
      <c r="S1095" s="113">
        <f t="shared" si="137"/>
        <v>4</v>
      </c>
    </row>
    <row r="1096" spans="1:19" s="3" customFormat="1" hidden="1" x14ac:dyDescent="0.25">
      <c r="A1096" s="30">
        <v>377</v>
      </c>
      <c r="B1096" s="24">
        <v>42578</v>
      </c>
      <c r="C1096" s="1">
        <v>103</v>
      </c>
      <c r="D1096" s="1">
        <v>3000032081</v>
      </c>
      <c r="E1096" s="1" t="s">
        <v>201</v>
      </c>
      <c r="F1096" s="1">
        <v>110</v>
      </c>
      <c r="G1096" s="25">
        <v>42568</v>
      </c>
      <c r="H1096" s="25"/>
      <c r="I1096" s="25">
        <v>42573</v>
      </c>
      <c r="J1096" s="1" t="s">
        <v>61</v>
      </c>
      <c r="K1096" s="77">
        <v>20.48</v>
      </c>
      <c r="L1096" s="1">
        <v>20.39</v>
      </c>
      <c r="M1096" s="1">
        <f t="shared" si="138"/>
        <v>20.39</v>
      </c>
      <c r="N1096" s="7">
        <f t="shared" ref="N1096:N1101" si="139">+I1096+20-1</f>
        <v>42592</v>
      </c>
      <c r="O1096" s="1">
        <v>1626111</v>
      </c>
      <c r="P1096" s="38">
        <f t="shared" si="135"/>
        <v>1618965.0043945312</v>
      </c>
      <c r="Q1096" s="178">
        <v>42593</v>
      </c>
      <c r="R1096" s="66">
        <v>42594</v>
      </c>
      <c r="S1096" s="113">
        <f t="shared" si="137"/>
        <v>2</v>
      </c>
    </row>
    <row r="1097" spans="1:19" s="3" customFormat="1" hidden="1" x14ac:dyDescent="0.25">
      <c r="A1097" s="30">
        <v>382</v>
      </c>
      <c r="B1097" s="24">
        <v>42578</v>
      </c>
      <c r="C1097" s="1">
        <v>103</v>
      </c>
      <c r="D1097" s="1">
        <v>3000032685</v>
      </c>
      <c r="E1097" s="1" t="s">
        <v>260</v>
      </c>
      <c r="F1097" s="1">
        <v>28</v>
      </c>
      <c r="G1097" s="25">
        <v>42570</v>
      </c>
      <c r="H1097" s="25"/>
      <c r="I1097" s="25">
        <v>42573</v>
      </c>
      <c r="J1097" s="1" t="s">
        <v>61</v>
      </c>
      <c r="K1097" s="77">
        <v>19.97</v>
      </c>
      <c r="L1097" s="1">
        <v>19.89</v>
      </c>
      <c r="M1097" s="1">
        <f t="shared" si="138"/>
        <v>19.89</v>
      </c>
      <c r="N1097" s="7">
        <f t="shared" si="139"/>
        <v>42592</v>
      </c>
      <c r="O1097" s="1">
        <v>1590660</v>
      </c>
      <c r="P1097" s="38">
        <f t="shared" si="135"/>
        <v>1584287.8017025541</v>
      </c>
      <c r="Q1097" s="178">
        <v>42593</v>
      </c>
      <c r="R1097" s="66">
        <v>42594</v>
      </c>
      <c r="S1097" s="113">
        <f t="shared" si="137"/>
        <v>2</v>
      </c>
    </row>
    <row r="1098" spans="1:19" s="65" customFormat="1" hidden="1" x14ac:dyDescent="0.25">
      <c r="A1098" s="146">
        <v>169</v>
      </c>
      <c r="B1098" s="60">
        <v>42562</v>
      </c>
      <c r="C1098" s="18">
        <v>114</v>
      </c>
      <c r="D1098" s="18">
        <v>3000031779</v>
      </c>
      <c r="E1098" s="18" t="s">
        <v>202</v>
      </c>
      <c r="F1098" s="18">
        <v>65</v>
      </c>
      <c r="G1098" s="61">
        <v>42543</v>
      </c>
      <c r="H1098" s="61"/>
      <c r="I1098" s="61">
        <v>42555</v>
      </c>
      <c r="J1098" s="18" t="s">
        <v>61</v>
      </c>
      <c r="K1098" s="149">
        <v>24.59</v>
      </c>
      <c r="L1098" s="18">
        <v>24.67</v>
      </c>
      <c r="M1098" s="18">
        <f t="shared" si="138"/>
        <v>24.59</v>
      </c>
      <c r="N1098" s="62">
        <f t="shared" si="139"/>
        <v>42574</v>
      </c>
      <c r="O1098" s="18">
        <v>2090150</v>
      </c>
      <c r="P1098" s="36">
        <f t="shared" si="135"/>
        <v>2090150</v>
      </c>
      <c r="Q1098" s="178">
        <v>42591</v>
      </c>
      <c r="R1098" s="66">
        <v>42600</v>
      </c>
      <c r="S1098" s="113">
        <f t="shared" si="137"/>
        <v>26</v>
      </c>
    </row>
    <row r="1099" spans="1:19" s="65" customFormat="1" hidden="1" x14ac:dyDescent="0.25">
      <c r="A1099" s="146">
        <v>151</v>
      </c>
      <c r="B1099" s="60">
        <v>42562</v>
      </c>
      <c r="C1099" s="18">
        <v>103</v>
      </c>
      <c r="D1099" s="18">
        <v>3000031781</v>
      </c>
      <c r="E1099" s="18" t="s">
        <v>169</v>
      </c>
      <c r="F1099" s="18">
        <v>100</v>
      </c>
      <c r="G1099" s="61">
        <v>42550</v>
      </c>
      <c r="H1099" s="61"/>
      <c r="I1099" s="61">
        <v>42556</v>
      </c>
      <c r="J1099" s="18" t="s">
        <v>61</v>
      </c>
      <c r="K1099" s="149">
        <v>24.8</v>
      </c>
      <c r="L1099" s="18">
        <v>24.77</v>
      </c>
      <c r="M1099" s="18">
        <f t="shared" si="138"/>
        <v>24.77</v>
      </c>
      <c r="N1099" s="62">
        <f t="shared" si="139"/>
        <v>42575</v>
      </c>
      <c r="O1099" s="18">
        <v>2021200</v>
      </c>
      <c r="P1099" s="36">
        <f t="shared" si="135"/>
        <v>2018755</v>
      </c>
      <c r="Q1099" s="178">
        <v>42598</v>
      </c>
      <c r="R1099" s="66">
        <v>42600</v>
      </c>
      <c r="S1099" s="113">
        <f t="shared" si="137"/>
        <v>25</v>
      </c>
    </row>
    <row r="1100" spans="1:19" s="65" customFormat="1" hidden="1" x14ac:dyDescent="0.25">
      <c r="A1100" s="146">
        <v>189</v>
      </c>
      <c r="B1100" s="60">
        <v>42564</v>
      </c>
      <c r="C1100" s="18">
        <v>103</v>
      </c>
      <c r="D1100" s="18">
        <v>3000031820</v>
      </c>
      <c r="E1100" s="18" t="s">
        <v>169</v>
      </c>
      <c r="F1100" s="18">
        <v>104</v>
      </c>
      <c r="G1100" s="61">
        <v>42555</v>
      </c>
      <c r="H1100" s="61"/>
      <c r="I1100" s="61">
        <v>42559</v>
      </c>
      <c r="J1100" s="18" t="s">
        <v>61</v>
      </c>
      <c r="K1100" s="149">
        <v>20.7</v>
      </c>
      <c r="L1100" s="18">
        <v>20.65</v>
      </c>
      <c r="M1100" s="18">
        <f t="shared" si="138"/>
        <v>20.65</v>
      </c>
      <c r="N1100" s="62">
        <f t="shared" si="139"/>
        <v>42578</v>
      </c>
      <c r="O1100" s="18">
        <v>1670490</v>
      </c>
      <c r="P1100" s="36">
        <f t="shared" si="135"/>
        <v>1666455</v>
      </c>
      <c r="Q1100" s="178">
        <v>42598</v>
      </c>
      <c r="R1100" s="66">
        <v>42600</v>
      </c>
      <c r="S1100" s="113">
        <f t="shared" si="137"/>
        <v>22</v>
      </c>
    </row>
    <row r="1101" spans="1:19" s="65" customFormat="1" hidden="1" x14ac:dyDescent="0.25">
      <c r="A1101" s="146">
        <v>156</v>
      </c>
      <c r="B1101" s="60">
        <v>42562</v>
      </c>
      <c r="C1101" s="18">
        <v>103</v>
      </c>
      <c r="D1101" s="18">
        <v>3000031794</v>
      </c>
      <c r="E1101" s="18" t="s">
        <v>159</v>
      </c>
      <c r="F1101" s="18">
        <v>294</v>
      </c>
      <c r="G1101" s="61">
        <v>42545</v>
      </c>
      <c r="H1101" s="61"/>
      <c r="I1101" s="61">
        <v>42556</v>
      </c>
      <c r="J1101" s="18" t="s">
        <v>61</v>
      </c>
      <c r="K1101" s="149">
        <v>24.52</v>
      </c>
      <c r="L1101" s="18">
        <v>24.42</v>
      </c>
      <c r="M1101" s="18">
        <f t="shared" si="138"/>
        <v>24.42</v>
      </c>
      <c r="N1101" s="62">
        <f t="shared" si="139"/>
        <v>42575</v>
      </c>
      <c r="O1101" s="18">
        <v>1998381</v>
      </c>
      <c r="P1101" s="36">
        <f t="shared" ref="P1101:P1132" si="140">(+O1101/K1101*M1101)</f>
        <v>1990230.9959216968</v>
      </c>
      <c r="Q1101" s="178">
        <v>42598</v>
      </c>
      <c r="R1101" s="66">
        <v>42600</v>
      </c>
      <c r="S1101" s="113">
        <f t="shared" si="137"/>
        <v>25</v>
      </c>
    </row>
    <row r="1102" spans="1:19" s="65" customFormat="1" hidden="1" x14ac:dyDescent="0.25">
      <c r="A1102" s="146">
        <v>324</v>
      </c>
      <c r="B1102" s="60">
        <v>42576</v>
      </c>
      <c r="C1102" s="18">
        <v>103</v>
      </c>
      <c r="D1102" s="18">
        <v>3000032056</v>
      </c>
      <c r="E1102" s="18" t="s">
        <v>225</v>
      </c>
      <c r="F1102" s="18">
        <v>57</v>
      </c>
      <c r="G1102" s="61">
        <v>42563</v>
      </c>
      <c r="H1102" s="61"/>
      <c r="I1102" s="61">
        <v>42567</v>
      </c>
      <c r="J1102" s="18" t="s">
        <v>61</v>
      </c>
      <c r="K1102" s="149">
        <v>20.22</v>
      </c>
      <c r="L1102" s="18">
        <v>20.12</v>
      </c>
      <c r="M1102" s="18">
        <f t="shared" si="138"/>
        <v>20.12</v>
      </c>
      <c r="N1102" s="62">
        <f>+I1102+10-1</f>
        <v>42576</v>
      </c>
      <c r="O1102" s="18">
        <v>1603446</v>
      </c>
      <c r="P1102" s="36">
        <f t="shared" si="140"/>
        <v>1595516</v>
      </c>
      <c r="Q1102" s="178">
        <v>42598</v>
      </c>
      <c r="R1102" s="66">
        <v>42600</v>
      </c>
      <c r="S1102" s="113">
        <f t="shared" si="137"/>
        <v>24</v>
      </c>
    </row>
    <row r="1103" spans="1:19" s="65" customFormat="1" hidden="1" x14ac:dyDescent="0.25">
      <c r="A1103" s="146">
        <v>336</v>
      </c>
      <c r="B1103" s="60">
        <v>42576</v>
      </c>
      <c r="C1103" s="18">
        <v>103</v>
      </c>
      <c r="D1103" s="18">
        <v>3000031935</v>
      </c>
      <c r="E1103" s="18" t="s">
        <v>225</v>
      </c>
      <c r="F1103" s="18">
        <v>58</v>
      </c>
      <c r="G1103" s="61">
        <v>42563</v>
      </c>
      <c r="H1103" s="61"/>
      <c r="I1103" s="61">
        <v>42570</v>
      </c>
      <c r="J1103" s="18" t="s">
        <v>61</v>
      </c>
      <c r="K1103" s="149">
        <v>20.079999999999998</v>
      </c>
      <c r="L1103" s="18">
        <v>20.07</v>
      </c>
      <c r="M1103" s="18">
        <f t="shared" si="138"/>
        <v>20.07</v>
      </c>
      <c r="N1103" s="62">
        <f>+I1103+7-1</f>
        <v>42576</v>
      </c>
      <c r="O1103" s="18">
        <v>1501984</v>
      </c>
      <c r="P1103" s="36">
        <f t="shared" si="140"/>
        <v>1501236</v>
      </c>
      <c r="Q1103" s="178">
        <v>42598</v>
      </c>
      <c r="R1103" s="66">
        <v>42600</v>
      </c>
      <c r="S1103" s="113">
        <f t="shared" si="137"/>
        <v>24</v>
      </c>
    </row>
    <row r="1104" spans="1:19" s="65" customFormat="1" hidden="1" x14ac:dyDescent="0.25">
      <c r="A1104" s="146">
        <v>167</v>
      </c>
      <c r="B1104" s="60">
        <v>42562</v>
      </c>
      <c r="C1104" s="18">
        <v>103</v>
      </c>
      <c r="D1104" s="18">
        <v>3000032076</v>
      </c>
      <c r="E1104" s="18" t="s">
        <v>180</v>
      </c>
      <c r="F1104" s="18">
        <v>135</v>
      </c>
      <c r="G1104" s="61">
        <v>42551</v>
      </c>
      <c r="H1104" s="61"/>
      <c r="I1104" s="61">
        <v>42558</v>
      </c>
      <c r="J1104" s="18" t="s">
        <v>61</v>
      </c>
      <c r="K1104" s="149">
        <v>16.13</v>
      </c>
      <c r="L1104" s="18">
        <v>16.12</v>
      </c>
      <c r="M1104" s="18">
        <f t="shared" si="138"/>
        <v>16.12</v>
      </c>
      <c r="N1104" s="62">
        <f t="shared" ref="N1104:N1142" si="141">+I1104+20-1</f>
        <v>42577</v>
      </c>
      <c r="O1104" s="18">
        <v>1280850</v>
      </c>
      <c r="P1104" s="36">
        <f t="shared" si="140"/>
        <v>1280055.9206447613</v>
      </c>
      <c r="Q1104" s="178">
        <v>42598</v>
      </c>
      <c r="R1104" s="66">
        <v>42600</v>
      </c>
      <c r="S1104" s="113">
        <f t="shared" si="137"/>
        <v>23</v>
      </c>
    </row>
    <row r="1105" spans="1:19" s="65" customFormat="1" hidden="1" x14ac:dyDescent="0.25">
      <c r="A1105" s="146">
        <v>183</v>
      </c>
      <c r="B1105" s="60">
        <v>42564</v>
      </c>
      <c r="C1105" s="18">
        <v>103</v>
      </c>
      <c r="D1105" s="18">
        <v>3000032076</v>
      </c>
      <c r="E1105" s="18" t="s">
        <v>180</v>
      </c>
      <c r="F1105" s="18">
        <v>136</v>
      </c>
      <c r="G1105" s="61">
        <v>42551</v>
      </c>
      <c r="H1105" s="61"/>
      <c r="I1105" s="61">
        <v>42558</v>
      </c>
      <c r="J1105" s="18" t="s">
        <v>61</v>
      </c>
      <c r="K1105" s="149">
        <v>16.07</v>
      </c>
      <c r="L1105" s="18">
        <v>16.03</v>
      </c>
      <c r="M1105" s="18">
        <f t="shared" si="138"/>
        <v>16.03</v>
      </c>
      <c r="N1105" s="62">
        <f t="shared" si="141"/>
        <v>42577</v>
      </c>
      <c r="O1105" s="18">
        <v>1276100</v>
      </c>
      <c r="P1105" s="36">
        <f t="shared" si="140"/>
        <v>1272923.6465463599</v>
      </c>
      <c r="Q1105" s="178">
        <v>42598</v>
      </c>
      <c r="R1105" s="66">
        <v>42600</v>
      </c>
      <c r="S1105" s="113">
        <f t="shared" ref="S1105:S1136" si="142">R1105-N1105</f>
        <v>23</v>
      </c>
    </row>
    <row r="1106" spans="1:19" s="65" customFormat="1" hidden="1" x14ac:dyDescent="0.25">
      <c r="A1106" s="146">
        <v>190</v>
      </c>
      <c r="B1106" s="60">
        <v>42564</v>
      </c>
      <c r="C1106" s="18">
        <v>103</v>
      </c>
      <c r="D1106" s="18">
        <v>3000032075</v>
      </c>
      <c r="E1106" s="18" t="s">
        <v>215</v>
      </c>
      <c r="F1106" s="18">
        <v>92</v>
      </c>
      <c r="G1106" s="61">
        <v>42555</v>
      </c>
      <c r="H1106" s="61"/>
      <c r="I1106" s="61">
        <v>42559</v>
      </c>
      <c r="J1106" s="18" t="s">
        <v>61</v>
      </c>
      <c r="K1106" s="149">
        <v>16.079999999999998</v>
      </c>
      <c r="L1106" s="18">
        <v>16.05</v>
      </c>
      <c r="M1106" s="18">
        <f t="shared" si="138"/>
        <v>16.05</v>
      </c>
      <c r="N1106" s="62">
        <f t="shared" si="141"/>
        <v>42578</v>
      </c>
      <c r="O1106" s="18">
        <v>1276752</v>
      </c>
      <c r="P1106" s="36">
        <f t="shared" si="140"/>
        <v>1274370.0000000002</v>
      </c>
      <c r="Q1106" s="178">
        <v>42598</v>
      </c>
      <c r="R1106" s="66">
        <v>42600</v>
      </c>
      <c r="S1106" s="113">
        <f t="shared" si="142"/>
        <v>22</v>
      </c>
    </row>
    <row r="1107" spans="1:19" s="65" customFormat="1" hidden="1" x14ac:dyDescent="0.25">
      <c r="A1107" s="146">
        <v>204</v>
      </c>
      <c r="B1107" s="60">
        <v>42569</v>
      </c>
      <c r="C1107" s="18">
        <v>103</v>
      </c>
      <c r="D1107" s="18">
        <v>3000032075</v>
      </c>
      <c r="E1107" s="18" t="s">
        <v>215</v>
      </c>
      <c r="F1107" s="18">
        <v>93</v>
      </c>
      <c r="G1107" s="61">
        <v>42557</v>
      </c>
      <c r="H1107" s="61"/>
      <c r="I1107" s="61">
        <v>42560</v>
      </c>
      <c r="J1107" s="18" t="s">
        <v>61</v>
      </c>
      <c r="K1107" s="149">
        <v>16.170000000000002</v>
      </c>
      <c r="L1107" s="18">
        <v>16.170000000000002</v>
      </c>
      <c r="M1107" s="18">
        <f t="shared" si="138"/>
        <v>16.170000000000002</v>
      </c>
      <c r="N1107" s="62">
        <f t="shared" si="141"/>
        <v>42579</v>
      </c>
      <c r="O1107" s="18">
        <v>1283898</v>
      </c>
      <c r="P1107" s="36">
        <f t="shared" si="140"/>
        <v>1283898</v>
      </c>
      <c r="Q1107" s="178">
        <v>42598</v>
      </c>
      <c r="R1107" s="66">
        <v>42600</v>
      </c>
      <c r="S1107" s="113">
        <f t="shared" si="142"/>
        <v>21</v>
      </c>
    </row>
    <row r="1108" spans="1:19" s="65" customFormat="1" hidden="1" x14ac:dyDescent="0.25">
      <c r="A1108" s="146">
        <v>194</v>
      </c>
      <c r="B1108" s="60">
        <v>42564</v>
      </c>
      <c r="C1108" s="18">
        <v>103</v>
      </c>
      <c r="D1108" s="18">
        <v>3000031934</v>
      </c>
      <c r="E1108" s="18" t="s">
        <v>216</v>
      </c>
      <c r="F1108" s="18">
        <v>76</v>
      </c>
      <c r="G1108" s="61">
        <v>42554</v>
      </c>
      <c r="H1108" s="61"/>
      <c r="I1108" s="61">
        <v>42559</v>
      </c>
      <c r="J1108" s="18" t="s">
        <v>61</v>
      </c>
      <c r="K1108" s="149">
        <v>20.03</v>
      </c>
      <c r="L1108" s="18">
        <v>19.989999999999998</v>
      </c>
      <c r="M1108" s="18">
        <f t="shared" si="138"/>
        <v>19.989999999999998</v>
      </c>
      <c r="N1108" s="62">
        <f t="shared" si="141"/>
        <v>42578</v>
      </c>
      <c r="O1108" s="18">
        <v>1632609</v>
      </c>
      <c r="P1108" s="36">
        <f t="shared" si="140"/>
        <v>1629348.6724912627</v>
      </c>
      <c r="Q1108" s="178">
        <v>42598</v>
      </c>
      <c r="R1108" s="66">
        <v>42600</v>
      </c>
      <c r="S1108" s="113">
        <f t="shared" si="142"/>
        <v>22</v>
      </c>
    </row>
    <row r="1109" spans="1:19" s="65" customFormat="1" hidden="1" x14ac:dyDescent="0.25">
      <c r="A1109" s="146">
        <v>195</v>
      </c>
      <c r="B1109" s="60">
        <v>42564</v>
      </c>
      <c r="C1109" s="18">
        <v>103</v>
      </c>
      <c r="D1109" s="18">
        <v>3000031787</v>
      </c>
      <c r="E1109" s="18" t="s">
        <v>200</v>
      </c>
      <c r="F1109" s="18">
        <v>79</v>
      </c>
      <c r="G1109" s="61">
        <v>42555</v>
      </c>
      <c r="H1109" s="61"/>
      <c r="I1109" s="61">
        <v>42559</v>
      </c>
      <c r="J1109" s="18" t="s">
        <v>61</v>
      </c>
      <c r="K1109" s="149">
        <v>20.12</v>
      </c>
      <c r="L1109" s="18">
        <v>20.100000000000001</v>
      </c>
      <c r="M1109" s="18">
        <f t="shared" si="138"/>
        <v>20.100000000000001</v>
      </c>
      <c r="N1109" s="62">
        <f t="shared" si="141"/>
        <v>42578</v>
      </c>
      <c r="O1109" s="18">
        <v>1640000</v>
      </c>
      <c r="P1109" s="36">
        <f t="shared" si="140"/>
        <v>1638369.7813121271</v>
      </c>
      <c r="Q1109" s="178">
        <v>42598</v>
      </c>
      <c r="R1109" s="66">
        <v>42600</v>
      </c>
      <c r="S1109" s="113">
        <f t="shared" si="142"/>
        <v>22</v>
      </c>
    </row>
    <row r="1110" spans="1:19" s="65" customFormat="1" hidden="1" x14ac:dyDescent="0.25">
      <c r="A1110" s="146">
        <v>206</v>
      </c>
      <c r="B1110" s="60">
        <v>42569</v>
      </c>
      <c r="C1110" s="18">
        <v>103</v>
      </c>
      <c r="D1110" s="18" t="s">
        <v>226</v>
      </c>
      <c r="E1110" s="18" t="s">
        <v>158</v>
      </c>
      <c r="F1110" s="18">
        <v>43</v>
      </c>
      <c r="G1110" s="61">
        <v>42555</v>
      </c>
      <c r="H1110" s="61"/>
      <c r="I1110" s="61">
        <v>42560</v>
      </c>
      <c r="J1110" s="18" t="s">
        <v>61</v>
      </c>
      <c r="K1110" s="149">
        <v>20.07</v>
      </c>
      <c r="L1110" s="18">
        <v>20.07</v>
      </c>
      <c r="M1110" s="18">
        <f t="shared" si="138"/>
        <v>20.07</v>
      </c>
      <c r="N1110" s="62">
        <f t="shared" si="141"/>
        <v>42579</v>
      </c>
      <c r="O1110" s="18">
        <v>1635705</v>
      </c>
      <c r="P1110" s="36">
        <f t="shared" si="140"/>
        <v>1635705</v>
      </c>
      <c r="Q1110" s="178">
        <v>42598</v>
      </c>
      <c r="R1110" s="66">
        <v>42600</v>
      </c>
      <c r="S1110" s="113">
        <f t="shared" si="142"/>
        <v>21</v>
      </c>
    </row>
    <row r="1111" spans="1:19" s="65" customFormat="1" hidden="1" x14ac:dyDescent="0.25">
      <c r="A1111" s="146">
        <v>215</v>
      </c>
      <c r="B1111" s="60">
        <v>42569</v>
      </c>
      <c r="C1111" s="18">
        <v>103</v>
      </c>
      <c r="D1111" s="18">
        <v>3000031817</v>
      </c>
      <c r="E1111" s="18" t="s">
        <v>158</v>
      </c>
      <c r="F1111" s="18">
        <v>44</v>
      </c>
      <c r="G1111" s="61">
        <v>42557</v>
      </c>
      <c r="H1111" s="61"/>
      <c r="I1111" s="61">
        <v>42561</v>
      </c>
      <c r="J1111" s="18" t="s">
        <v>61</v>
      </c>
      <c r="K1111" s="149">
        <v>20.59</v>
      </c>
      <c r="L1111" s="18">
        <v>20.53</v>
      </c>
      <c r="M1111" s="18">
        <f t="shared" si="138"/>
        <v>20.53</v>
      </c>
      <c r="N1111" s="62">
        <f t="shared" si="141"/>
        <v>42580</v>
      </c>
      <c r="O1111" s="18">
        <v>1661663</v>
      </c>
      <c r="P1111" s="36">
        <f t="shared" si="140"/>
        <v>1656820.8542982033</v>
      </c>
      <c r="Q1111" s="178">
        <v>42598</v>
      </c>
      <c r="R1111" s="66">
        <v>42600</v>
      </c>
      <c r="S1111" s="113">
        <f t="shared" si="142"/>
        <v>20</v>
      </c>
    </row>
    <row r="1112" spans="1:19" s="65" customFormat="1" hidden="1" x14ac:dyDescent="0.25">
      <c r="A1112" s="146">
        <v>223</v>
      </c>
      <c r="B1112" s="60">
        <v>42569</v>
      </c>
      <c r="C1112" s="18">
        <v>103</v>
      </c>
      <c r="D1112" s="18">
        <v>3000031817</v>
      </c>
      <c r="E1112" s="18" t="s">
        <v>158</v>
      </c>
      <c r="F1112" s="18">
        <v>46</v>
      </c>
      <c r="G1112" s="61">
        <v>42558</v>
      </c>
      <c r="H1112" s="61"/>
      <c r="I1112" s="61">
        <v>42563</v>
      </c>
      <c r="J1112" s="18" t="s">
        <v>61</v>
      </c>
      <c r="K1112" s="149">
        <v>20.03</v>
      </c>
      <c r="L1112" s="18">
        <v>20.02</v>
      </c>
      <c r="M1112" s="18">
        <f t="shared" si="138"/>
        <v>20.02</v>
      </c>
      <c r="N1112" s="62">
        <f t="shared" si="141"/>
        <v>42582</v>
      </c>
      <c r="O1112" s="18">
        <v>1616470</v>
      </c>
      <c r="P1112" s="36">
        <f t="shared" si="140"/>
        <v>1615662.975536695</v>
      </c>
      <c r="Q1112" s="178">
        <v>42598</v>
      </c>
      <c r="R1112" s="66">
        <v>42600</v>
      </c>
      <c r="S1112" s="113">
        <f t="shared" si="142"/>
        <v>18</v>
      </c>
    </row>
    <row r="1113" spans="1:19" s="65" customFormat="1" hidden="1" x14ac:dyDescent="0.25">
      <c r="A1113" s="146">
        <v>208</v>
      </c>
      <c r="B1113" s="60">
        <v>42569</v>
      </c>
      <c r="C1113" s="18">
        <v>103</v>
      </c>
      <c r="D1113" s="18">
        <v>3000031785</v>
      </c>
      <c r="E1113" s="18" t="s">
        <v>182</v>
      </c>
      <c r="F1113" s="18">
        <v>47</v>
      </c>
      <c r="G1113" s="61">
        <v>42558</v>
      </c>
      <c r="H1113" s="61"/>
      <c r="I1113" s="61">
        <v>42561</v>
      </c>
      <c r="J1113" s="18" t="s">
        <v>61</v>
      </c>
      <c r="K1113" s="149">
        <v>19.88</v>
      </c>
      <c r="L1113" s="18">
        <v>19.82</v>
      </c>
      <c r="M1113" s="18">
        <f t="shared" si="138"/>
        <v>19.82</v>
      </c>
      <c r="N1113" s="62">
        <f t="shared" si="141"/>
        <v>42580</v>
      </c>
      <c r="O1113" s="18">
        <v>1620220</v>
      </c>
      <c r="P1113" s="36">
        <f t="shared" si="140"/>
        <v>1615330</v>
      </c>
      <c r="Q1113" s="178">
        <v>42598</v>
      </c>
      <c r="R1113" s="66">
        <v>42600</v>
      </c>
      <c r="S1113" s="113">
        <f t="shared" si="142"/>
        <v>20</v>
      </c>
    </row>
    <row r="1114" spans="1:19" s="65" customFormat="1" hidden="1" x14ac:dyDescent="0.25">
      <c r="A1114" s="146">
        <v>209</v>
      </c>
      <c r="B1114" s="60">
        <v>42569</v>
      </c>
      <c r="C1114" s="18">
        <v>103</v>
      </c>
      <c r="D1114" s="18">
        <v>3000031829</v>
      </c>
      <c r="E1114" s="18" t="s">
        <v>201</v>
      </c>
      <c r="F1114" s="18">
        <v>106</v>
      </c>
      <c r="G1114" s="61">
        <v>42556</v>
      </c>
      <c r="H1114" s="61"/>
      <c r="I1114" s="61">
        <v>42561</v>
      </c>
      <c r="J1114" s="18" t="s">
        <v>61</v>
      </c>
      <c r="K1114" s="149">
        <v>20.350000000000001</v>
      </c>
      <c r="L1114" s="18">
        <v>20.260000000000002</v>
      </c>
      <c r="M1114" s="18">
        <f t="shared" si="138"/>
        <v>20.260000000000002</v>
      </c>
      <c r="N1114" s="62">
        <f t="shared" si="141"/>
        <v>42580</v>
      </c>
      <c r="O1114" s="18">
        <v>1642245</v>
      </c>
      <c r="P1114" s="36">
        <f t="shared" si="140"/>
        <v>1634982.0000000002</v>
      </c>
      <c r="Q1114" s="178">
        <v>42598</v>
      </c>
      <c r="R1114" s="66">
        <v>42600</v>
      </c>
      <c r="S1114" s="113">
        <f t="shared" si="142"/>
        <v>20</v>
      </c>
    </row>
    <row r="1115" spans="1:19" s="65" customFormat="1" hidden="1" x14ac:dyDescent="0.25">
      <c r="A1115" s="146">
        <v>228</v>
      </c>
      <c r="B1115" s="60">
        <v>42569</v>
      </c>
      <c r="C1115" s="18">
        <v>103</v>
      </c>
      <c r="D1115" s="18">
        <v>3000032072</v>
      </c>
      <c r="E1115" s="18" t="s">
        <v>201</v>
      </c>
      <c r="F1115" s="18">
        <v>107</v>
      </c>
      <c r="G1115" s="61">
        <v>42559</v>
      </c>
      <c r="H1115" s="61"/>
      <c r="I1115" s="61">
        <v>42563</v>
      </c>
      <c r="J1115" s="18" t="s">
        <v>61</v>
      </c>
      <c r="K1115" s="149">
        <v>20.63</v>
      </c>
      <c r="L1115" s="18">
        <v>20.57</v>
      </c>
      <c r="M1115" s="18">
        <f t="shared" si="138"/>
        <v>20.57</v>
      </c>
      <c r="N1115" s="62">
        <f t="shared" si="141"/>
        <v>42582</v>
      </c>
      <c r="O1115" s="18">
        <v>1645242</v>
      </c>
      <c r="P1115" s="36">
        <f t="shared" si="140"/>
        <v>1640457.0014541931</v>
      </c>
      <c r="Q1115" s="178">
        <v>42598</v>
      </c>
      <c r="R1115" s="66">
        <v>42600</v>
      </c>
      <c r="S1115" s="113">
        <f t="shared" si="142"/>
        <v>18</v>
      </c>
    </row>
    <row r="1116" spans="1:19" s="65" customFormat="1" hidden="1" x14ac:dyDescent="0.25">
      <c r="A1116" s="146">
        <v>307</v>
      </c>
      <c r="B1116" s="60">
        <v>42572</v>
      </c>
      <c r="C1116" s="18">
        <v>103</v>
      </c>
      <c r="D1116" s="18">
        <v>3000032072</v>
      </c>
      <c r="E1116" s="18" t="s">
        <v>201</v>
      </c>
      <c r="F1116" s="18">
        <v>108</v>
      </c>
      <c r="G1116" s="61">
        <v>42562</v>
      </c>
      <c r="H1116" s="61"/>
      <c r="I1116" s="61">
        <v>42566</v>
      </c>
      <c r="J1116" s="18" t="s">
        <v>61</v>
      </c>
      <c r="K1116" s="149">
        <v>20.239999999999998</v>
      </c>
      <c r="L1116" s="18">
        <v>20.2</v>
      </c>
      <c r="M1116" s="18">
        <f t="shared" si="138"/>
        <v>20.2</v>
      </c>
      <c r="N1116" s="62">
        <f t="shared" si="141"/>
        <v>42585</v>
      </c>
      <c r="O1116" s="18">
        <v>1614139</v>
      </c>
      <c r="P1116" s="36">
        <f t="shared" si="140"/>
        <v>1610949.0019762844</v>
      </c>
      <c r="Q1116" s="178">
        <v>42598</v>
      </c>
      <c r="R1116" s="66">
        <v>42600</v>
      </c>
      <c r="S1116" s="113">
        <f t="shared" si="142"/>
        <v>15</v>
      </c>
    </row>
    <row r="1117" spans="1:19" s="65" customFormat="1" hidden="1" x14ac:dyDescent="0.25">
      <c r="A1117" s="146">
        <v>211</v>
      </c>
      <c r="B1117" s="60">
        <v>42569</v>
      </c>
      <c r="C1117" s="18">
        <v>103</v>
      </c>
      <c r="D1117" s="18">
        <v>3000030956</v>
      </c>
      <c r="E1117" s="18" t="s">
        <v>145</v>
      </c>
      <c r="F1117" s="18">
        <v>36</v>
      </c>
      <c r="G1117" s="61">
        <v>42550</v>
      </c>
      <c r="H1117" s="61"/>
      <c r="I1117" s="61">
        <v>42561</v>
      </c>
      <c r="J1117" s="18" t="s">
        <v>61</v>
      </c>
      <c r="K1117" s="149">
        <v>20.57</v>
      </c>
      <c r="L1117" s="18">
        <v>20.55</v>
      </c>
      <c r="M1117" s="18">
        <f t="shared" si="138"/>
        <v>20.55</v>
      </c>
      <c r="N1117" s="62">
        <f t="shared" si="141"/>
        <v>42580</v>
      </c>
      <c r="O1117" s="18">
        <v>1635501</v>
      </c>
      <c r="P1117" s="36">
        <f t="shared" si="140"/>
        <v>1633910.8191541079</v>
      </c>
      <c r="Q1117" s="178">
        <v>42598</v>
      </c>
      <c r="R1117" s="66">
        <v>42600</v>
      </c>
      <c r="S1117" s="113">
        <f t="shared" si="142"/>
        <v>20</v>
      </c>
    </row>
    <row r="1118" spans="1:19" s="65" customFormat="1" hidden="1" x14ac:dyDescent="0.25">
      <c r="A1118" s="146">
        <v>212</v>
      </c>
      <c r="B1118" s="60">
        <v>42569</v>
      </c>
      <c r="C1118" s="18">
        <v>103</v>
      </c>
      <c r="D1118" s="18">
        <v>3000030956</v>
      </c>
      <c r="E1118" s="18" t="s">
        <v>145</v>
      </c>
      <c r="F1118" s="18">
        <v>37</v>
      </c>
      <c r="G1118" s="61">
        <v>42550</v>
      </c>
      <c r="H1118" s="61"/>
      <c r="I1118" s="61">
        <v>42561</v>
      </c>
      <c r="J1118" s="18" t="s">
        <v>61</v>
      </c>
      <c r="K1118" s="149">
        <v>20.39</v>
      </c>
      <c r="L1118" s="18">
        <v>20.350000000000001</v>
      </c>
      <c r="M1118" s="18">
        <f t="shared" si="138"/>
        <v>20.350000000000001</v>
      </c>
      <c r="N1118" s="62">
        <f t="shared" si="141"/>
        <v>42580</v>
      </c>
      <c r="O1118" s="18">
        <v>1621188</v>
      </c>
      <c r="P1118" s="36">
        <f t="shared" si="140"/>
        <v>1618007.6410004904</v>
      </c>
      <c r="Q1118" s="178">
        <v>42598</v>
      </c>
      <c r="R1118" s="66">
        <v>42600</v>
      </c>
      <c r="S1118" s="113">
        <f t="shared" si="142"/>
        <v>20</v>
      </c>
    </row>
    <row r="1119" spans="1:19" s="65" customFormat="1" hidden="1" x14ac:dyDescent="0.25">
      <c r="A1119" s="146">
        <v>213</v>
      </c>
      <c r="B1119" s="60">
        <v>42569</v>
      </c>
      <c r="C1119" s="18">
        <v>103</v>
      </c>
      <c r="D1119" s="18">
        <v>3000030956</v>
      </c>
      <c r="E1119" s="18" t="s">
        <v>145</v>
      </c>
      <c r="F1119" s="18">
        <v>38</v>
      </c>
      <c r="G1119" s="61">
        <v>42550</v>
      </c>
      <c r="H1119" s="61"/>
      <c r="I1119" s="61">
        <v>42561</v>
      </c>
      <c r="J1119" s="18" t="s">
        <v>61</v>
      </c>
      <c r="K1119" s="149">
        <v>16.59</v>
      </c>
      <c r="L1119" s="18">
        <v>16.57</v>
      </c>
      <c r="M1119" s="18">
        <f t="shared" si="138"/>
        <v>16.57</v>
      </c>
      <c r="N1119" s="62">
        <f t="shared" si="141"/>
        <v>42580</v>
      </c>
      <c r="O1119" s="18">
        <v>1319054</v>
      </c>
      <c r="P1119" s="36">
        <f t="shared" si="140"/>
        <v>1317463.8203737191</v>
      </c>
      <c r="Q1119" s="178">
        <v>42598</v>
      </c>
      <c r="R1119" s="66">
        <v>42600</v>
      </c>
      <c r="S1119" s="113">
        <f t="shared" si="142"/>
        <v>20</v>
      </c>
    </row>
    <row r="1120" spans="1:19" s="65" customFormat="1" hidden="1" x14ac:dyDescent="0.25">
      <c r="A1120" s="146">
        <v>252</v>
      </c>
      <c r="B1120" s="60">
        <v>42570</v>
      </c>
      <c r="C1120" s="18">
        <v>114</v>
      </c>
      <c r="D1120" s="18">
        <v>3000031779</v>
      </c>
      <c r="E1120" s="18" t="s">
        <v>202</v>
      </c>
      <c r="F1120" s="18">
        <v>68</v>
      </c>
      <c r="G1120" s="61">
        <v>42545</v>
      </c>
      <c r="H1120" s="61"/>
      <c r="I1120" s="61">
        <v>42561</v>
      </c>
      <c r="J1120" s="18" t="s">
        <v>61</v>
      </c>
      <c r="K1120" s="149">
        <v>15.72</v>
      </c>
      <c r="L1120" s="18">
        <v>15.81</v>
      </c>
      <c r="M1120" s="18">
        <f t="shared" si="138"/>
        <v>15.72</v>
      </c>
      <c r="N1120" s="62">
        <f t="shared" si="141"/>
        <v>42580</v>
      </c>
      <c r="O1120" s="18">
        <v>1336200</v>
      </c>
      <c r="P1120" s="36">
        <f t="shared" si="140"/>
        <v>1336200</v>
      </c>
      <c r="Q1120" s="178">
        <v>42598</v>
      </c>
      <c r="R1120" s="66">
        <v>42600</v>
      </c>
      <c r="S1120" s="113">
        <f t="shared" si="142"/>
        <v>20</v>
      </c>
    </row>
    <row r="1121" spans="1:19" s="65" customFormat="1" hidden="1" x14ac:dyDescent="0.25">
      <c r="A1121" s="146">
        <v>220</v>
      </c>
      <c r="B1121" s="60">
        <v>42569</v>
      </c>
      <c r="C1121" s="18">
        <v>103</v>
      </c>
      <c r="D1121" s="18">
        <v>3000031819</v>
      </c>
      <c r="E1121" s="18" t="s">
        <v>171</v>
      </c>
      <c r="F1121" s="18">
        <v>20</v>
      </c>
      <c r="G1121" s="61">
        <v>42557</v>
      </c>
      <c r="H1121" s="61"/>
      <c r="I1121" s="61">
        <v>42562</v>
      </c>
      <c r="J1121" s="18" t="s">
        <v>61</v>
      </c>
      <c r="K1121" s="149">
        <v>20.07</v>
      </c>
      <c r="L1121" s="18">
        <v>20.03</v>
      </c>
      <c r="M1121" s="18">
        <f t="shared" si="138"/>
        <v>20.03</v>
      </c>
      <c r="N1121" s="62">
        <f t="shared" si="141"/>
        <v>42581</v>
      </c>
      <c r="O1121" s="18">
        <v>1619697</v>
      </c>
      <c r="P1121" s="36">
        <f t="shared" si="140"/>
        <v>1616468.9043348283</v>
      </c>
      <c r="Q1121" s="178">
        <v>42598</v>
      </c>
      <c r="R1121" s="66">
        <v>42600</v>
      </c>
      <c r="S1121" s="113">
        <f t="shared" si="142"/>
        <v>19</v>
      </c>
    </row>
    <row r="1122" spans="1:19" s="65" customFormat="1" hidden="1" x14ac:dyDescent="0.25">
      <c r="A1122" s="146">
        <v>221</v>
      </c>
      <c r="B1122" s="60">
        <v>42569</v>
      </c>
      <c r="C1122" s="18">
        <v>103</v>
      </c>
      <c r="D1122" s="18">
        <v>3000031694</v>
      </c>
      <c r="E1122" s="18" t="s">
        <v>184</v>
      </c>
      <c r="F1122" s="18">
        <v>92</v>
      </c>
      <c r="G1122" s="61">
        <v>42555</v>
      </c>
      <c r="H1122" s="61"/>
      <c r="I1122" s="61">
        <v>42562</v>
      </c>
      <c r="J1122" s="18" t="s">
        <v>61</v>
      </c>
      <c r="K1122" s="149">
        <v>20.03</v>
      </c>
      <c r="L1122" s="18">
        <v>20.02</v>
      </c>
      <c r="M1122" s="18">
        <f t="shared" si="138"/>
        <v>20.02</v>
      </c>
      <c r="N1122" s="62">
        <f t="shared" si="141"/>
        <v>42581</v>
      </c>
      <c r="O1122" s="18">
        <v>1602576</v>
      </c>
      <c r="P1122" s="36">
        <f t="shared" si="140"/>
        <v>1601775.9121318022</v>
      </c>
      <c r="Q1122" s="178">
        <v>42598</v>
      </c>
      <c r="R1122" s="66">
        <v>42600</v>
      </c>
      <c r="S1122" s="113">
        <f t="shared" si="142"/>
        <v>19</v>
      </c>
    </row>
    <row r="1123" spans="1:19" s="65" customFormat="1" hidden="1" x14ac:dyDescent="0.25">
      <c r="A1123" s="146">
        <v>222</v>
      </c>
      <c r="B1123" s="60">
        <v>42569</v>
      </c>
      <c r="C1123" s="18">
        <v>103</v>
      </c>
      <c r="D1123" s="18">
        <v>3000031835</v>
      </c>
      <c r="E1123" s="18" t="s">
        <v>184</v>
      </c>
      <c r="F1123" s="18">
        <v>98</v>
      </c>
      <c r="G1123" s="61">
        <v>42557</v>
      </c>
      <c r="H1123" s="61"/>
      <c r="I1123" s="61">
        <v>42562</v>
      </c>
      <c r="J1123" s="18" t="s">
        <v>61</v>
      </c>
      <c r="K1123" s="149">
        <v>20.09</v>
      </c>
      <c r="L1123" s="18">
        <v>20.03</v>
      </c>
      <c r="M1123" s="18">
        <f t="shared" si="138"/>
        <v>20.03</v>
      </c>
      <c r="N1123" s="62">
        <f t="shared" si="141"/>
        <v>42581</v>
      </c>
      <c r="O1123" s="18">
        <v>1621310</v>
      </c>
      <c r="P1123" s="36">
        <f t="shared" si="140"/>
        <v>1616467.8596316576</v>
      </c>
      <c r="Q1123" s="178">
        <v>42598</v>
      </c>
      <c r="R1123" s="66">
        <v>42600</v>
      </c>
      <c r="S1123" s="113">
        <f t="shared" si="142"/>
        <v>19</v>
      </c>
    </row>
    <row r="1124" spans="1:19" s="65" customFormat="1" hidden="1" x14ac:dyDescent="0.25">
      <c r="A1124" s="146">
        <v>246</v>
      </c>
      <c r="B1124" s="60">
        <v>42569</v>
      </c>
      <c r="C1124" s="18">
        <v>103</v>
      </c>
      <c r="D1124" s="18">
        <v>3000032325</v>
      </c>
      <c r="E1124" s="18" t="s">
        <v>184</v>
      </c>
      <c r="F1124" s="18">
        <v>96</v>
      </c>
      <c r="G1124" s="61">
        <v>42557</v>
      </c>
      <c r="H1124" s="61"/>
      <c r="I1124" s="61">
        <v>115611</v>
      </c>
      <c r="J1124" s="18" t="s">
        <v>61</v>
      </c>
      <c r="K1124" s="149">
        <v>24.8</v>
      </c>
      <c r="L1124" s="18">
        <v>24.76</v>
      </c>
      <c r="M1124" s="18">
        <f t="shared" si="138"/>
        <v>24.76</v>
      </c>
      <c r="N1124" s="62">
        <f t="shared" si="141"/>
        <v>115630</v>
      </c>
      <c r="O1124" s="18">
        <v>2001419</v>
      </c>
      <c r="P1124" s="36">
        <f t="shared" si="140"/>
        <v>1998190.9048387096</v>
      </c>
      <c r="Q1124" s="178">
        <v>42598</v>
      </c>
      <c r="R1124" s="66">
        <v>42600</v>
      </c>
      <c r="S1124" s="113">
        <f t="shared" si="142"/>
        <v>-73030</v>
      </c>
    </row>
    <row r="1125" spans="1:19" s="65" customFormat="1" hidden="1" x14ac:dyDescent="0.25">
      <c r="A1125" s="146">
        <v>238</v>
      </c>
      <c r="B1125" s="60">
        <v>42569</v>
      </c>
      <c r="C1125" s="18">
        <v>103</v>
      </c>
      <c r="D1125" s="18">
        <v>3000031842</v>
      </c>
      <c r="E1125" s="18" t="s">
        <v>184</v>
      </c>
      <c r="F1125" s="154">
        <v>101</v>
      </c>
      <c r="G1125" s="61">
        <v>42560</v>
      </c>
      <c r="H1125" s="61"/>
      <c r="I1125" s="61">
        <v>42564</v>
      </c>
      <c r="J1125" s="18" t="s">
        <v>61</v>
      </c>
      <c r="K1125" s="149">
        <v>20</v>
      </c>
      <c r="L1125" s="18">
        <v>19.995000000000001</v>
      </c>
      <c r="M1125" s="18">
        <f t="shared" si="138"/>
        <v>19.995000000000001</v>
      </c>
      <c r="N1125" s="62">
        <f t="shared" si="141"/>
        <v>42583</v>
      </c>
      <c r="O1125" s="18">
        <v>1614048</v>
      </c>
      <c r="P1125" s="36">
        <f t="shared" si="140"/>
        <v>1613644.4879999999</v>
      </c>
      <c r="Q1125" s="178">
        <v>42598</v>
      </c>
      <c r="R1125" s="66">
        <v>42600</v>
      </c>
      <c r="S1125" s="113">
        <f t="shared" si="142"/>
        <v>17</v>
      </c>
    </row>
    <row r="1126" spans="1:19" s="65" customFormat="1" hidden="1" x14ac:dyDescent="0.25">
      <c r="A1126" s="146">
        <v>239</v>
      </c>
      <c r="B1126" s="60">
        <v>42569</v>
      </c>
      <c r="C1126" s="18">
        <v>103</v>
      </c>
      <c r="D1126" s="18">
        <v>3000032058</v>
      </c>
      <c r="E1126" s="18" t="s">
        <v>184</v>
      </c>
      <c r="F1126" s="154">
        <v>102</v>
      </c>
      <c r="G1126" s="61">
        <v>42560</v>
      </c>
      <c r="H1126" s="61"/>
      <c r="I1126" s="61">
        <v>42564</v>
      </c>
      <c r="J1126" s="18" t="s">
        <v>61</v>
      </c>
      <c r="K1126" s="149">
        <v>8.7149999999999999</v>
      </c>
      <c r="L1126" s="18">
        <v>8.7149999999999999</v>
      </c>
      <c r="M1126" s="18">
        <f t="shared" si="138"/>
        <v>8.7149999999999999</v>
      </c>
      <c r="N1126" s="62">
        <f t="shared" si="141"/>
        <v>42583</v>
      </c>
      <c r="O1126" s="18">
        <v>695055</v>
      </c>
      <c r="P1126" s="36">
        <f t="shared" si="140"/>
        <v>695055</v>
      </c>
      <c r="Q1126" s="178">
        <v>42598</v>
      </c>
      <c r="R1126" s="66">
        <v>42600</v>
      </c>
      <c r="S1126" s="113">
        <f t="shared" si="142"/>
        <v>17</v>
      </c>
    </row>
    <row r="1127" spans="1:19" s="65" customFormat="1" hidden="1" x14ac:dyDescent="0.25">
      <c r="A1127" s="146">
        <v>314</v>
      </c>
      <c r="B1127" s="60">
        <v>42576</v>
      </c>
      <c r="C1127" s="18">
        <v>103</v>
      </c>
      <c r="D1127" s="18">
        <v>3000032222</v>
      </c>
      <c r="E1127" s="18" t="s">
        <v>184</v>
      </c>
      <c r="F1127" s="18">
        <v>103</v>
      </c>
      <c r="G1127" s="61">
        <v>42562</v>
      </c>
      <c r="H1127" s="61"/>
      <c r="I1127" s="61">
        <v>42568</v>
      </c>
      <c r="J1127" s="18" t="s">
        <v>61</v>
      </c>
      <c r="K1127" s="149">
        <v>15.55</v>
      </c>
      <c r="L1127" s="18">
        <v>15.52</v>
      </c>
      <c r="M1127" s="18">
        <f t="shared" si="138"/>
        <v>15.52</v>
      </c>
      <c r="N1127" s="62">
        <f t="shared" si="141"/>
        <v>42587</v>
      </c>
      <c r="O1127" s="18">
        <v>1213049</v>
      </c>
      <c r="P1127" s="36">
        <f t="shared" si="140"/>
        <v>1210708.7125401928</v>
      </c>
      <c r="Q1127" s="178">
        <v>42598</v>
      </c>
      <c r="R1127" s="66">
        <v>42600</v>
      </c>
      <c r="S1127" s="113">
        <f t="shared" si="142"/>
        <v>13</v>
      </c>
    </row>
    <row r="1128" spans="1:19" s="65" customFormat="1" hidden="1" x14ac:dyDescent="0.25">
      <c r="A1128" s="146">
        <v>315</v>
      </c>
      <c r="B1128" s="60">
        <v>42576</v>
      </c>
      <c r="C1128" s="18">
        <v>103</v>
      </c>
      <c r="D1128" s="18">
        <v>3000032058</v>
      </c>
      <c r="E1128" s="18" t="s">
        <v>184</v>
      </c>
      <c r="F1128" s="18">
        <v>104</v>
      </c>
      <c r="G1128" s="61">
        <v>42564</v>
      </c>
      <c r="H1128" s="61"/>
      <c r="I1128" s="61">
        <v>42568</v>
      </c>
      <c r="J1128" s="18" t="s">
        <v>61</v>
      </c>
      <c r="K1128" s="149">
        <v>16.41</v>
      </c>
      <c r="L1128" s="18">
        <v>16.39</v>
      </c>
      <c r="M1128" s="18">
        <f t="shared" si="138"/>
        <v>16.39</v>
      </c>
      <c r="N1128" s="62">
        <f t="shared" si="141"/>
        <v>42587</v>
      </c>
      <c r="O1128" s="18">
        <v>1308758</v>
      </c>
      <c r="P1128" s="36">
        <f t="shared" si="140"/>
        <v>1307162.926264473</v>
      </c>
      <c r="Q1128" s="178">
        <v>42598</v>
      </c>
      <c r="R1128" s="66">
        <v>42600</v>
      </c>
      <c r="S1128" s="113">
        <f t="shared" si="142"/>
        <v>13</v>
      </c>
    </row>
    <row r="1129" spans="1:19" s="65" customFormat="1" hidden="1" x14ac:dyDescent="0.25">
      <c r="A1129" s="146">
        <v>327</v>
      </c>
      <c r="B1129" s="60">
        <v>42576</v>
      </c>
      <c r="C1129" s="18">
        <v>103</v>
      </c>
      <c r="D1129" s="18">
        <v>3000032222</v>
      </c>
      <c r="E1129" s="18" t="s">
        <v>184</v>
      </c>
      <c r="F1129" s="18">
        <v>108</v>
      </c>
      <c r="G1129" s="61">
        <v>42567</v>
      </c>
      <c r="H1129" s="61"/>
      <c r="I1129" s="61">
        <v>42571</v>
      </c>
      <c r="J1129" s="18" t="s">
        <v>61</v>
      </c>
      <c r="K1129" s="149">
        <v>20</v>
      </c>
      <c r="L1129" s="18">
        <v>19.899999999999999</v>
      </c>
      <c r="M1129" s="18">
        <f t="shared" si="138"/>
        <v>19.899999999999999</v>
      </c>
      <c r="N1129" s="62">
        <f t="shared" si="141"/>
        <v>42590</v>
      </c>
      <c r="O1129" s="18">
        <v>1560192</v>
      </c>
      <c r="P1129" s="36">
        <f t="shared" si="140"/>
        <v>1552391.04</v>
      </c>
      <c r="Q1129" s="178">
        <v>42598</v>
      </c>
      <c r="R1129" s="66">
        <v>42600</v>
      </c>
      <c r="S1129" s="113">
        <f t="shared" si="142"/>
        <v>10</v>
      </c>
    </row>
    <row r="1130" spans="1:19" s="65" customFormat="1" hidden="1" x14ac:dyDescent="0.25">
      <c r="A1130" s="146">
        <v>225</v>
      </c>
      <c r="B1130" s="60">
        <v>42569</v>
      </c>
      <c r="C1130" s="18">
        <v>103</v>
      </c>
      <c r="D1130" s="18">
        <v>3000032080</v>
      </c>
      <c r="E1130" s="18" t="s">
        <v>213</v>
      </c>
      <c r="F1130" s="18">
        <v>74</v>
      </c>
      <c r="G1130" s="61">
        <v>42554</v>
      </c>
      <c r="H1130" s="61"/>
      <c r="I1130" s="61">
        <v>42563</v>
      </c>
      <c r="J1130" s="18" t="s">
        <v>61</v>
      </c>
      <c r="K1130" s="149">
        <v>20.13</v>
      </c>
      <c r="L1130" s="18">
        <v>20.09</v>
      </c>
      <c r="M1130" s="18">
        <f t="shared" si="138"/>
        <v>20.09</v>
      </c>
      <c r="N1130" s="62">
        <f t="shared" si="141"/>
        <v>42582</v>
      </c>
      <c r="O1130" s="18">
        <v>1598463</v>
      </c>
      <c r="P1130" s="36">
        <f t="shared" si="140"/>
        <v>1595286.7198211625</v>
      </c>
      <c r="Q1130" s="178">
        <v>42598</v>
      </c>
      <c r="R1130" s="66">
        <v>42600</v>
      </c>
      <c r="S1130" s="113">
        <f t="shared" si="142"/>
        <v>18</v>
      </c>
    </row>
    <row r="1131" spans="1:19" s="65" customFormat="1" hidden="1" x14ac:dyDescent="0.25">
      <c r="A1131" s="146">
        <v>233</v>
      </c>
      <c r="B1131" s="60">
        <v>42569</v>
      </c>
      <c r="C1131" s="18">
        <v>103</v>
      </c>
      <c r="D1131" s="18">
        <v>3000031718</v>
      </c>
      <c r="E1131" s="18" t="s">
        <v>192</v>
      </c>
      <c r="F1131" s="18">
        <v>17</v>
      </c>
      <c r="G1131" s="61">
        <v>42559</v>
      </c>
      <c r="H1131" s="61"/>
      <c r="I1131" s="61">
        <v>42564</v>
      </c>
      <c r="J1131" s="18" t="s">
        <v>61</v>
      </c>
      <c r="K1131" s="149">
        <v>20.09</v>
      </c>
      <c r="L1131" s="18">
        <v>20.05</v>
      </c>
      <c r="M1131" s="18">
        <f t="shared" si="138"/>
        <v>20.05</v>
      </c>
      <c r="N1131" s="62">
        <f t="shared" si="141"/>
        <v>42583</v>
      </c>
      <c r="O1131" s="18">
        <v>1637340</v>
      </c>
      <c r="P1131" s="36">
        <f t="shared" si="140"/>
        <v>1634079.9900447987</v>
      </c>
      <c r="Q1131" s="178">
        <v>42598</v>
      </c>
      <c r="R1131" s="66">
        <v>42600</v>
      </c>
      <c r="S1131" s="113">
        <f t="shared" si="142"/>
        <v>17</v>
      </c>
    </row>
    <row r="1132" spans="1:19" s="65" customFormat="1" hidden="1" x14ac:dyDescent="0.25">
      <c r="A1132" s="146">
        <v>236</v>
      </c>
      <c r="B1132" s="60">
        <v>42569</v>
      </c>
      <c r="C1132" s="18">
        <v>103</v>
      </c>
      <c r="D1132" s="18">
        <v>3000032200</v>
      </c>
      <c r="E1132" s="18" t="s">
        <v>146</v>
      </c>
      <c r="F1132" s="18">
        <v>1133</v>
      </c>
      <c r="G1132" s="61">
        <v>42558</v>
      </c>
      <c r="H1132" s="61"/>
      <c r="I1132" s="61">
        <v>42564</v>
      </c>
      <c r="J1132" s="18" t="s">
        <v>61</v>
      </c>
      <c r="K1132" s="149">
        <v>20.03</v>
      </c>
      <c r="L1132" s="18">
        <v>20.010000000000002</v>
      </c>
      <c r="M1132" s="18">
        <f t="shared" si="138"/>
        <v>20.010000000000002</v>
      </c>
      <c r="N1132" s="62">
        <f t="shared" si="141"/>
        <v>42583</v>
      </c>
      <c r="O1132" s="18">
        <v>1572355</v>
      </c>
      <c r="P1132" s="36">
        <f t="shared" si="140"/>
        <v>1570785.0000000002</v>
      </c>
      <c r="Q1132" s="178">
        <v>42598</v>
      </c>
      <c r="R1132" s="66">
        <v>42600</v>
      </c>
      <c r="S1132" s="113">
        <f t="shared" si="142"/>
        <v>17</v>
      </c>
    </row>
    <row r="1133" spans="1:19" s="65" customFormat="1" hidden="1" x14ac:dyDescent="0.25">
      <c r="A1133" s="146">
        <v>299</v>
      </c>
      <c r="B1133" s="60">
        <v>42572</v>
      </c>
      <c r="C1133" s="18">
        <v>103</v>
      </c>
      <c r="D1133" s="18">
        <v>3000031641</v>
      </c>
      <c r="E1133" s="18" t="s">
        <v>183</v>
      </c>
      <c r="F1133" s="18">
        <v>18</v>
      </c>
      <c r="G1133" s="61">
        <v>42559</v>
      </c>
      <c r="H1133" s="61"/>
      <c r="I1133" s="61">
        <v>42565</v>
      </c>
      <c r="J1133" s="18" t="s">
        <v>61</v>
      </c>
      <c r="K1133" s="149">
        <v>20.13</v>
      </c>
      <c r="L1133" s="18">
        <v>20.12</v>
      </c>
      <c r="M1133" s="18">
        <f t="shared" si="138"/>
        <v>20.12</v>
      </c>
      <c r="N1133" s="62">
        <f t="shared" si="141"/>
        <v>42584</v>
      </c>
      <c r="O1133" s="18">
        <v>1640595</v>
      </c>
      <c r="P1133" s="36">
        <f t="shared" ref="P1133:P1149" si="143">(+O1133/K1133*M1133)</f>
        <v>1639780</v>
      </c>
      <c r="Q1133" s="178">
        <v>42598</v>
      </c>
      <c r="R1133" s="66">
        <v>42600</v>
      </c>
      <c r="S1133" s="113">
        <f t="shared" si="142"/>
        <v>16</v>
      </c>
    </row>
    <row r="1134" spans="1:19" s="65" customFormat="1" hidden="1" x14ac:dyDescent="0.25">
      <c r="A1134" s="146">
        <v>300</v>
      </c>
      <c r="B1134" s="60">
        <v>42572</v>
      </c>
      <c r="C1134" s="18">
        <v>103</v>
      </c>
      <c r="D1134" s="18">
        <v>3000031783</v>
      </c>
      <c r="E1134" s="18" t="s">
        <v>183</v>
      </c>
      <c r="F1134" s="18">
        <v>19</v>
      </c>
      <c r="G1134" s="61">
        <v>42560</v>
      </c>
      <c r="H1134" s="61"/>
      <c r="I1134" s="61">
        <v>42565</v>
      </c>
      <c r="J1134" s="18" t="s">
        <v>61</v>
      </c>
      <c r="K1134" s="149">
        <v>20.170000000000002</v>
      </c>
      <c r="L1134" s="18">
        <v>20.149999999999999</v>
      </c>
      <c r="M1134" s="18">
        <f t="shared" si="138"/>
        <v>20.149999999999999</v>
      </c>
      <c r="N1134" s="62">
        <f t="shared" si="141"/>
        <v>42584</v>
      </c>
      <c r="O1134" s="18">
        <v>1643855</v>
      </c>
      <c r="P1134" s="36">
        <f t="shared" si="143"/>
        <v>1642225</v>
      </c>
      <c r="Q1134" s="178">
        <v>42598</v>
      </c>
      <c r="R1134" s="66">
        <v>42600</v>
      </c>
      <c r="S1134" s="113">
        <f t="shared" si="142"/>
        <v>16</v>
      </c>
    </row>
    <row r="1135" spans="1:19" s="65" customFormat="1" hidden="1" x14ac:dyDescent="0.25">
      <c r="A1135" s="146">
        <v>310</v>
      </c>
      <c r="B1135" s="60">
        <v>42572</v>
      </c>
      <c r="C1135" s="18">
        <v>103</v>
      </c>
      <c r="D1135" s="18">
        <v>3000031783</v>
      </c>
      <c r="E1135" s="18" t="s">
        <v>183</v>
      </c>
      <c r="F1135" s="18">
        <v>20</v>
      </c>
      <c r="G1135" s="61">
        <v>42561</v>
      </c>
      <c r="H1135" s="61"/>
      <c r="I1135" s="61">
        <v>42567</v>
      </c>
      <c r="J1135" s="18" t="s">
        <v>61</v>
      </c>
      <c r="K1135" s="149">
        <v>19.809999999999999</v>
      </c>
      <c r="L1135" s="18">
        <v>19.739999999999998</v>
      </c>
      <c r="M1135" s="18">
        <f t="shared" si="138"/>
        <v>19.739999999999998</v>
      </c>
      <c r="N1135" s="62">
        <f t="shared" si="141"/>
        <v>42586</v>
      </c>
      <c r="O1135" s="18">
        <v>1614515</v>
      </c>
      <c r="P1135" s="36">
        <f t="shared" si="143"/>
        <v>1608809.9999999998</v>
      </c>
      <c r="Q1135" s="178">
        <v>42598</v>
      </c>
      <c r="R1135" s="66">
        <v>42600</v>
      </c>
      <c r="S1135" s="113">
        <f t="shared" si="142"/>
        <v>14</v>
      </c>
    </row>
    <row r="1136" spans="1:19" s="65" customFormat="1" hidden="1" x14ac:dyDescent="0.25">
      <c r="A1136" s="146">
        <v>348</v>
      </c>
      <c r="B1136" s="60">
        <v>42576</v>
      </c>
      <c r="C1136" s="18">
        <v>103</v>
      </c>
      <c r="D1136" s="18">
        <v>3000031813</v>
      </c>
      <c r="E1136" s="18" t="s">
        <v>60</v>
      </c>
      <c r="F1136" s="18">
        <v>351</v>
      </c>
      <c r="G1136" s="61">
        <v>42560</v>
      </c>
      <c r="H1136" s="61"/>
      <c r="I1136" s="61">
        <v>42572</v>
      </c>
      <c r="J1136" s="18" t="s">
        <v>61</v>
      </c>
      <c r="K1136" s="149">
        <v>20.32</v>
      </c>
      <c r="L1136" s="18">
        <v>20.260000000000002</v>
      </c>
      <c r="M1136" s="18">
        <f t="shared" si="138"/>
        <v>20.260000000000002</v>
      </c>
      <c r="N1136" s="62">
        <f t="shared" si="141"/>
        <v>42591</v>
      </c>
      <c r="O1136" s="18">
        <v>1540179</v>
      </c>
      <c r="P1136" s="36">
        <f t="shared" si="143"/>
        <v>1535631.2273622048</v>
      </c>
      <c r="Q1136" s="178">
        <v>42598</v>
      </c>
      <c r="R1136" s="66">
        <v>42600</v>
      </c>
      <c r="S1136" s="113">
        <f t="shared" si="142"/>
        <v>9</v>
      </c>
    </row>
    <row r="1137" spans="1:22" s="65" customFormat="1" hidden="1" x14ac:dyDescent="0.25">
      <c r="A1137" s="146">
        <v>378</v>
      </c>
      <c r="B1137" s="60">
        <v>42578</v>
      </c>
      <c r="C1137" s="18">
        <v>103</v>
      </c>
      <c r="D1137" s="18">
        <v>3000032360</v>
      </c>
      <c r="E1137" s="18" t="s">
        <v>60</v>
      </c>
      <c r="F1137" s="18">
        <v>372</v>
      </c>
      <c r="G1137" s="61">
        <v>42565</v>
      </c>
      <c r="H1137" s="61"/>
      <c r="I1137" s="61">
        <v>42570</v>
      </c>
      <c r="J1137" s="18" t="s">
        <v>61</v>
      </c>
      <c r="K1137" s="149">
        <v>24.12</v>
      </c>
      <c r="L1137" s="18">
        <v>24.04</v>
      </c>
      <c r="M1137" s="18">
        <f t="shared" si="138"/>
        <v>24.04</v>
      </c>
      <c r="N1137" s="62">
        <f t="shared" si="141"/>
        <v>42589</v>
      </c>
      <c r="O1137" s="18">
        <v>1821069</v>
      </c>
      <c r="P1137" s="36">
        <f t="shared" si="143"/>
        <v>1815028.9701492537</v>
      </c>
      <c r="Q1137" s="178">
        <v>42598</v>
      </c>
      <c r="R1137" s="66">
        <v>42600</v>
      </c>
      <c r="S1137" s="113">
        <f t="shared" ref="S1137:S1168" si="144">R1137-N1137</f>
        <v>11</v>
      </c>
    </row>
    <row r="1138" spans="1:22" s="65" customFormat="1" hidden="1" x14ac:dyDescent="0.25">
      <c r="A1138" s="146">
        <v>349</v>
      </c>
      <c r="B1138" s="60">
        <v>42576</v>
      </c>
      <c r="C1138" s="18">
        <v>103</v>
      </c>
      <c r="D1138" s="18">
        <v>3000031813</v>
      </c>
      <c r="E1138" s="18" t="s">
        <v>60</v>
      </c>
      <c r="F1138" s="18">
        <v>373</v>
      </c>
      <c r="G1138" s="61">
        <v>42565</v>
      </c>
      <c r="H1138" s="61"/>
      <c r="I1138" s="61">
        <v>42571</v>
      </c>
      <c r="J1138" s="18" t="s">
        <v>61</v>
      </c>
      <c r="K1138" s="149">
        <v>19.940000000000001</v>
      </c>
      <c r="L1138" s="18">
        <v>19.86</v>
      </c>
      <c r="M1138" s="18">
        <f t="shared" si="138"/>
        <v>19.86</v>
      </c>
      <c r="N1138" s="62">
        <f t="shared" si="141"/>
        <v>42590</v>
      </c>
      <c r="O1138" s="18">
        <v>1511376</v>
      </c>
      <c r="P1138" s="36">
        <f t="shared" si="143"/>
        <v>1505312.3049147441</v>
      </c>
      <c r="Q1138" s="178">
        <v>42598</v>
      </c>
      <c r="R1138" s="66">
        <v>42600</v>
      </c>
      <c r="S1138" s="113">
        <f t="shared" si="144"/>
        <v>10</v>
      </c>
    </row>
    <row r="1139" spans="1:22" s="65" customFormat="1" hidden="1" x14ac:dyDescent="0.25">
      <c r="A1139" s="146">
        <v>335</v>
      </c>
      <c r="B1139" s="60">
        <v>42576</v>
      </c>
      <c r="C1139" s="18">
        <v>103</v>
      </c>
      <c r="D1139" s="18">
        <v>3000032360</v>
      </c>
      <c r="E1139" s="18" t="s">
        <v>60</v>
      </c>
      <c r="F1139" s="18">
        <v>380</v>
      </c>
      <c r="G1139" s="61">
        <v>42566</v>
      </c>
      <c r="H1139" s="61"/>
      <c r="I1139" s="61">
        <v>42571</v>
      </c>
      <c r="J1139" s="18" t="s">
        <v>61</v>
      </c>
      <c r="K1139" s="149">
        <v>16.12</v>
      </c>
      <c r="L1139" s="18">
        <v>16.059999999999999</v>
      </c>
      <c r="M1139" s="18">
        <f t="shared" si="138"/>
        <v>16.059999999999999</v>
      </c>
      <c r="N1139" s="62">
        <f t="shared" si="141"/>
        <v>42590</v>
      </c>
      <c r="O1139" s="18">
        <v>1217066</v>
      </c>
      <c r="P1139" s="36">
        <f t="shared" si="143"/>
        <v>1212535.9776674935</v>
      </c>
      <c r="Q1139" s="178">
        <v>42598</v>
      </c>
      <c r="R1139" s="66">
        <v>42600</v>
      </c>
      <c r="S1139" s="113">
        <f t="shared" si="144"/>
        <v>10</v>
      </c>
    </row>
    <row r="1140" spans="1:22" s="65" customFormat="1" hidden="1" x14ac:dyDescent="0.25">
      <c r="A1140" s="146">
        <v>379</v>
      </c>
      <c r="B1140" s="60">
        <v>42578</v>
      </c>
      <c r="C1140" s="18">
        <v>103</v>
      </c>
      <c r="D1140" s="18">
        <v>3000032360</v>
      </c>
      <c r="E1140" s="18" t="s">
        <v>60</v>
      </c>
      <c r="F1140" s="18">
        <v>384</v>
      </c>
      <c r="G1140" s="61">
        <v>42568</v>
      </c>
      <c r="H1140" s="61"/>
      <c r="I1140" s="61">
        <v>42573</v>
      </c>
      <c r="J1140" s="18" t="s">
        <v>61</v>
      </c>
      <c r="K1140" s="149">
        <v>16.440000000000001</v>
      </c>
      <c r="L1140" s="18">
        <v>16.420000000000002</v>
      </c>
      <c r="M1140" s="18">
        <f t="shared" si="138"/>
        <v>16.420000000000002</v>
      </c>
      <c r="N1140" s="62">
        <f t="shared" si="141"/>
        <v>42592</v>
      </c>
      <c r="O1140" s="18">
        <v>1241227</v>
      </c>
      <c r="P1140" s="36">
        <f t="shared" si="143"/>
        <v>1239716.991484185</v>
      </c>
      <c r="Q1140" s="178">
        <v>42598</v>
      </c>
      <c r="R1140" s="66">
        <v>42600</v>
      </c>
      <c r="S1140" s="113">
        <f t="shared" si="144"/>
        <v>8</v>
      </c>
    </row>
    <row r="1141" spans="1:22" s="65" customFormat="1" hidden="1" x14ac:dyDescent="0.25">
      <c r="A1141" s="146">
        <v>380</v>
      </c>
      <c r="B1141" s="60">
        <v>42578</v>
      </c>
      <c r="C1141" s="18">
        <v>103</v>
      </c>
      <c r="D1141" s="18">
        <v>3000031622</v>
      </c>
      <c r="E1141" s="18" t="s">
        <v>60</v>
      </c>
      <c r="F1141" s="18">
        <v>385</v>
      </c>
      <c r="G1141" s="61">
        <v>42568</v>
      </c>
      <c r="H1141" s="61"/>
      <c r="I1141" s="61">
        <v>42573</v>
      </c>
      <c r="J1141" s="18" t="s">
        <v>61</v>
      </c>
      <c r="K1141" s="149">
        <v>25.25</v>
      </c>
      <c r="L1141" s="18">
        <v>25.19</v>
      </c>
      <c r="M1141" s="18">
        <f t="shared" si="138"/>
        <v>25.19</v>
      </c>
      <c r="N1141" s="62">
        <f t="shared" si="141"/>
        <v>42592</v>
      </c>
      <c r="O1141" s="18">
        <v>2045205</v>
      </c>
      <c r="P1141" s="36">
        <f t="shared" si="143"/>
        <v>2040345.1069306931</v>
      </c>
      <c r="Q1141" s="178">
        <v>42598</v>
      </c>
      <c r="R1141" s="66">
        <v>42600</v>
      </c>
      <c r="S1141" s="113">
        <f t="shared" si="144"/>
        <v>8</v>
      </c>
    </row>
    <row r="1142" spans="1:22" s="65" customFormat="1" x14ac:dyDescent="0.25">
      <c r="A1142" s="146">
        <v>323</v>
      </c>
      <c r="B1142" s="60">
        <v>42576</v>
      </c>
      <c r="C1142" s="18">
        <v>103</v>
      </c>
      <c r="D1142" s="18">
        <v>3000031884</v>
      </c>
      <c r="E1142" s="18" t="s">
        <v>144</v>
      </c>
      <c r="F1142" s="18">
        <v>648</v>
      </c>
      <c r="G1142" s="61">
        <v>42564</v>
      </c>
      <c r="H1142" s="61"/>
      <c r="I1142" s="61">
        <v>42567</v>
      </c>
      <c r="J1142" s="18" t="s">
        <v>61</v>
      </c>
      <c r="K1142" s="149">
        <v>20.399999999999999</v>
      </c>
      <c r="L1142" s="18">
        <v>20.29</v>
      </c>
      <c r="M1142" s="18">
        <f t="shared" si="138"/>
        <v>20.29</v>
      </c>
      <c r="N1142" s="62">
        <f t="shared" si="141"/>
        <v>42586</v>
      </c>
      <c r="O1142" s="18">
        <v>1570796</v>
      </c>
      <c r="P1142" s="38">
        <f t="shared" si="143"/>
        <v>1562326.0215686273</v>
      </c>
      <c r="Q1142" s="178">
        <v>42598</v>
      </c>
      <c r="R1142" s="66">
        <v>42600</v>
      </c>
      <c r="S1142" s="113">
        <f t="shared" si="144"/>
        <v>14</v>
      </c>
      <c r="T1142" s="15" t="s">
        <v>285</v>
      </c>
      <c r="U1142" s="15"/>
      <c r="V1142" s="15"/>
    </row>
    <row r="1143" spans="1:22" s="41" customFormat="1" hidden="1" x14ac:dyDescent="0.25">
      <c r="A1143" s="146">
        <v>57</v>
      </c>
      <c r="B1143" s="60">
        <v>42557</v>
      </c>
      <c r="C1143" s="18">
        <v>114</v>
      </c>
      <c r="D1143" s="18">
        <v>3000028616</v>
      </c>
      <c r="E1143" s="18" t="s">
        <v>28</v>
      </c>
      <c r="F1143" s="18">
        <v>573</v>
      </c>
      <c r="G1143" s="61">
        <v>42548</v>
      </c>
      <c r="H1143" s="61"/>
      <c r="I1143" s="61">
        <v>42553</v>
      </c>
      <c r="J1143" s="18" t="s">
        <v>8</v>
      </c>
      <c r="K1143" s="149">
        <v>18</v>
      </c>
      <c r="L1143" s="18">
        <v>18</v>
      </c>
      <c r="M1143" s="18">
        <f t="shared" si="138"/>
        <v>18</v>
      </c>
      <c r="N1143" s="62">
        <f t="shared" ref="N1143:N1151" si="145">+I1143+15-1</f>
        <v>42567</v>
      </c>
      <c r="O1143" s="18">
        <v>808200</v>
      </c>
      <c r="P1143" s="38">
        <f t="shared" si="143"/>
        <v>808200</v>
      </c>
      <c r="Q1143" s="178">
        <v>42601</v>
      </c>
      <c r="R1143" s="66">
        <v>42602</v>
      </c>
      <c r="S1143" s="113">
        <f t="shared" si="144"/>
        <v>35</v>
      </c>
    </row>
    <row r="1144" spans="1:22" s="41" customFormat="1" hidden="1" x14ac:dyDescent="0.25">
      <c r="A1144" s="146">
        <v>58</v>
      </c>
      <c r="B1144" s="60">
        <v>42557</v>
      </c>
      <c r="C1144" s="18">
        <v>114</v>
      </c>
      <c r="D1144" s="18">
        <v>3000028873</v>
      </c>
      <c r="E1144" s="18" t="s">
        <v>28</v>
      </c>
      <c r="F1144" s="18">
        <v>574</v>
      </c>
      <c r="G1144" s="61">
        <v>42548</v>
      </c>
      <c r="H1144" s="61"/>
      <c r="I1144" s="61">
        <v>42553</v>
      </c>
      <c r="J1144" s="18" t="s">
        <v>8</v>
      </c>
      <c r="K1144" s="149">
        <v>9.59</v>
      </c>
      <c r="L1144" s="18">
        <v>9.48</v>
      </c>
      <c r="M1144" s="18">
        <f t="shared" si="138"/>
        <v>9.48</v>
      </c>
      <c r="N1144" s="62">
        <f t="shared" si="145"/>
        <v>42567</v>
      </c>
      <c r="O1144" s="18">
        <v>436345</v>
      </c>
      <c r="P1144" s="38">
        <f t="shared" si="143"/>
        <v>431340</v>
      </c>
      <c r="Q1144" s="178">
        <v>42601</v>
      </c>
      <c r="R1144" s="66">
        <v>42602</v>
      </c>
      <c r="S1144" s="113">
        <f t="shared" si="144"/>
        <v>35</v>
      </c>
    </row>
    <row r="1145" spans="1:22" s="41" customFormat="1" hidden="1" x14ac:dyDescent="0.25">
      <c r="A1145" s="146">
        <v>173</v>
      </c>
      <c r="B1145" s="60">
        <v>42563</v>
      </c>
      <c r="C1145" s="18">
        <v>114</v>
      </c>
      <c r="D1145" s="18">
        <v>3000030922</v>
      </c>
      <c r="E1145" s="18" t="s">
        <v>138</v>
      </c>
      <c r="F1145" s="18">
        <v>9000</v>
      </c>
      <c r="G1145" s="61">
        <v>42550</v>
      </c>
      <c r="H1145" s="61"/>
      <c r="I1145" s="61">
        <v>42558</v>
      </c>
      <c r="J1145" s="18" t="s">
        <v>8</v>
      </c>
      <c r="K1145" s="149">
        <v>20.329999999999998</v>
      </c>
      <c r="L1145" s="18">
        <v>20.27</v>
      </c>
      <c r="M1145" s="18">
        <f t="shared" si="138"/>
        <v>20.27</v>
      </c>
      <c r="N1145" s="62">
        <f t="shared" si="145"/>
        <v>42572</v>
      </c>
      <c r="O1145" s="18">
        <v>1077490</v>
      </c>
      <c r="P1145" s="38">
        <f t="shared" si="143"/>
        <v>1074310.0000000002</v>
      </c>
      <c r="Q1145" s="178">
        <v>42601</v>
      </c>
      <c r="R1145" s="66">
        <v>42602</v>
      </c>
      <c r="S1145" s="113">
        <f t="shared" si="144"/>
        <v>30</v>
      </c>
    </row>
    <row r="1146" spans="1:22" s="41" customFormat="1" hidden="1" x14ac:dyDescent="0.25">
      <c r="A1146" s="146">
        <v>134</v>
      </c>
      <c r="B1146" s="60">
        <v>42562</v>
      </c>
      <c r="C1146" s="18">
        <v>114</v>
      </c>
      <c r="D1146" s="18">
        <v>3000031195</v>
      </c>
      <c r="E1146" s="18" t="s">
        <v>138</v>
      </c>
      <c r="F1146" s="154">
        <v>9002</v>
      </c>
      <c r="G1146" s="61">
        <v>42551</v>
      </c>
      <c r="H1146" s="61"/>
      <c r="I1146" s="61">
        <v>42556</v>
      </c>
      <c r="J1146" s="18" t="s">
        <v>8</v>
      </c>
      <c r="K1146" s="149">
        <v>14.48</v>
      </c>
      <c r="L1146" s="18">
        <v>14.51</v>
      </c>
      <c r="M1146" s="18">
        <f t="shared" si="138"/>
        <v>14.48</v>
      </c>
      <c r="N1146" s="62">
        <f t="shared" si="145"/>
        <v>42570</v>
      </c>
      <c r="O1146" s="18">
        <v>765992</v>
      </c>
      <c r="P1146" s="38">
        <f t="shared" si="143"/>
        <v>765992</v>
      </c>
      <c r="Q1146" s="178">
        <v>42601</v>
      </c>
      <c r="R1146" s="66">
        <v>42602</v>
      </c>
      <c r="S1146" s="113">
        <f t="shared" si="144"/>
        <v>32</v>
      </c>
    </row>
    <row r="1147" spans="1:22" s="41" customFormat="1" hidden="1" x14ac:dyDescent="0.25">
      <c r="A1147" s="146">
        <v>172</v>
      </c>
      <c r="B1147" s="60">
        <v>42563</v>
      </c>
      <c r="C1147" s="18">
        <v>114</v>
      </c>
      <c r="D1147" s="18">
        <v>3000031371</v>
      </c>
      <c r="E1147" s="18" t="s">
        <v>18</v>
      </c>
      <c r="F1147" s="18">
        <v>39</v>
      </c>
      <c r="G1147" s="61">
        <v>42550</v>
      </c>
      <c r="H1147" s="61"/>
      <c r="I1147" s="61">
        <v>42558</v>
      </c>
      <c r="J1147" s="18" t="s">
        <v>8</v>
      </c>
      <c r="K1147" s="149">
        <v>27.59</v>
      </c>
      <c r="L1147" s="18">
        <v>27.43</v>
      </c>
      <c r="M1147" s="18">
        <f t="shared" si="138"/>
        <v>27.43</v>
      </c>
      <c r="N1147" s="62">
        <f t="shared" si="145"/>
        <v>42572</v>
      </c>
      <c r="O1147" s="18">
        <v>1470547</v>
      </c>
      <c r="P1147" s="38">
        <f t="shared" si="143"/>
        <v>1462019</v>
      </c>
      <c r="Q1147" s="178">
        <v>42601</v>
      </c>
      <c r="R1147" s="66">
        <v>42602</v>
      </c>
      <c r="S1147" s="113">
        <f t="shared" si="144"/>
        <v>30</v>
      </c>
    </row>
    <row r="1148" spans="1:22" s="41" customFormat="1" hidden="1" x14ac:dyDescent="0.25">
      <c r="A1148" s="146">
        <v>177</v>
      </c>
      <c r="B1148" s="60">
        <v>42563</v>
      </c>
      <c r="C1148" s="18">
        <v>114</v>
      </c>
      <c r="D1148" s="18">
        <v>3000031317</v>
      </c>
      <c r="E1148" s="18" t="s">
        <v>15</v>
      </c>
      <c r="F1148" s="154">
        <v>3098</v>
      </c>
      <c r="G1148" s="61">
        <v>42556</v>
      </c>
      <c r="H1148" s="61"/>
      <c r="I1148" s="61">
        <v>42559</v>
      </c>
      <c r="J1148" s="18" t="s">
        <v>16</v>
      </c>
      <c r="K1148" s="149">
        <v>20</v>
      </c>
      <c r="L1148" s="18">
        <v>19.934999999999999</v>
      </c>
      <c r="M1148" s="18">
        <f t="shared" si="138"/>
        <v>19.934999999999999</v>
      </c>
      <c r="N1148" s="62">
        <f t="shared" si="145"/>
        <v>42573</v>
      </c>
      <c r="O1148" s="18">
        <v>1000000</v>
      </c>
      <c r="P1148" s="38">
        <f t="shared" si="143"/>
        <v>996749.99999999988</v>
      </c>
      <c r="Q1148" s="178">
        <v>42601</v>
      </c>
      <c r="R1148" s="66">
        <v>42602</v>
      </c>
      <c r="S1148" s="113">
        <f t="shared" si="144"/>
        <v>29</v>
      </c>
    </row>
    <row r="1149" spans="1:22" s="41" customFormat="1" hidden="1" x14ac:dyDescent="0.25">
      <c r="A1149" s="146">
        <v>178</v>
      </c>
      <c r="B1149" s="60">
        <v>42563</v>
      </c>
      <c r="C1149" s="18">
        <v>114</v>
      </c>
      <c r="D1149" s="18">
        <v>3000030991</v>
      </c>
      <c r="E1149" s="18" t="s">
        <v>15</v>
      </c>
      <c r="F1149" s="154">
        <v>3098</v>
      </c>
      <c r="G1149" s="61">
        <v>42556</v>
      </c>
      <c r="H1149" s="61"/>
      <c r="I1149" s="61">
        <v>42559</v>
      </c>
      <c r="J1149" s="18" t="s">
        <v>16</v>
      </c>
      <c r="K1149" s="149">
        <v>8.8049999999999997</v>
      </c>
      <c r="L1149" s="18">
        <v>8.8049999999999997</v>
      </c>
      <c r="M1149" s="18">
        <f t="shared" ref="M1149:M1212" si="146">IF(L1149&gt;K1149,K1149,L1149)</f>
        <v>8.8049999999999997</v>
      </c>
      <c r="N1149" s="62">
        <f t="shared" si="145"/>
        <v>42573</v>
      </c>
      <c r="O1149" s="18">
        <v>431445</v>
      </c>
      <c r="P1149" s="38">
        <f t="shared" si="143"/>
        <v>431445</v>
      </c>
      <c r="Q1149" s="178">
        <v>42601</v>
      </c>
      <c r="R1149" s="66">
        <v>42602</v>
      </c>
      <c r="S1149" s="113">
        <f t="shared" si="144"/>
        <v>29</v>
      </c>
    </row>
    <row r="1150" spans="1:22" s="41" customFormat="1" hidden="1" x14ac:dyDescent="0.25">
      <c r="A1150" s="146">
        <v>202</v>
      </c>
      <c r="B1150" s="60">
        <v>42569</v>
      </c>
      <c r="C1150" s="18">
        <v>114</v>
      </c>
      <c r="D1150" s="18">
        <v>3000031306</v>
      </c>
      <c r="E1150" s="18" t="s">
        <v>27</v>
      </c>
      <c r="F1150" s="63" t="s">
        <v>224</v>
      </c>
      <c r="G1150" s="61">
        <v>42563</v>
      </c>
      <c r="H1150" s="61"/>
      <c r="I1150" s="61">
        <v>42560</v>
      </c>
      <c r="J1150" s="18" t="s">
        <v>16</v>
      </c>
      <c r="K1150" s="149"/>
      <c r="L1150" s="18"/>
      <c r="M1150" s="18">
        <f t="shared" si="146"/>
        <v>0</v>
      </c>
      <c r="N1150" s="62">
        <f t="shared" si="145"/>
        <v>42574</v>
      </c>
      <c r="O1150" s="18">
        <v>8335</v>
      </c>
      <c r="P1150" s="38"/>
      <c r="Q1150" s="178">
        <v>42601</v>
      </c>
      <c r="R1150" s="66">
        <v>42602</v>
      </c>
      <c r="S1150" s="113">
        <f t="shared" si="144"/>
        <v>28</v>
      </c>
    </row>
    <row r="1151" spans="1:22" s="41" customFormat="1" hidden="1" x14ac:dyDescent="0.25">
      <c r="A1151" s="146">
        <v>203</v>
      </c>
      <c r="B1151" s="60">
        <v>42569</v>
      </c>
      <c r="C1151" s="18">
        <v>114</v>
      </c>
      <c r="D1151" s="18">
        <v>3000031306</v>
      </c>
      <c r="E1151" s="18" t="s">
        <v>27</v>
      </c>
      <c r="F1151" s="18">
        <v>121</v>
      </c>
      <c r="G1151" s="61">
        <v>42553</v>
      </c>
      <c r="H1151" s="61"/>
      <c r="I1151" s="61">
        <v>42560</v>
      </c>
      <c r="J1151" s="18" t="s">
        <v>16</v>
      </c>
      <c r="K1151" s="149">
        <v>26.31</v>
      </c>
      <c r="L1151" s="18">
        <v>26.21</v>
      </c>
      <c r="M1151" s="18">
        <f t="shared" si="146"/>
        <v>26.21</v>
      </c>
      <c r="N1151" s="62">
        <f t="shared" si="145"/>
        <v>42574</v>
      </c>
      <c r="O1151" s="18">
        <v>1315500</v>
      </c>
      <c r="P1151" s="38">
        <f>(+O1151/K1151*M1151)-8335</f>
        <v>1302165</v>
      </c>
      <c r="Q1151" s="178">
        <v>42601</v>
      </c>
      <c r="R1151" s="66">
        <v>42602</v>
      </c>
      <c r="S1151" s="113">
        <f t="shared" si="144"/>
        <v>28</v>
      </c>
    </row>
    <row r="1152" spans="1:22" s="41" customFormat="1" hidden="1" x14ac:dyDescent="0.25">
      <c r="A1152" s="146">
        <v>219</v>
      </c>
      <c r="B1152" s="60">
        <v>42569</v>
      </c>
      <c r="C1152" s="18">
        <v>103</v>
      </c>
      <c r="D1152" s="18">
        <v>3000032063</v>
      </c>
      <c r="E1152" s="18" t="s">
        <v>172</v>
      </c>
      <c r="F1152" s="18">
        <v>41</v>
      </c>
      <c r="G1152" s="61">
        <v>42557</v>
      </c>
      <c r="H1152" s="61"/>
      <c r="I1152" s="61">
        <v>42562</v>
      </c>
      <c r="J1152" s="18" t="s">
        <v>61</v>
      </c>
      <c r="K1152" s="149">
        <v>20.100000000000001</v>
      </c>
      <c r="L1152" s="18">
        <v>20.059999999999999</v>
      </c>
      <c r="M1152" s="18">
        <f t="shared" si="146"/>
        <v>20.059999999999999</v>
      </c>
      <c r="N1152" s="62">
        <f t="shared" ref="N1152:N1166" si="147">+I1152+20-1</f>
        <v>42581</v>
      </c>
      <c r="O1152" s="18">
        <v>1587900</v>
      </c>
      <c r="P1152" s="38">
        <f t="shared" ref="P1152:P1187" si="148">(+O1152/K1152*M1152)</f>
        <v>1584740</v>
      </c>
      <c r="Q1152" s="178">
        <v>42601</v>
      </c>
      <c r="R1152" s="66">
        <v>42602</v>
      </c>
      <c r="S1152" s="113">
        <f t="shared" si="144"/>
        <v>21</v>
      </c>
    </row>
    <row r="1153" spans="1:19" s="41" customFormat="1" hidden="1" x14ac:dyDescent="0.25">
      <c r="A1153" s="146">
        <v>214</v>
      </c>
      <c r="B1153" s="60">
        <v>42569</v>
      </c>
      <c r="C1153" s="18">
        <v>103</v>
      </c>
      <c r="D1153" s="18">
        <v>3000032063</v>
      </c>
      <c r="E1153" s="18" t="s">
        <v>172</v>
      </c>
      <c r="F1153" s="18">
        <v>42</v>
      </c>
      <c r="G1153" s="61">
        <v>42557</v>
      </c>
      <c r="H1153" s="61"/>
      <c r="I1153" s="61">
        <v>42561</v>
      </c>
      <c r="J1153" s="18" t="s">
        <v>61</v>
      </c>
      <c r="K1153" s="149">
        <v>20.100000000000001</v>
      </c>
      <c r="L1153" s="18">
        <v>20.04</v>
      </c>
      <c r="M1153" s="18">
        <f t="shared" si="146"/>
        <v>20.04</v>
      </c>
      <c r="N1153" s="62">
        <f t="shared" si="147"/>
        <v>42580</v>
      </c>
      <c r="O1153" s="18">
        <v>1587900</v>
      </c>
      <c r="P1153" s="38">
        <f t="shared" si="148"/>
        <v>1583160</v>
      </c>
      <c r="Q1153" s="178">
        <v>42601</v>
      </c>
      <c r="R1153" s="66">
        <v>42602</v>
      </c>
      <c r="S1153" s="113">
        <f t="shared" si="144"/>
        <v>22</v>
      </c>
    </row>
    <row r="1154" spans="1:19" s="41" customFormat="1" hidden="1" x14ac:dyDescent="0.25">
      <c r="A1154" s="146">
        <v>224</v>
      </c>
      <c r="B1154" s="60">
        <v>42569</v>
      </c>
      <c r="C1154" s="18">
        <v>103</v>
      </c>
      <c r="D1154" s="18">
        <v>3000031981</v>
      </c>
      <c r="E1154" s="18" t="s">
        <v>169</v>
      </c>
      <c r="F1154" s="18">
        <v>103</v>
      </c>
      <c r="G1154" s="61">
        <v>42552</v>
      </c>
      <c r="H1154" s="61"/>
      <c r="I1154" s="61">
        <v>42563</v>
      </c>
      <c r="J1154" s="18" t="s">
        <v>61</v>
      </c>
      <c r="K1154" s="149">
        <v>20</v>
      </c>
      <c r="L1154" s="18">
        <v>19.98</v>
      </c>
      <c r="M1154" s="18">
        <f t="shared" si="146"/>
        <v>19.98</v>
      </c>
      <c r="N1154" s="62">
        <f t="shared" si="147"/>
        <v>42582</v>
      </c>
      <c r="O1154" s="18">
        <v>1630000</v>
      </c>
      <c r="P1154" s="38">
        <f t="shared" si="148"/>
        <v>1628370</v>
      </c>
      <c r="Q1154" s="178">
        <v>42601</v>
      </c>
      <c r="R1154" s="66">
        <v>42602</v>
      </c>
      <c r="S1154" s="113">
        <f t="shared" si="144"/>
        <v>20</v>
      </c>
    </row>
    <row r="1155" spans="1:19" s="41" customFormat="1" hidden="1" x14ac:dyDescent="0.25">
      <c r="A1155" s="146">
        <v>302</v>
      </c>
      <c r="B1155" s="60">
        <v>42572</v>
      </c>
      <c r="C1155" s="18">
        <v>103</v>
      </c>
      <c r="D1155" s="18">
        <v>3000031820</v>
      </c>
      <c r="E1155" s="18" t="s">
        <v>169</v>
      </c>
      <c r="F1155" s="18">
        <v>109</v>
      </c>
      <c r="G1155" s="61">
        <v>42560</v>
      </c>
      <c r="H1155" s="61"/>
      <c r="I1155" s="61">
        <v>42565</v>
      </c>
      <c r="J1155" s="18" t="s">
        <v>61</v>
      </c>
      <c r="K1155" s="149">
        <v>20.170000000000002</v>
      </c>
      <c r="L1155" s="18">
        <v>20.12</v>
      </c>
      <c r="M1155" s="18">
        <f t="shared" si="146"/>
        <v>20.12</v>
      </c>
      <c r="N1155" s="62">
        <f t="shared" si="147"/>
        <v>42584</v>
      </c>
      <c r="O1155" s="18">
        <v>1627719</v>
      </c>
      <c r="P1155" s="38">
        <f t="shared" si="148"/>
        <v>1623684</v>
      </c>
      <c r="Q1155" s="178">
        <v>42601</v>
      </c>
      <c r="R1155" s="66">
        <v>42602</v>
      </c>
      <c r="S1155" s="113">
        <f t="shared" si="144"/>
        <v>18</v>
      </c>
    </row>
    <row r="1156" spans="1:19" s="41" customFormat="1" hidden="1" x14ac:dyDescent="0.25">
      <c r="A1156" s="146">
        <v>218</v>
      </c>
      <c r="B1156" s="60">
        <v>42569</v>
      </c>
      <c r="C1156" s="18">
        <v>103</v>
      </c>
      <c r="D1156" s="18">
        <v>3000031934</v>
      </c>
      <c r="E1156" s="18" t="s">
        <v>216</v>
      </c>
      <c r="F1156" s="18">
        <v>90</v>
      </c>
      <c r="G1156" s="61">
        <v>42558</v>
      </c>
      <c r="H1156" s="61"/>
      <c r="I1156" s="61">
        <v>42562</v>
      </c>
      <c r="J1156" s="18" t="s">
        <v>61</v>
      </c>
      <c r="K1156" s="149">
        <v>20</v>
      </c>
      <c r="L1156" s="18">
        <v>19.96</v>
      </c>
      <c r="M1156" s="18">
        <f t="shared" si="146"/>
        <v>19.96</v>
      </c>
      <c r="N1156" s="62">
        <f t="shared" si="147"/>
        <v>42581</v>
      </c>
      <c r="O1156" s="18">
        <v>1630164</v>
      </c>
      <c r="P1156" s="38">
        <f t="shared" si="148"/>
        <v>1626903.672</v>
      </c>
      <c r="Q1156" s="178">
        <v>42601</v>
      </c>
      <c r="R1156" s="66">
        <v>42602</v>
      </c>
      <c r="S1156" s="113">
        <f t="shared" si="144"/>
        <v>21</v>
      </c>
    </row>
    <row r="1157" spans="1:19" s="41" customFormat="1" hidden="1" x14ac:dyDescent="0.25">
      <c r="A1157" s="146">
        <v>226</v>
      </c>
      <c r="B1157" s="60">
        <v>42569</v>
      </c>
      <c r="C1157" s="18">
        <v>103</v>
      </c>
      <c r="D1157" s="18">
        <v>3000032219</v>
      </c>
      <c r="E1157" s="18" t="s">
        <v>202</v>
      </c>
      <c r="F1157" s="18">
        <v>79</v>
      </c>
      <c r="G1157" s="61">
        <v>42559</v>
      </c>
      <c r="H1157" s="61"/>
      <c r="I1157" s="61">
        <v>42563</v>
      </c>
      <c r="J1157" s="18" t="s">
        <v>61</v>
      </c>
      <c r="K1157" s="149">
        <v>25.09</v>
      </c>
      <c r="L1157" s="18">
        <v>25.06</v>
      </c>
      <c r="M1157" s="18">
        <f t="shared" si="146"/>
        <v>25.06</v>
      </c>
      <c r="N1157" s="62">
        <f t="shared" si="147"/>
        <v>42582</v>
      </c>
      <c r="O1157" s="18">
        <v>1969565</v>
      </c>
      <c r="P1157" s="38">
        <f t="shared" si="148"/>
        <v>1967210</v>
      </c>
      <c r="Q1157" s="178">
        <v>42601</v>
      </c>
      <c r="R1157" s="66">
        <v>42602</v>
      </c>
      <c r="S1157" s="113">
        <f t="shared" si="144"/>
        <v>20</v>
      </c>
    </row>
    <row r="1158" spans="1:19" s="41" customFormat="1" hidden="1" x14ac:dyDescent="0.25">
      <c r="A1158" s="146">
        <v>227</v>
      </c>
      <c r="B1158" s="60">
        <v>42569</v>
      </c>
      <c r="C1158" s="18">
        <v>103</v>
      </c>
      <c r="D1158" s="18">
        <v>3000032219</v>
      </c>
      <c r="E1158" s="18" t="s">
        <v>202</v>
      </c>
      <c r="F1158" s="18">
        <v>80</v>
      </c>
      <c r="G1158" s="61">
        <v>42559</v>
      </c>
      <c r="H1158" s="61"/>
      <c r="I1158" s="61">
        <v>42563</v>
      </c>
      <c r="J1158" s="18" t="s">
        <v>61</v>
      </c>
      <c r="K1158" s="149">
        <v>16.29</v>
      </c>
      <c r="L1158" s="18">
        <v>16.27</v>
      </c>
      <c r="M1158" s="18">
        <f t="shared" si="146"/>
        <v>16.27</v>
      </c>
      <c r="N1158" s="62">
        <f t="shared" si="147"/>
        <v>42582</v>
      </c>
      <c r="O1158" s="18">
        <v>1278765</v>
      </c>
      <c r="P1158" s="38">
        <f t="shared" si="148"/>
        <v>1277195</v>
      </c>
      <c r="Q1158" s="178">
        <v>42601</v>
      </c>
      <c r="R1158" s="66">
        <v>42602</v>
      </c>
      <c r="S1158" s="113">
        <f t="shared" si="144"/>
        <v>20</v>
      </c>
    </row>
    <row r="1159" spans="1:19" s="41" customFormat="1" hidden="1" x14ac:dyDescent="0.25">
      <c r="A1159" s="146">
        <v>229</v>
      </c>
      <c r="B1159" s="60">
        <v>42569</v>
      </c>
      <c r="C1159" s="18">
        <v>103</v>
      </c>
      <c r="D1159" s="18">
        <v>3000032075</v>
      </c>
      <c r="E1159" s="18" t="s">
        <v>215</v>
      </c>
      <c r="F1159" s="18">
        <v>91</v>
      </c>
      <c r="G1159" s="61">
        <v>42555</v>
      </c>
      <c r="H1159" s="61"/>
      <c r="I1159" s="61">
        <v>42563</v>
      </c>
      <c r="J1159" s="18" t="s">
        <v>61</v>
      </c>
      <c r="K1159" s="149">
        <v>16.010000000000002</v>
      </c>
      <c r="L1159" s="18">
        <v>16.010000000000002</v>
      </c>
      <c r="M1159" s="18">
        <f t="shared" si="146"/>
        <v>16.010000000000002</v>
      </c>
      <c r="N1159" s="62">
        <f t="shared" si="147"/>
        <v>42582</v>
      </c>
      <c r="O1159" s="18">
        <v>1271194</v>
      </c>
      <c r="P1159" s="38">
        <f t="shared" si="148"/>
        <v>1271194</v>
      </c>
      <c r="Q1159" s="178">
        <v>42601</v>
      </c>
      <c r="R1159" s="66">
        <v>42602</v>
      </c>
      <c r="S1159" s="113">
        <f t="shared" si="144"/>
        <v>20</v>
      </c>
    </row>
    <row r="1160" spans="1:19" s="41" customFormat="1" hidden="1" x14ac:dyDescent="0.25">
      <c r="A1160" s="146">
        <v>242</v>
      </c>
      <c r="B1160" s="60">
        <v>42569</v>
      </c>
      <c r="C1160" s="18">
        <v>103</v>
      </c>
      <c r="D1160" s="18">
        <v>3000032075</v>
      </c>
      <c r="E1160" s="18" t="s">
        <v>215</v>
      </c>
      <c r="F1160" s="18">
        <v>95</v>
      </c>
      <c r="G1160" s="61">
        <v>42558</v>
      </c>
      <c r="H1160" s="61"/>
      <c r="I1160" s="61">
        <v>42565</v>
      </c>
      <c r="J1160" s="18" t="s">
        <v>61</v>
      </c>
      <c r="K1160" s="149">
        <v>16.399999999999999</v>
      </c>
      <c r="L1160" s="18">
        <v>16.38</v>
      </c>
      <c r="M1160" s="18">
        <f t="shared" si="146"/>
        <v>16.38</v>
      </c>
      <c r="N1160" s="62">
        <f t="shared" si="147"/>
        <v>42584</v>
      </c>
      <c r="O1160" s="18">
        <v>1302160</v>
      </c>
      <c r="P1160" s="38">
        <f t="shared" si="148"/>
        <v>1300572</v>
      </c>
      <c r="Q1160" s="178">
        <v>42601</v>
      </c>
      <c r="R1160" s="66">
        <v>42602</v>
      </c>
      <c r="S1160" s="113">
        <f t="shared" si="144"/>
        <v>18</v>
      </c>
    </row>
    <row r="1161" spans="1:19" s="41" customFormat="1" hidden="1" x14ac:dyDescent="0.25">
      <c r="A1161" s="146">
        <v>231</v>
      </c>
      <c r="B1161" s="60">
        <v>42569</v>
      </c>
      <c r="C1161" s="18">
        <v>103</v>
      </c>
      <c r="D1161" s="18">
        <v>3000032074</v>
      </c>
      <c r="E1161" s="18" t="s">
        <v>213</v>
      </c>
      <c r="F1161" s="18">
        <v>73</v>
      </c>
      <c r="G1161" s="61">
        <v>42552</v>
      </c>
      <c r="H1161" s="61"/>
      <c r="I1161" s="61">
        <v>42564</v>
      </c>
      <c r="J1161" s="18" t="s">
        <v>61</v>
      </c>
      <c r="K1161" s="149">
        <v>20.14</v>
      </c>
      <c r="L1161" s="18">
        <v>20.12</v>
      </c>
      <c r="M1161" s="18">
        <f t="shared" si="146"/>
        <v>20.12</v>
      </c>
      <c r="N1161" s="62">
        <f t="shared" si="147"/>
        <v>42583</v>
      </c>
      <c r="O1161" s="18">
        <v>1606240</v>
      </c>
      <c r="P1161" s="38">
        <f t="shared" si="148"/>
        <v>1604644.9255213505</v>
      </c>
      <c r="Q1161" s="178">
        <v>42601</v>
      </c>
      <c r="R1161" s="66">
        <v>42602</v>
      </c>
      <c r="S1161" s="113">
        <f t="shared" si="144"/>
        <v>19</v>
      </c>
    </row>
    <row r="1162" spans="1:19" s="41" customFormat="1" hidden="1" x14ac:dyDescent="0.25">
      <c r="A1162" s="146">
        <v>245</v>
      </c>
      <c r="B1162" s="60">
        <v>42569</v>
      </c>
      <c r="C1162" s="18">
        <v>103</v>
      </c>
      <c r="D1162" s="18">
        <v>3000032233</v>
      </c>
      <c r="E1162" s="18" t="s">
        <v>213</v>
      </c>
      <c r="F1162" s="18">
        <v>76</v>
      </c>
      <c r="G1162" s="61">
        <v>42560</v>
      </c>
      <c r="H1162" s="61"/>
      <c r="I1162" s="61">
        <v>42565</v>
      </c>
      <c r="J1162" s="18" t="s">
        <v>61</v>
      </c>
      <c r="K1162" s="149">
        <v>20.13</v>
      </c>
      <c r="L1162" s="18">
        <v>20.09</v>
      </c>
      <c r="M1162" s="18">
        <f t="shared" si="146"/>
        <v>20.09</v>
      </c>
      <c r="N1162" s="62">
        <f t="shared" si="147"/>
        <v>42584</v>
      </c>
      <c r="O1162" s="18">
        <v>1570332</v>
      </c>
      <c r="P1162" s="38">
        <f t="shared" si="148"/>
        <v>1567211.6184798807</v>
      </c>
      <c r="Q1162" s="178">
        <v>42601</v>
      </c>
      <c r="R1162" s="66">
        <v>42602</v>
      </c>
      <c r="S1162" s="113">
        <f t="shared" si="144"/>
        <v>18</v>
      </c>
    </row>
    <row r="1163" spans="1:19" s="41" customFormat="1" hidden="1" x14ac:dyDescent="0.25">
      <c r="A1163" s="146">
        <v>234</v>
      </c>
      <c r="B1163" s="60">
        <v>42569</v>
      </c>
      <c r="C1163" s="18">
        <v>103</v>
      </c>
      <c r="D1163" s="18">
        <v>3000031785</v>
      </c>
      <c r="E1163" s="18" t="s">
        <v>182</v>
      </c>
      <c r="F1163" s="18">
        <v>48</v>
      </c>
      <c r="G1163" s="61">
        <v>42559</v>
      </c>
      <c r="H1163" s="61"/>
      <c r="I1163" s="61">
        <v>42564</v>
      </c>
      <c r="J1163" s="18" t="s">
        <v>61</v>
      </c>
      <c r="K1163" s="149">
        <v>19.585000000000001</v>
      </c>
      <c r="L1163" s="18">
        <v>19.59</v>
      </c>
      <c r="M1163" s="18">
        <f t="shared" si="146"/>
        <v>19.585000000000001</v>
      </c>
      <c r="N1163" s="62">
        <f t="shared" si="147"/>
        <v>42583</v>
      </c>
      <c r="O1163" s="18">
        <v>1596178</v>
      </c>
      <c r="P1163" s="38">
        <f t="shared" si="148"/>
        <v>1596177.9999999998</v>
      </c>
      <c r="Q1163" s="178">
        <v>42601</v>
      </c>
      <c r="R1163" s="66">
        <v>42602</v>
      </c>
      <c r="S1163" s="113">
        <f t="shared" si="144"/>
        <v>19</v>
      </c>
    </row>
    <row r="1164" spans="1:19" s="41" customFormat="1" hidden="1" x14ac:dyDescent="0.25">
      <c r="A1164" s="146">
        <v>235</v>
      </c>
      <c r="B1164" s="60">
        <v>42569</v>
      </c>
      <c r="C1164" s="18">
        <v>103</v>
      </c>
      <c r="D1164" s="18">
        <v>3000032076</v>
      </c>
      <c r="E1164" s="18" t="s">
        <v>180</v>
      </c>
      <c r="F1164" s="18">
        <v>148</v>
      </c>
      <c r="G1164" s="61">
        <v>42553</v>
      </c>
      <c r="H1164" s="61"/>
      <c r="I1164" s="61">
        <v>42564</v>
      </c>
      <c r="J1164" s="18" t="s">
        <v>61</v>
      </c>
      <c r="K1164" s="149">
        <v>27.13</v>
      </c>
      <c r="L1164" s="18">
        <v>27.09</v>
      </c>
      <c r="M1164" s="18">
        <f t="shared" si="146"/>
        <v>27.09</v>
      </c>
      <c r="N1164" s="62">
        <f t="shared" si="147"/>
        <v>42583</v>
      </c>
      <c r="O1164" s="18">
        <v>2154400</v>
      </c>
      <c r="P1164" s="38">
        <f t="shared" si="148"/>
        <v>2151223.5901216366</v>
      </c>
      <c r="Q1164" s="178">
        <v>42601</v>
      </c>
      <c r="R1164" s="66">
        <v>42602</v>
      </c>
      <c r="S1164" s="113">
        <f t="shared" si="144"/>
        <v>19</v>
      </c>
    </row>
    <row r="1165" spans="1:19" s="41" customFormat="1" hidden="1" x14ac:dyDescent="0.25">
      <c r="A1165" s="146">
        <v>241</v>
      </c>
      <c r="B1165" s="60">
        <v>42569</v>
      </c>
      <c r="C1165" s="18">
        <v>103</v>
      </c>
      <c r="D1165" s="18">
        <v>3000032200</v>
      </c>
      <c r="E1165" s="18" t="s">
        <v>146</v>
      </c>
      <c r="F1165" s="18">
        <v>1136</v>
      </c>
      <c r="G1165" s="61">
        <v>42560</v>
      </c>
      <c r="H1165" s="61"/>
      <c r="I1165" s="61">
        <v>42565</v>
      </c>
      <c r="J1165" s="18" t="s">
        <v>61</v>
      </c>
      <c r="K1165" s="149">
        <v>19.309999999999999</v>
      </c>
      <c r="L1165" s="18">
        <v>19.27</v>
      </c>
      <c r="M1165" s="18">
        <f t="shared" si="146"/>
        <v>19.27</v>
      </c>
      <c r="N1165" s="62">
        <f t="shared" si="147"/>
        <v>42584</v>
      </c>
      <c r="O1165" s="18">
        <v>1515835</v>
      </c>
      <c r="P1165" s="38">
        <f t="shared" si="148"/>
        <v>1512695</v>
      </c>
      <c r="Q1165" s="178">
        <v>42601</v>
      </c>
      <c r="R1165" s="66">
        <v>42602</v>
      </c>
      <c r="S1165" s="113">
        <f t="shared" si="144"/>
        <v>18</v>
      </c>
    </row>
    <row r="1166" spans="1:19" s="41" customFormat="1" hidden="1" x14ac:dyDescent="0.25">
      <c r="A1166" s="146">
        <v>237</v>
      </c>
      <c r="B1166" s="60">
        <v>42569</v>
      </c>
      <c r="C1166" s="18">
        <v>103</v>
      </c>
      <c r="D1166" s="18">
        <v>3000032200</v>
      </c>
      <c r="E1166" s="18" t="s">
        <v>146</v>
      </c>
      <c r="F1166" s="18">
        <v>1138</v>
      </c>
      <c r="G1166" s="61">
        <v>42560</v>
      </c>
      <c r="H1166" s="61"/>
      <c r="I1166" s="61">
        <v>42564</v>
      </c>
      <c r="J1166" s="18" t="s">
        <v>61</v>
      </c>
      <c r="K1166" s="149">
        <v>20.7</v>
      </c>
      <c r="L1166" s="18">
        <v>20.66</v>
      </c>
      <c r="M1166" s="18">
        <f t="shared" si="146"/>
        <v>20.66</v>
      </c>
      <c r="N1166" s="62">
        <f t="shared" si="147"/>
        <v>42583</v>
      </c>
      <c r="O1166" s="18">
        <v>1624950</v>
      </c>
      <c r="P1166" s="38">
        <f t="shared" si="148"/>
        <v>1621810</v>
      </c>
      <c r="Q1166" s="178">
        <v>42601</v>
      </c>
      <c r="R1166" s="66">
        <v>42602</v>
      </c>
      <c r="S1166" s="113">
        <f t="shared" si="144"/>
        <v>19</v>
      </c>
    </row>
    <row r="1167" spans="1:19" s="41" customFormat="1" hidden="1" x14ac:dyDescent="0.25">
      <c r="A1167" s="146">
        <v>248</v>
      </c>
      <c r="B1167" s="60">
        <v>42570</v>
      </c>
      <c r="C1167" s="18">
        <v>114</v>
      </c>
      <c r="D1167" s="18">
        <v>3000031360</v>
      </c>
      <c r="E1167" s="18" t="s">
        <v>29</v>
      </c>
      <c r="F1167" s="154">
        <v>117</v>
      </c>
      <c r="G1167" s="61">
        <v>42555</v>
      </c>
      <c r="H1167" s="61"/>
      <c r="I1167" s="61">
        <v>42560</v>
      </c>
      <c r="J1167" s="18" t="s">
        <v>8</v>
      </c>
      <c r="K1167" s="149">
        <v>26.715</v>
      </c>
      <c r="L1167" s="18">
        <v>26.555</v>
      </c>
      <c r="M1167" s="18">
        <f t="shared" si="146"/>
        <v>26.555</v>
      </c>
      <c r="N1167" s="62">
        <f>+I1167+15-1</f>
        <v>42574</v>
      </c>
      <c r="O1167" s="18">
        <v>1423910</v>
      </c>
      <c r="P1167" s="38">
        <f t="shared" si="148"/>
        <v>1415381.9970054277</v>
      </c>
      <c r="Q1167" s="178">
        <v>42601</v>
      </c>
      <c r="R1167" s="66">
        <v>42602</v>
      </c>
      <c r="S1167" s="113">
        <f t="shared" si="144"/>
        <v>28</v>
      </c>
    </row>
    <row r="1168" spans="1:19" s="41" customFormat="1" hidden="1" x14ac:dyDescent="0.25">
      <c r="A1168" s="146">
        <v>249</v>
      </c>
      <c r="B1168" s="60">
        <v>42570</v>
      </c>
      <c r="C1168" s="18">
        <v>114</v>
      </c>
      <c r="D1168" s="18">
        <v>3000031192</v>
      </c>
      <c r="E1168" s="18" t="s">
        <v>29</v>
      </c>
      <c r="F1168" s="154">
        <v>118</v>
      </c>
      <c r="G1168" s="61">
        <v>42555</v>
      </c>
      <c r="H1168" s="61"/>
      <c r="I1168" s="61">
        <v>42560</v>
      </c>
      <c r="J1168" s="18" t="s">
        <v>8</v>
      </c>
      <c r="K1168" s="149">
        <v>4.4349999999999996</v>
      </c>
      <c r="L1168" s="18">
        <v>4.4349999999999996</v>
      </c>
      <c r="M1168" s="18">
        <f t="shared" si="146"/>
        <v>4.4349999999999996</v>
      </c>
      <c r="N1168" s="62">
        <f>+I1168+15-1</f>
        <v>42574</v>
      </c>
      <c r="O1168" s="18">
        <v>234612</v>
      </c>
      <c r="P1168" s="38">
        <f t="shared" si="148"/>
        <v>234612</v>
      </c>
      <c r="Q1168" s="178">
        <v>42601</v>
      </c>
      <c r="R1168" s="66">
        <v>42602</v>
      </c>
      <c r="S1168" s="113">
        <f t="shared" si="144"/>
        <v>28</v>
      </c>
    </row>
    <row r="1169" spans="1:19" s="41" customFormat="1" hidden="1" x14ac:dyDescent="0.25">
      <c r="A1169" s="146">
        <v>250</v>
      </c>
      <c r="B1169" s="60">
        <v>42570</v>
      </c>
      <c r="C1169" s="18">
        <v>114</v>
      </c>
      <c r="D1169" s="18">
        <v>3000030061</v>
      </c>
      <c r="E1169" s="18" t="s">
        <v>17</v>
      </c>
      <c r="F1169" s="18">
        <v>58</v>
      </c>
      <c r="G1169" s="61">
        <v>42556</v>
      </c>
      <c r="H1169" s="61"/>
      <c r="I1169" s="61">
        <v>42560</v>
      </c>
      <c r="J1169" s="18" t="s">
        <v>8</v>
      </c>
      <c r="K1169" s="149">
        <v>31.08</v>
      </c>
      <c r="L1169" s="18">
        <v>31.01</v>
      </c>
      <c r="M1169" s="18">
        <f t="shared" si="146"/>
        <v>31.01</v>
      </c>
      <c r="N1169" s="62">
        <f>+I1169+15-1</f>
        <v>42574</v>
      </c>
      <c r="O1169" s="18">
        <v>1693860</v>
      </c>
      <c r="P1169" s="38">
        <f t="shared" si="148"/>
        <v>1690045</v>
      </c>
      <c r="Q1169" s="178">
        <v>42601</v>
      </c>
      <c r="R1169" s="66">
        <v>42602</v>
      </c>
      <c r="S1169" s="113">
        <f t="shared" ref="S1169:S1200" si="149">R1169-N1169</f>
        <v>28</v>
      </c>
    </row>
    <row r="1170" spans="1:19" s="41" customFormat="1" hidden="1" x14ac:dyDescent="0.25">
      <c r="A1170" s="146">
        <v>240</v>
      </c>
      <c r="B1170" s="60">
        <v>42569</v>
      </c>
      <c r="C1170" s="18">
        <v>103</v>
      </c>
      <c r="D1170" s="18">
        <v>3000031310</v>
      </c>
      <c r="E1170" s="18" t="s">
        <v>145</v>
      </c>
      <c r="F1170" s="18">
        <v>39</v>
      </c>
      <c r="G1170" s="61">
        <v>42550</v>
      </c>
      <c r="H1170" s="61"/>
      <c r="I1170" s="61">
        <v>42564</v>
      </c>
      <c r="J1170" s="18" t="s">
        <v>61</v>
      </c>
      <c r="K1170" s="149">
        <v>19.829999999999998</v>
      </c>
      <c r="L1170" s="18">
        <v>19.809999999999999</v>
      </c>
      <c r="M1170" s="18">
        <f t="shared" si="146"/>
        <v>19.809999999999999</v>
      </c>
      <c r="N1170" s="62">
        <f>+I1170+20-1</f>
        <v>42583</v>
      </c>
      <c r="O1170" s="18">
        <v>1576664</v>
      </c>
      <c r="P1170" s="38">
        <f t="shared" si="148"/>
        <v>1575073.8194654563</v>
      </c>
      <c r="Q1170" s="178">
        <v>42601</v>
      </c>
      <c r="R1170" s="66">
        <v>42602</v>
      </c>
      <c r="S1170" s="113">
        <f t="shared" si="149"/>
        <v>19</v>
      </c>
    </row>
    <row r="1171" spans="1:19" s="41" customFormat="1" hidden="1" x14ac:dyDescent="0.25">
      <c r="A1171" s="146">
        <v>253</v>
      </c>
      <c r="B1171" s="60">
        <v>42570</v>
      </c>
      <c r="C1171" s="18">
        <v>114</v>
      </c>
      <c r="D1171" s="18">
        <v>3000031191</v>
      </c>
      <c r="E1171" s="18" t="s">
        <v>24</v>
      </c>
      <c r="F1171" s="18">
        <v>29</v>
      </c>
      <c r="G1171" s="61">
        <v>42558</v>
      </c>
      <c r="H1171" s="61"/>
      <c r="I1171" s="61">
        <v>42561</v>
      </c>
      <c r="J1171" s="18" t="s">
        <v>16</v>
      </c>
      <c r="K1171" s="149">
        <v>28.594999999999999</v>
      </c>
      <c r="L1171" s="18">
        <v>28.57</v>
      </c>
      <c r="M1171" s="18">
        <f t="shared" si="146"/>
        <v>28.57</v>
      </c>
      <c r="N1171" s="62">
        <f>+I1171+15-1</f>
        <v>42575</v>
      </c>
      <c r="O1171" s="18">
        <v>1429750</v>
      </c>
      <c r="P1171" s="38">
        <f t="shared" si="148"/>
        <v>1428500</v>
      </c>
      <c r="Q1171" s="178">
        <v>42601</v>
      </c>
      <c r="R1171" s="66">
        <v>42602</v>
      </c>
      <c r="S1171" s="113">
        <f t="shared" si="149"/>
        <v>27</v>
      </c>
    </row>
    <row r="1172" spans="1:19" s="41" customFormat="1" hidden="1" x14ac:dyDescent="0.25">
      <c r="A1172" s="146">
        <v>259</v>
      </c>
      <c r="B1172" s="60">
        <v>42570</v>
      </c>
      <c r="C1172" s="18">
        <v>114</v>
      </c>
      <c r="D1172" s="18">
        <v>3000030308</v>
      </c>
      <c r="E1172" s="18" t="s">
        <v>49</v>
      </c>
      <c r="F1172" s="18">
        <v>23</v>
      </c>
      <c r="G1172" s="61">
        <v>42558</v>
      </c>
      <c r="H1172" s="61"/>
      <c r="I1172" s="61">
        <v>42563</v>
      </c>
      <c r="J1172" s="18" t="s">
        <v>8</v>
      </c>
      <c r="K1172" s="149">
        <v>31.065000000000001</v>
      </c>
      <c r="L1172" s="18">
        <v>31</v>
      </c>
      <c r="M1172" s="18">
        <f t="shared" si="146"/>
        <v>31</v>
      </c>
      <c r="N1172" s="62">
        <f>+I1172+15-1</f>
        <v>42577</v>
      </c>
      <c r="O1172" s="18">
        <v>1733427</v>
      </c>
      <c r="P1172" s="38">
        <f t="shared" si="148"/>
        <v>1729800</v>
      </c>
      <c r="Q1172" s="178">
        <v>42601</v>
      </c>
      <c r="R1172" s="66">
        <v>42602</v>
      </c>
      <c r="S1172" s="113">
        <f t="shared" si="149"/>
        <v>25</v>
      </c>
    </row>
    <row r="1173" spans="1:19" s="41" customFormat="1" hidden="1" x14ac:dyDescent="0.25">
      <c r="A1173" s="146">
        <v>263</v>
      </c>
      <c r="B1173" s="60">
        <v>42570</v>
      </c>
      <c r="C1173" s="18">
        <v>114</v>
      </c>
      <c r="D1173" s="18">
        <v>3000032398</v>
      </c>
      <c r="E1173" s="18" t="s">
        <v>37</v>
      </c>
      <c r="F1173" s="154">
        <v>70</v>
      </c>
      <c r="G1173" s="61">
        <v>42555</v>
      </c>
      <c r="H1173" s="61"/>
      <c r="I1173" s="61">
        <v>42563</v>
      </c>
      <c r="J1173" s="18" t="s">
        <v>8</v>
      </c>
      <c r="K1173" s="149">
        <v>5.97</v>
      </c>
      <c r="L1173" s="18">
        <v>5.97</v>
      </c>
      <c r="M1173" s="18">
        <f t="shared" si="146"/>
        <v>5.97</v>
      </c>
      <c r="N1173" s="62">
        <f>+I1173+15-1</f>
        <v>42577</v>
      </c>
      <c r="O1173" s="18">
        <v>298500</v>
      </c>
      <c r="P1173" s="38">
        <f t="shared" si="148"/>
        <v>298500</v>
      </c>
      <c r="Q1173" s="178">
        <v>42601</v>
      </c>
      <c r="R1173" s="66">
        <v>42602</v>
      </c>
      <c r="S1173" s="113">
        <f t="shared" si="149"/>
        <v>25</v>
      </c>
    </row>
    <row r="1174" spans="1:19" s="41" customFormat="1" hidden="1" x14ac:dyDescent="0.25">
      <c r="A1174" s="146">
        <v>264</v>
      </c>
      <c r="B1174" s="60">
        <v>42570</v>
      </c>
      <c r="C1174" s="18">
        <v>114</v>
      </c>
      <c r="D1174" s="18">
        <v>3000031363</v>
      </c>
      <c r="E1174" s="18" t="s">
        <v>37</v>
      </c>
      <c r="F1174" s="154">
        <v>70</v>
      </c>
      <c r="G1174" s="61">
        <v>42555</v>
      </c>
      <c r="H1174" s="61"/>
      <c r="I1174" s="61">
        <v>42563</v>
      </c>
      <c r="J1174" s="18" t="s">
        <v>8</v>
      </c>
      <c r="K1174" s="149">
        <v>21.64</v>
      </c>
      <c r="L1174" s="18">
        <v>21.77</v>
      </c>
      <c r="M1174" s="18">
        <f t="shared" si="146"/>
        <v>21.64</v>
      </c>
      <c r="N1174" s="62">
        <f>+I1174+15-1</f>
        <v>42577</v>
      </c>
      <c r="O1174" s="18">
        <v>1153412</v>
      </c>
      <c r="P1174" s="38">
        <f t="shared" si="148"/>
        <v>1153412</v>
      </c>
      <c r="Q1174" s="178">
        <v>42601</v>
      </c>
      <c r="R1174" s="66">
        <v>42602</v>
      </c>
      <c r="S1174" s="113">
        <f t="shared" si="149"/>
        <v>25</v>
      </c>
    </row>
    <row r="1175" spans="1:19" s="41" customFormat="1" hidden="1" x14ac:dyDescent="0.25">
      <c r="A1175" s="146">
        <v>267</v>
      </c>
      <c r="B1175" s="60">
        <v>42570</v>
      </c>
      <c r="C1175" s="18">
        <v>114</v>
      </c>
      <c r="D1175" s="18">
        <v>3000031580</v>
      </c>
      <c r="E1175" s="18" t="s">
        <v>55</v>
      </c>
      <c r="F1175" s="18">
        <v>17</v>
      </c>
      <c r="G1175" s="61">
        <v>42562</v>
      </c>
      <c r="H1175" s="61"/>
      <c r="I1175" s="61">
        <v>42565</v>
      </c>
      <c r="J1175" s="18" t="s">
        <v>16</v>
      </c>
      <c r="K1175" s="149">
        <v>28.21</v>
      </c>
      <c r="L1175" s="18">
        <v>28.16</v>
      </c>
      <c r="M1175" s="18">
        <f t="shared" si="146"/>
        <v>28.16</v>
      </c>
      <c r="N1175" s="62">
        <f>+I1175+15-1</f>
        <v>42579</v>
      </c>
      <c r="O1175" s="18">
        <v>1382290</v>
      </c>
      <c r="P1175" s="38">
        <f t="shared" si="148"/>
        <v>1379840</v>
      </c>
      <c r="Q1175" s="178">
        <v>42601</v>
      </c>
      <c r="R1175" s="66">
        <v>42602</v>
      </c>
      <c r="S1175" s="113">
        <f t="shared" si="149"/>
        <v>23</v>
      </c>
    </row>
    <row r="1176" spans="1:19" s="41" customFormat="1" hidden="1" x14ac:dyDescent="0.25">
      <c r="A1176" s="146">
        <v>303</v>
      </c>
      <c r="B1176" s="60">
        <v>42572</v>
      </c>
      <c r="C1176" s="18">
        <v>103</v>
      </c>
      <c r="D1176" s="18">
        <v>3000032205</v>
      </c>
      <c r="E1176" s="18" t="s">
        <v>260</v>
      </c>
      <c r="F1176" s="18">
        <v>26</v>
      </c>
      <c r="G1176" s="61">
        <v>42563</v>
      </c>
      <c r="H1176" s="61"/>
      <c r="I1176" s="61">
        <v>42566</v>
      </c>
      <c r="J1176" s="18" t="s">
        <v>61</v>
      </c>
      <c r="K1176" s="149">
        <v>19.78</v>
      </c>
      <c r="L1176" s="18">
        <v>19.73</v>
      </c>
      <c r="M1176" s="18">
        <f t="shared" si="146"/>
        <v>19.73</v>
      </c>
      <c r="N1176" s="62">
        <f>+I1176+20-1</f>
        <v>42585</v>
      </c>
      <c r="O1176" s="18">
        <v>1638130</v>
      </c>
      <c r="P1176" s="38">
        <f t="shared" si="148"/>
        <v>1633989.125379171</v>
      </c>
      <c r="Q1176" s="178">
        <v>42601</v>
      </c>
      <c r="R1176" s="66">
        <v>42602</v>
      </c>
      <c r="S1176" s="113">
        <f t="shared" si="149"/>
        <v>17</v>
      </c>
    </row>
    <row r="1177" spans="1:19" s="41" customFormat="1" hidden="1" x14ac:dyDescent="0.25">
      <c r="A1177" s="146">
        <v>270</v>
      </c>
      <c r="B1177" s="60">
        <v>42570</v>
      </c>
      <c r="C1177" s="18">
        <v>114</v>
      </c>
      <c r="D1177" s="18">
        <v>3000032301</v>
      </c>
      <c r="E1177" s="18" t="s">
        <v>30</v>
      </c>
      <c r="F1177" s="18">
        <v>154</v>
      </c>
      <c r="G1177" s="61">
        <v>42563</v>
      </c>
      <c r="H1177" s="61"/>
      <c r="I1177" s="61">
        <v>42566</v>
      </c>
      <c r="J1177" s="18" t="s">
        <v>229</v>
      </c>
      <c r="K1177" s="149">
        <v>25.67</v>
      </c>
      <c r="L1177" s="18">
        <v>25.62</v>
      </c>
      <c r="M1177" s="18">
        <f t="shared" si="146"/>
        <v>25.62</v>
      </c>
      <c r="N1177" s="62">
        <f>+I1177+15-1</f>
        <v>42580</v>
      </c>
      <c r="O1177" s="18">
        <v>1399016</v>
      </c>
      <c r="P1177" s="38">
        <f t="shared" si="148"/>
        <v>1396290.998052201</v>
      </c>
      <c r="Q1177" s="178">
        <v>42601</v>
      </c>
      <c r="R1177" s="66">
        <v>42602</v>
      </c>
      <c r="S1177" s="113">
        <f t="shared" si="149"/>
        <v>22</v>
      </c>
    </row>
    <row r="1178" spans="1:19" s="41" customFormat="1" hidden="1" x14ac:dyDescent="0.25">
      <c r="A1178" s="146">
        <v>326</v>
      </c>
      <c r="B1178" s="60">
        <v>42576</v>
      </c>
      <c r="C1178" s="18">
        <v>103</v>
      </c>
      <c r="D1178" s="18">
        <v>3000032064</v>
      </c>
      <c r="E1178" s="18" t="s">
        <v>170</v>
      </c>
      <c r="F1178" s="18">
        <v>37</v>
      </c>
      <c r="G1178" s="61">
        <v>42565</v>
      </c>
      <c r="H1178" s="61"/>
      <c r="I1178" s="61">
        <v>42569</v>
      </c>
      <c r="J1178" s="18" t="s">
        <v>61</v>
      </c>
      <c r="K1178" s="149">
        <v>20.149999999999999</v>
      </c>
      <c r="L1178" s="18">
        <v>20.07</v>
      </c>
      <c r="M1178" s="18">
        <f t="shared" si="146"/>
        <v>20.07</v>
      </c>
      <c r="N1178" s="62">
        <f>+I1178+20-1</f>
        <v>42588</v>
      </c>
      <c r="O1178" s="18">
        <v>1591850</v>
      </c>
      <c r="P1178" s="38">
        <f t="shared" si="148"/>
        <v>1585530</v>
      </c>
      <c r="Q1178" s="178">
        <v>42601</v>
      </c>
      <c r="R1178" s="66">
        <v>42602</v>
      </c>
      <c r="S1178" s="113">
        <f t="shared" si="149"/>
        <v>14</v>
      </c>
    </row>
    <row r="1179" spans="1:19" s="41" customFormat="1" hidden="1" x14ac:dyDescent="0.25">
      <c r="A1179" s="146">
        <v>350</v>
      </c>
      <c r="B1179" s="60">
        <v>42576</v>
      </c>
      <c r="C1179" s="18">
        <v>103</v>
      </c>
      <c r="D1179" s="18">
        <v>3000032056</v>
      </c>
      <c r="E1179" s="18" t="s">
        <v>225</v>
      </c>
      <c r="F1179" s="18">
        <v>62</v>
      </c>
      <c r="G1179" s="61">
        <v>42565</v>
      </c>
      <c r="H1179" s="61"/>
      <c r="I1179" s="61">
        <v>42571</v>
      </c>
      <c r="J1179" s="18" t="s">
        <v>61</v>
      </c>
      <c r="K1179" s="149">
        <v>20.329999999999998</v>
      </c>
      <c r="L1179" s="18">
        <v>20.21</v>
      </c>
      <c r="M1179" s="18">
        <f t="shared" si="146"/>
        <v>20.21</v>
      </c>
      <c r="N1179" s="62">
        <f>+I1179+10-1</f>
        <v>42580</v>
      </c>
      <c r="O1179" s="18">
        <v>1612169</v>
      </c>
      <c r="P1179" s="38">
        <f t="shared" si="148"/>
        <v>1602653</v>
      </c>
      <c r="Q1179" s="178">
        <v>42601</v>
      </c>
      <c r="R1179" s="66">
        <v>42602</v>
      </c>
      <c r="S1179" s="113">
        <f t="shared" si="149"/>
        <v>22</v>
      </c>
    </row>
    <row r="1180" spans="1:19" s="41" customFormat="1" hidden="1" x14ac:dyDescent="0.25">
      <c r="A1180" s="146">
        <v>460</v>
      </c>
      <c r="B1180" s="60">
        <v>42584</v>
      </c>
      <c r="C1180" s="18">
        <v>103</v>
      </c>
      <c r="D1180" s="18">
        <v>3000031935</v>
      </c>
      <c r="E1180" s="18" t="s">
        <v>225</v>
      </c>
      <c r="F1180" s="18">
        <v>66</v>
      </c>
      <c r="G1180" s="61">
        <v>42569</v>
      </c>
      <c r="H1180" s="61"/>
      <c r="I1180" s="61">
        <v>42577</v>
      </c>
      <c r="J1180" s="18" t="s">
        <v>61</v>
      </c>
      <c r="K1180" s="149">
        <v>19.690000000000001</v>
      </c>
      <c r="L1180" s="18">
        <v>19.62</v>
      </c>
      <c r="M1180" s="18">
        <f t="shared" si="146"/>
        <v>19.62</v>
      </c>
      <c r="N1180" s="62">
        <f>+I1180+7-1</f>
        <v>42583</v>
      </c>
      <c r="O1180" s="18">
        <v>1472812</v>
      </c>
      <c r="P1180" s="38">
        <f t="shared" si="148"/>
        <v>1467576</v>
      </c>
      <c r="Q1180" s="178">
        <v>42601</v>
      </c>
      <c r="R1180" s="66">
        <v>42602</v>
      </c>
      <c r="S1180" s="113">
        <f t="shared" si="149"/>
        <v>19</v>
      </c>
    </row>
    <row r="1181" spans="1:19" s="41" customFormat="1" hidden="1" x14ac:dyDescent="0.25">
      <c r="A1181" s="146">
        <v>461</v>
      </c>
      <c r="B1181" s="60">
        <v>42584</v>
      </c>
      <c r="C1181" s="18">
        <v>103</v>
      </c>
      <c r="D1181" s="18">
        <v>3000031935</v>
      </c>
      <c r="E1181" s="18" t="s">
        <v>225</v>
      </c>
      <c r="F1181" s="18">
        <v>75</v>
      </c>
      <c r="G1181" s="61">
        <v>42573</v>
      </c>
      <c r="H1181" s="61"/>
      <c r="I1181" s="61">
        <v>42577</v>
      </c>
      <c r="J1181" s="18" t="s">
        <v>61</v>
      </c>
      <c r="K1181" s="149">
        <v>19.989999999999998</v>
      </c>
      <c r="L1181" s="18">
        <v>19.93</v>
      </c>
      <c r="M1181" s="18">
        <f t="shared" si="146"/>
        <v>19.93</v>
      </c>
      <c r="N1181" s="62">
        <f>+I1181+7-1</f>
        <v>42583</v>
      </c>
      <c r="O1181" s="18">
        <v>1495252</v>
      </c>
      <c r="P1181" s="38">
        <f t="shared" si="148"/>
        <v>1490764</v>
      </c>
      <c r="Q1181" s="178">
        <v>42601</v>
      </c>
      <c r="R1181" s="66">
        <v>42602</v>
      </c>
      <c r="S1181" s="113">
        <f t="shared" si="149"/>
        <v>19</v>
      </c>
    </row>
    <row r="1182" spans="1:19" s="41" customFormat="1" hidden="1" x14ac:dyDescent="0.25">
      <c r="A1182" s="146">
        <v>370</v>
      </c>
      <c r="B1182" s="60">
        <v>42577</v>
      </c>
      <c r="C1182" s="18">
        <v>114</v>
      </c>
      <c r="D1182" s="18">
        <v>3000032678</v>
      </c>
      <c r="E1182" s="18" t="s">
        <v>44</v>
      </c>
      <c r="F1182" s="154">
        <v>32</v>
      </c>
      <c r="G1182" s="61">
        <v>42567</v>
      </c>
      <c r="H1182" s="61"/>
      <c r="I1182" s="61">
        <v>42571</v>
      </c>
      <c r="J1182" s="18" t="s">
        <v>16</v>
      </c>
      <c r="K1182" s="149">
        <v>18</v>
      </c>
      <c r="L1182" s="18">
        <v>18</v>
      </c>
      <c r="M1182" s="18">
        <f t="shared" si="146"/>
        <v>18</v>
      </c>
      <c r="N1182" s="62">
        <f>+I1182+15-1</f>
        <v>42585</v>
      </c>
      <c r="O1182" s="18">
        <v>900000</v>
      </c>
      <c r="P1182" s="38">
        <f t="shared" si="148"/>
        <v>900000</v>
      </c>
      <c r="Q1182" s="178">
        <v>42601</v>
      </c>
      <c r="R1182" s="66">
        <v>42602</v>
      </c>
      <c r="S1182" s="113">
        <f t="shared" si="149"/>
        <v>17</v>
      </c>
    </row>
    <row r="1183" spans="1:19" s="41" customFormat="1" hidden="1" x14ac:dyDescent="0.25">
      <c r="A1183" s="146">
        <v>371</v>
      </c>
      <c r="B1183" s="60">
        <v>42577</v>
      </c>
      <c r="C1183" s="18">
        <v>114</v>
      </c>
      <c r="D1183" s="18">
        <v>3000032679</v>
      </c>
      <c r="E1183" s="18" t="s">
        <v>44</v>
      </c>
      <c r="F1183" s="154">
        <v>32</v>
      </c>
      <c r="G1183" s="61">
        <v>42567</v>
      </c>
      <c r="H1183" s="61"/>
      <c r="I1183" s="61">
        <v>42571</v>
      </c>
      <c r="J1183" s="18" t="s">
        <v>16</v>
      </c>
      <c r="K1183" s="149">
        <v>9.11</v>
      </c>
      <c r="L1183" s="18">
        <v>9.1300000000000008</v>
      </c>
      <c r="M1183" s="18">
        <f t="shared" si="146"/>
        <v>9.11</v>
      </c>
      <c r="N1183" s="62">
        <f>+I1183+15-1</f>
        <v>42585</v>
      </c>
      <c r="O1183" s="18">
        <v>464610</v>
      </c>
      <c r="P1183" s="38">
        <f t="shared" si="148"/>
        <v>464610</v>
      </c>
      <c r="Q1183" s="178">
        <v>42601</v>
      </c>
      <c r="R1183" s="66">
        <v>42602</v>
      </c>
      <c r="S1183" s="113">
        <f t="shared" si="149"/>
        <v>17</v>
      </c>
    </row>
    <row r="1184" spans="1:19" s="41" customFormat="1" hidden="1" x14ac:dyDescent="0.25">
      <c r="A1184" s="146">
        <v>593</v>
      </c>
      <c r="B1184" s="60">
        <v>42598</v>
      </c>
      <c r="C1184" s="18">
        <v>114</v>
      </c>
      <c r="D1184" s="18">
        <v>3000032768</v>
      </c>
      <c r="E1184" s="18" t="s">
        <v>281</v>
      </c>
      <c r="F1184" s="18">
        <v>106</v>
      </c>
      <c r="G1184" s="61">
        <v>42570</v>
      </c>
      <c r="H1184" s="61"/>
      <c r="I1184" s="61">
        <v>42570</v>
      </c>
      <c r="J1184" s="18" t="s">
        <v>277</v>
      </c>
      <c r="K1184" s="149">
        <v>20.074999999999999</v>
      </c>
      <c r="L1184" s="18">
        <v>20.074999999999999</v>
      </c>
      <c r="M1184" s="18">
        <f t="shared" si="146"/>
        <v>20.074999999999999</v>
      </c>
      <c r="N1184" s="62">
        <f>+I1184+15-1</f>
        <v>42584</v>
      </c>
      <c r="O1184" s="18">
        <v>975645</v>
      </c>
      <c r="P1184" s="38">
        <f t="shared" si="148"/>
        <v>975645</v>
      </c>
      <c r="Q1184" s="178">
        <v>42601</v>
      </c>
      <c r="R1184" s="66">
        <v>42602</v>
      </c>
      <c r="S1184" s="113">
        <f t="shared" si="149"/>
        <v>18</v>
      </c>
    </row>
    <row r="1185" spans="1:22" s="3" customFormat="1" hidden="1" x14ac:dyDescent="0.25">
      <c r="A1185" s="30">
        <v>232</v>
      </c>
      <c r="B1185" s="24">
        <v>42569</v>
      </c>
      <c r="C1185" s="1">
        <v>103</v>
      </c>
      <c r="D1185" s="1">
        <v>3000032441</v>
      </c>
      <c r="E1185" s="1" t="s">
        <v>227</v>
      </c>
      <c r="F1185" s="1">
        <v>25</v>
      </c>
      <c r="G1185" s="25">
        <v>42560</v>
      </c>
      <c r="H1185" s="25"/>
      <c r="I1185" s="25">
        <v>42564</v>
      </c>
      <c r="J1185" s="1" t="s">
        <v>61</v>
      </c>
      <c r="K1185" s="77">
        <v>19.88</v>
      </c>
      <c r="L1185" s="1">
        <v>19.829999999999998</v>
      </c>
      <c r="M1185" s="1">
        <f t="shared" si="146"/>
        <v>19.829999999999998</v>
      </c>
      <c r="N1185" s="7">
        <f>+I1185+20-1</f>
        <v>42583</v>
      </c>
      <c r="O1185" s="1">
        <v>1540700</v>
      </c>
      <c r="P1185" s="26">
        <f t="shared" si="148"/>
        <v>1536824.9999999998</v>
      </c>
      <c r="Q1185" s="178">
        <v>42601</v>
      </c>
      <c r="R1185" s="66">
        <v>42606</v>
      </c>
      <c r="S1185" s="113">
        <f t="shared" si="149"/>
        <v>23</v>
      </c>
    </row>
    <row r="1186" spans="1:22" s="65" customFormat="1" hidden="1" x14ac:dyDescent="0.25">
      <c r="A1186" s="146">
        <v>389</v>
      </c>
      <c r="B1186" s="60">
        <v>42578</v>
      </c>
      <c r="C1186" s="18">
        <v>103</v>
      </c>
      <c r="D1186" s="18">
        <v>3000032313</v>
      </c>
      <c r="E1186" s="18" t="s">
        <v>212</v>
      </c>
      <c r="F1186" s="18">
        <v>635</v>
      </c>
      <c r="G1186" s="61">
        <v>42571</v>
      </c>
      <c r="H1186" s="61"/>
      <c r="I1186" s="61">
        <v>42574</v>
      </c>
      <c r="J1186" s="18" t="s">
        <v>61</v>
      </c>
      <c r="K1186" s="149">
        <v>18.940000000000001</v>
      </c>
      <c r="L1186" s="18">
        <v>18.899999999999999</v>
      </c>
      <c r="M1186" s="18">
        <f t="shared" si="146"/>
        <v>18.899999999999999</v>
      </c>
      <c r="N1186" s="62">
        <f>+I1186+20-1</f>
        <v>42593</v>
      </c>
      <c r="O1186" s="18">
        <v>1548582</v>
      </c>
      <c r="P1186" s="38">
        <f t="shared" si="148"/>
        <v>1545311.4994720165</v>
      </c>
      <c r="Q1186" s="178">
        <v>42601</v>
      </c>
      <c r="R1186" s="66">
        <v>42602</v>
      </c>
      <c r="S1186" s="113">
        <f t="shared" si="149"/>
        <v>9</v>
      </c>
      <c r="T1186" s="15" t="s">
        <v>289</v>
      </c>
      <c r="U1186" s="15"/>
      <c r="V1186" s="15"/>
    </row>
    <row r="1187" spans="1:22" s="3" customFormat="1" hidden="1" x14ac:dyDescent="0.25">
      <c r="A1187" s="30">
        <v>557</v>
      </c>
      <c r="B1187" s="24">
        <v>42591</v>
      </c>
      <c r="C1187" s="1">
        <v>114</v>
      </c>
      <c r="D1187" s="1">
        <v>3000032768</v>
      </c>
      <c r="E1187" s="1" t="s">
        <v>281</v>
      </c>
      <c r="F1187" s="1">
        <v>110</v>
      </c>
      <c r="G1187" s="25">
        <v>42571</v>
      </c>
      <c r="H1187" s="25"/>
      <c r="I1187" s="25">
        <v>42571</v>
      </c>
      <c r="J1187" s="1" t="s">
        <v>277</v>
      </c>
      <c r="K1187" s="77">
        <v>19.41</v>
      </c>
      <c r="L1187" s="1">
        <v>19.41</v>
      </c>
      <c r="M1187" s="1">
        <f t="shared" si="146"/>
        <v>19.41</v>
      </c>
      <c r="N1187" s="7">
        <f t="shared" ref="N1187:N1208" si="150">+I1187+15-1</f>
        <v>42585</v>
      </c>
      <c r="O1187" s="1">
        <v>943326</v>
      </c>
      <c r="P1187" s="26">
        <f t="shared" si="148"/>
        <v>943326</v>
      </c>
      <c r="Q1187" s="178">
        <v>42605</v>
      </c>
      <c r="R1187" s="66">
        <v>42606</v>
      </c>
      <c r="S1187" s="113">
        <f t="shared" si="149"/>
        <v>21</v>
      </c>
    </row>
    <row r="1188" spans="1:22" s="3" customFormat="1" hidden="1" x14ac:dyDescent="0.25">
      <c r="A1188" s="30">
        <v>272</v>
      </c>
      <c r="B1188" s="24">
        <v>42571</v>
      </c>
      <c r="C1188" s="1">
        <v>103</v>
      </c>
      <c r="D1188" s="1"/>
      <c r="E1188" s="1" t="s">
        <v>26</v>
      </c>
      <c r="F1188" s="1" t="s">
        <v>236</v>
      </c>
      <c r="G1188" s="25">
        <v>42427</v>
      </c>
      <c r="H1188" s="25"/>
      <c r="I1188" s="25">
        <v>42427</v>
      </c>
      <c r="J1188" s="1" t="s">
        <v>235</v>
      </c>
      <c r="K1188" s="77"/>
      <c r="L1188" s="1"/>
      <c r="M1188" s="1">
        <f t="shared" si="146"/>
        <v>0</v>
      </c>
      <c r="N1188" s="7">
        <f t="shared" si="150"/>
        <v>42441</v>
      </c>
      <c r="O1188" s="18">
        <v>71427</v>
      </c>
      <c r="P1188" s="71">
        <f>(O1188- (O1188*10%))</f>
        <v>64284.3</v>
      </c>
      <c r="Q1188" s="178">
        <v>42605</v>
      </c>
      <c r="R1188" s="66">
        <v>42606</v>
      </c>
      <c r="S1188" s="113">
        <f t="shared" si="149"/>
        <v>165</v>
      </c>
    </row>
    <row r="1189" spans="1:22" s="3" customFormat="1" hidden="1" x14ac:dyDescent="0.25">
      <c r="A1189" s="30">
        <v>274</v>
      </c>
      <c r="B1189" s="24">
        <v>42571</v>
      </c>
      <c r="C1189" s="1">
        <v>103</v>
      </c>
      <c r="D1189" s="1"/>
      <c r="E1189" s="1" t="s">
        <v>26</v>
      </c>
      <c r="F1189" s="1" t="s">
        <v>238</v>
      </c>
      <c r="G1189" s="25">
        <v>42427</v>
      </c>
      <c r="H1189" s="25"/>
      <c r="I1189" s="25">
        <v>42427</v>
      </c>
      <c r="J1189" s="1" t="s">
        <v>235</v>
      </c>
      <c r="K1189" s="77"/>
      <c r="L1189" s="1"/>
      <c r="M1189" s="1">
        <f t="shared" si="146"/>
        <v>0</v>
      </c>
      <c r="N1189" s="7">
        <f t="shared" si="150"/>
        <v>42441</v>
      </c>
      <c r="O1189" s="18">
        <v>187295</v>
      </c>
      <c r="P1189" s="71">
        <f>(O1189- (O1189*10%))</f>
        <v>168565.5</v>
      </c>
      <c r="Q1189" s="178">
        <v>42605</v>
      </c>
      <c r="R1189" s="66">
        <v>42606</v>
      </c>
      <c r="S1189" s="113">
        <f t="shared" si="149"/>
        <v>165</v>
      </c>
    </row>
    <row r="1190" spans="1:22" s="3" customFormat="1" hidden="1" x14ac:dyDescent="0.25">
      <c r="A1190" s="30">
        <v>275</v>
      </c>
      <c r="B1190" s="24">
        <v>42571</v>
      </c>
      <c r="C1190" s="1">
        <v>103</v>
      </c>
      <c r="D1190" s="1"/>
      <c r="E1190" s="1" t="s">
        <v>26</v>
      </c>
      <c r="F1190" s="1" t="s">
        <v>239</v>
      </c>
      <c r="G1190" s="25">
        <v>42427</v>
      </c>
      <c r="H1190" s="25"/>
      <c r="I1190" s="25">
        <v>42427</v>
      </c>
      <c r="J1190" s="1" t="s">
        <v>235</v>
      </c>
      <c r="K1190" s="77"/>
      <c r="L1190" s="1"/>
      <c r="M1190" s="1">
        <f t="shared" si="146"/>
        <v>0</v>
      </c>
      <c r="N1190" s="7">
        <f t="shared" si="150"/>
        <v>42441</v>
      </c>
      <c r="O1190" s="18">
        <v>436021</v>
      </c>
      <c r="P1190" s="71">
        <f>(O1190- (O1190*10%))</f>
        <v>392418.9</v>
      </c>
      <c r="Q1190" s="178">
        <v>42605</v>
      </c>
      <c r="R1190" s="66">
        <v>42606</v>
      </c>
      <c r="S1190" s="113">
        <f t="shared" si="149"/>
        <v>165</v>
      </c>
    </row>
    <row r="1191" spans="1:22" s="3" customFormat="1" hidden="1" x14ac:dyDescent="0.25">
      <c r="A1191" s="30">
        <v>277</v>
      </c>
      <c r="B1191" s="24">
        <v>42571</v>
      </c>
      <c r="C1191" s="1">
        <v>103</v>
      </c>
      <c r="D1191" s="1"/>
      <c r="E1191" s="1" t="s">
        <v>26</v>
      </c>
      <c r="F1191" s="18" t="s">
        <v>241</v>
      </c>
      <c r="G1191" s="25">
        <v>42427</v>
      </c>
      <c r="H1191" s="25"/>
      <c r="I1191" s="25">
        <v>42427</v>
      </c>
      <c r="J1191" s="1" t="s">
        <v>235</v>
      </c>
      <c r="K1191" s="77"/>
      <c r="L1191" s="1"/>
      <c r="M1191" s="1">
        <f t="shared" si="146"/>
        <v>0</v>
      </c>
      <c r="N1191" s="7">
        <f t="shared" si="150"/>
        <v>42441</v>
      </c>
      <c r="O1191" s="18">
        <v>179652</v>
      </c>
      <c r="P1191" s="71">
        <f>(O1191- (O1191*10%))</f>
        <v>161686.79999999999</v>
      </c>
      <c r="Q1191" s="178">
        <v>42605</v>
      </c>
      <c r="R1191" s="66">
        <v>42606</v>
      </c>
      <c r="S1191" s="113">
        <f t="shared" si="149"/>
        <v>165</v>
      </c>
    </row>
    <row r="1192" spans="1:22" s="3" customFormat="1" hidden="1" x14ac:dyDescent="0.25">
      <c r="A1192" s="30">
        <v>271</v>
      </c>
      <c r="B1192" s="24">
        <v>42571</v>
      </c>
      <c r="C1192" s="1">
        <v>103</v>
      </c>
      <c r="D1192" s="1"/>
      <c r="E1192" s="5" t="s">
        <v>26</v>
      </c>
      <c r="F1192" s="18" t="s">
        <v>233</v>
      </c>
      <c r="G1192" s="25">
        <v>42427</v>
      </c>
      <c r="H1192" s="25"/>
      <c r="I1192" s="25">
        <v>42427</v>
      </c>
      <c r="J1192" s="1" t="s">
        <v>234</v>
      </c>
      <c r="K1192" s="77"/>
      <c r="L1192" s="1"/>
      <c r="M1192" s="1">
        <f t="shared" si="146"/>
        <v>0</v>
      </c>
      <c r="N1192" s="7">
        <f t="shared" si="150"/>
        <v>42441</v>
      </c>
      <c r="O1192" s="18">
        <v>30421</v>
      </c>
      <c r="P1192" s="26">
        <v>30421</v>
      </c>
      <c r="Q1192" s="178">
        <v>42605</v>
      </c>
      <c r="R1192" s="66">
        <v>42606</v>
      </c>
      <c r="S1192" s="113">
        <f t="shared" si="149"/>
        <v>165</v>
      </c>
      <c r="T1192" s="15" t="s">
        <v>291</v>
      </c>
      <c r="U1192" s="15"/>
      <c r="V1192" s="15"/>
    </row>
    <row r="1193" spans="1:22" s="41" customFormat="1" hidden="1" x14ac:dyDescent="0.25">
      <c r="A1193" s="146">
        <v>59</v>
      </c>
      <c r="B1193" s="60">
        <v>42557</v>
      </c>
      <c r="C1193" s="18">
        <v>114</v>
      </c>
      <c r="D1193" s="18">
        <v>3000028873</v>
      </c>
      <c r="E1193" s="18" t="s">
        <v>28</v>
      </c>
      <c r="F1193" s="18">
        <v>575</v>
      </c>
      <c r="G1193" s="61">
        <v>42548</v>
      </c>
      <c r="H1193" s="61"/>
      <c r="I1193" s="61">
        <v>42553</v>
      </c>
      <c r="J1193" s="18" t="s">
        <v>8</v>
      </c>
      <c r="K1193" s="149">
        <v>28.67</v>
      </c>
      <c r="L1193" s="18">
        <v>28.59</v>
      </c>
      <c r="M1193" s="18">
        <f t="shared" si="146"/>
        <v>28.59</v>
      </c>
      <c r="N1193" s="62">
        <f t="shared" si="150"/>
        <v>42567</v>
      </c>
      <c r="O1193" s="18">
        <v>1304485</v>
      </c>
      <c r="P1193" s="38">
        <f>(+O1193/K1193*M1193)</f>
        <v>1300845</v>
      </c>
      <c r="Q1193" s="178">
        <v>42607</v>
      </c>
      <c r="R1193" s="66">
        <v>42608</v>
      </c>
      <c r="S1193" s="113">
        <f t="shared" si="149"/>
        <v>41</v>
      </c>
    </row>
    <row r="1194" spans="1:22" s="41" customFormat="1" hidden="1" x14ac:dyDescent="0.25">
      <c r="A1194" s="146">
        <v>251</v>
      </c>
      <c r="B1194" s="60">
        <v>42570</v>
      </c>
      <c r="C1194" s="18">
        <v>114</v>
      </c>
      <c r="D1194" s="18">
        <v>3000031337</v>
      </c>
      <c r="E1194" s="18" t="s">
        <v>27</v>
      </c>
      <c r="F1194" s="18">
        <v>860</v>
      </c>
      <c r="G1194" s="61">
        <v>42558</v>
      </c>
      <c r="H1194" s="61"/>
      <c r="I1194" s="61">
        <v>42561</v>
      </c>
      <c r="J1194" s="18" t="s">
        <v>8</v>
      </c>
      <c r="K1194" s="149">
        <v>29.565000000000001</v>
      </c>
      <c r="L1194" s="18">
        <v>29.36</v>
      </c>
      <c r="M1194" s="18">
        <f t="shared" si="146"/>
        <v>29.36</v>
      </c>
      <c r="N1194" s="62">
        <f t="shared" si="150"/>
        <v>42575</v>
      </c>
      <c r="O1194" s="18">
        <v>1581728</v>
      </c>
      <c r="P1194" s="38">
        <f>(+O1194/K1194*M1194)</f>
        <v>1570760.4965330625</v>
      </c>
      <c r="Q1194" s="178">
        <v>42607</v>
      </c>
      <c r="R1194" s="66">
        <v>42608</v>
      </c>
      <c r="S1194" s="113">
        <f t="shared" si="149"/>
        <v>33</v>
      </c>
    </row>
    <row r="1195" spans="1:22" s="41" customFormat="1" hidden="1" x14ac:dyDescent="0.25">
      <c r="A1195" s="146">
        <v>403</v>
      </c>
      <c r="B1195" s="60">
        <v>42583</v>
      </c>
      <c r="C1195" s="18">
        <v>114</v>
      </c>
      <c r="D1195" s="18" t="s">
        <v>273</v>
      </c>
      <c r="E1195" s="18" t="s">
        <v>18</v>
      </c>
      <c r="F1195" s="154" t="s">
        <v>274</v>
      </c>
      <c r="G1195" s="61">
        <v>42576</v>
      </c>
      <c r="H1195" s="61"/>
      <c r="I1195" s="61">
        <v>42561</v>
      </c>
      <c r="J1195" s="18" t="s">
        <v>8</v>
      </c>
      <c r="K1195" s="149"/>
      <c r="L1195" s="18"/>
      <c r="M1195" s="18">
        <f t="shared" si="146"/>
        <v>0</v>
      </c>
      <c r="N1195" s="62">
        <f t="shared" si="150"/>
        <v>42575</v>
      </c>
      <c r="O1195" s="18">
        <v>21305</v>
      </c>
      <c r="P1195" s="38"/>
      <c r="Q1195" s="178">
        <v>42607</v>
      </c>
      <c r="R1195" s="66">
        <v>42608</v>
      </c>
      <c r="S1195" s="113">
        <f t="shared" si="149"/>
        <v>33</v>
      </c>
    </row>
    <row r="1196" spans="1:22" s="41" customFormat="1" hidden="1" x14ac:dyDescent="0.25">
      <c r="A1196" s="146">
        <v>404</v>
      </c>
      <c r="B1196" s="60">
        <v>42583</v>
      </c>
      <c r="C1196" s="18">
        <v>114</v>
      </c>
      <c r="D1196" s="18">
        <v>3000030909</v>
      </c>
      <c r="E1196" s="18" t="s">
        <v>18</v>
      </c>
      <c r="F1196" s="154">
        <v>40</v>
      </c>
      <c r="G1196" s="61">
        <v>42557</v>
      </c>
      <c r="H1196" s="61"/>
      <c r="I1196" s="61">
        <v>42561</v>
      </c>
      <c r="J1196" s="18" t="s">
        <v>8</v>
      </c>
      <c r="K1196" s="149">
        <v>7.57</v>
      </c>
      <c r="L1196" s="18">
        <v>7.49</v>
      </c>
      <c r="M1196" s="18">
        <f t="shared" si="146"/>
        <v>7.49</v>
      </c>
      <c r="N1196" s="62">
        <f t="shared" si="150"/>
        <v>42575</v>
      </c>
      <c r="O1196" s="18">
        <v>380771</v>
      </c>
      <c r="P1196" s="38">
        <f>(+O1196/K1196*M1196)-21305</f>
        <v>355442</v>
      </c>
      <c r="Q1196" s="178">
        <v>42607</v>
      </c>
      <c r="R1196" s="66">
        <v>42608</v>
      </c>
      <c r="S1196" s="113">
        <f t="shared" si="149"/>
        <v>33</v>
      </c>
    </row>
    <row r="1197" spans="1:22" s="41" customFormat="1" hidden="1" x14ac:dyDescent="0.25">
      <c r="A1197" s="146">
        <v>405</v>
      </c>
      <c r="B1197" s="60">
        <v>42583</v>
      </c>
      <c r="C1197" s="18">
        <v>114</v>
      </c>
      <c r="D1197" s="18">
        <v>3000030992</v>
      </c>
      <c r="E1197" s="18" t="s">
        <v>18</v>
      </c>
      <c r="F1197" s="154">
        <v>40</v>
      </c>
      <c r="G1197" s="61">
        <v>42557</v>
      </c>
      <c r="H1197" s="61"/>
      <c r="I1197" s="61">
        <v>42561</v>
      </c>
      <c r="J1197" s="18" t="s">
        <v>8</v>
      </c>
      <c r="K1197" s="149">
        <v>20</v>
      </c>
      <c r="L1197" s="18">
        <v>20</v>
      </c>
      <c r="M1197" s="18">
        <f t="shared" si="146"/>
        <v>20</v>
      </c>
      <c r="N1197" s="62">
        <f t="shared" si="150"/>
        <v>42575</v>
      </c>
      <c r="O1197" s="18">
        <v>980000</v>
      </c>
      <c r="P1197" s="38">
        <f>(+O1197/K1197*M1197)</f>
        <v>980000</v>
      </c>
      <c r="Q1197" s="178">
        <v>42607</v>
      </c>
      <c r="R1197" s="66">
        <v>42608</v>
      </c>
      <c r="S1197" s="113">
        <f t="shared" si="149"/>
        <v>33</v>
      </c>
    </row>
    <row r="1198" spans="1:22" s="41" customFormat="1" hidden="1" x14ac:dyDescent="0.25">
      <c r="A1198" s="146">
        <v>255</v>
      </c>
      <c r="B1198" s="60">
        <v>42570</v>
      </c>
      <c r="C1198" s="18">
        <v>114</v>
      </c>
      <c r="D1198" s="18">
        <v>3000031195</v>
      </c>
      <c r="E1198" s="18" t="s">
        <v>138</v>
      </c>
      <c r="F1198" s="18">
        <v>9004</v>
      </c>
      <c r="G1198" s="61">
        <v>42559</v>
      </c>
      <c r="H1198" s="61"/>
      <c r="I1198" s="61">
        <v>42562</v>
      </c>
      <c r="J1198" s="18" t="s">
        <v>8</v>
      </c>
      <c r="K1198" s="149">
        <v>28.86</v>
      </c>
      <c r="L1198" s="18">
        <v>28.83</v>
      </c>
      <c r="M1198" s="18">
        <f t="shared" si="146"/>
        <v>28.83</v>
      </c>
      <c r="N1198" s="62">
        <f t="shared" si="150"/>
        <v>42576</v>
      </c>
      <c r="O1198" s="18">
        <v>1526694</v>
      </c>
      <c r="P1198" s="38">
        <f>(+O1198/K1198*M1198)</f>
        <v>1525107</v>
      </c>
      <c r="Q1198" s="178">
        <v>42607</v>
      </c>
      <c r="R1198" s="66">
        <v>42608</v>
      </c>
      <c r="S1198" s="113">
        <f t="shared" si="149"/>
        <v>32</v>
      </c>
    </row>
    <row r="1199" spans="1:22" s="41" customFormat="1" hidden="1" x14ac:dyDescent="0.25">
      <c r="A1199" s="146">
        <v>256</v>
      </c>
      <c r="B1199" s="60">
        <v>42570</v>
      </c>
      <c r="C1199" s="18">
        <v>114</v>
      </c>
      <c r="D1199" s="18">
        <v>3000030061</v>
      </c>
      <c r="E1199" s="18" t="s">
        <v>17</v>
      </c>
      <c r="F1199" s="154">
        <v>62</v>
      </c>
      <c r="G1199" s="61">
        <v>42558</v>
      </c>
      <c r="H1199" s="61"/>
      <c r="I1199" s="61">
        <v>42562</v>
      </c>
      <c r="J1199" s="18" t="s">
        <v>8</v>
      </c>
      <c r="K1199" s="149">
        <v>23.92</v>
      </c>
      <c r="L1199" s="18">
        <v>23.92</v>
      </c>
      <c r="M1199" s="18">
        <f t="shared" si="146"/>
        <v>23.92</v>
      </c>
      <c r="N1199" s="62">
        <f t="shared" si="150"/>
        <v>42576</v>
      </c>
      <c r="O1199" s="18">
        <v>1303640</v>
      </c>
      <c r="P1199" s="38">
        <f>(+O1199/K1199*M1199)</f>
        <v>1303640</v>
      </c>
      <c r="Q1199" s="178">
        <v>42607</v>
      </c>
      <c r="R1199" s="66">
        <v>42608</v>
      </c>
      <c r="S1199" s="113">
        <f t="shared" si="149"/>
        <v>32</v>
      </c>
    </row>
    <row r="1200" spans="1:22" s="41" customFormat="1" hidden="1" x14ac:dyDescent="0.25">
      <c r="A1200" s="146">
        <v>260</v>
      </c>
      <c r="B1200" s="60">
        <v>42570</v>
      </c>
      <c r="C1200" s="18">
        <v>114</v>
      </c>
      <c r="D1200" s="18">
        <v>3000031196</v>
      </c>
      <c r="E1200" s="18" t="s">
        <v>15</v>
      </c>
      <c r="F1200" s="154">
        <v>3099</v>
      </c>
      <c r="G1200" s="61">
        <v>42559</v>
      </c>
      <c r="H1200" s="61"/>
      <c r="I1200" s="61">
        <v>42563</v>
      </c>
      <c r="J1200" s="18" t="s">
        <v>8</v>
      </c>
      <c r="K1200" s="149">
        <v>15.654999999999999</v>
      </c>
      <c r="L1200" s="18">
        <v>15.654999999999999</v>
      </c>
      <c r="M1200" s="18">
        <f t="shared" si="146"/>
        <v>15.654999999999999</v>
      </c>
      <c r="N1200" s="62">
        <f t="shared" si="150"/>
        <v>42577</v>
      </c>
      <c r="O1200" s="18">
        <v>828150</v>
      </c>
      <c r="P1200" s="38">
        <f>(+O1200/K1200*M1200)</f>
        <v>828150</v>
      </c>
      <c r="Q1200" s="178">
        <v>42607</v>
      </c>
      <c r="R1200" s="66">
        <v>42608</v>
      </c>
      <c r="S1200" s="113">
        <f t="shared" si="149"/>
        <v>31</v>
      </c>
    </row>
    <row r="1201" spans="1:24" s="41" customFormat="1" hidden="1" x14ac:dyDescent="0.25">
      <c r="A1201" s="146">
        <v>261</v>
      </c>
      <c r="B1201" s="60">
        <v>42570</v>
      </c>
      <c r="C1201" s="18">
        <v>114</v>
      </c>
      <c r="D1201" s="18">
        <v>3000031330</v>
      </c>
      <c r="E1201" s="18" t="s">
        <v>15</v>
      </c>
      <c r="F1201" s="154">
        <v>3099</v>
      </c>
      <c r="G1201" s="61">
        <v>42559</v>
      </c>
      <c r="H1201" s="61"/>
      <c r="I1201" s="61">
        <v>42563</v>
      </c>
      <c r="J1201" s="18" t="s">
        <v>8</v>
      </c>
      <c r="K1201" s="149">
        <v>11.5</v>
      </c>
      <c r="L1201" s="18">
        <v>11.445</v>
      </c>
      <c r="M1201" s="18">
        <f t="shared" si="146"/>
        <v>11.445</v>
      </c>
      <c r="N1201" s="62">
        <f t="shared" si="150"/>
        <v>42577</v>
      </c>
      <c r="O1201" s="18">
        <v>609500</v>
      </c>
      <c r="P1201" s="38">
        <f>(+O1201/K1201*M1201)</f>
        <v>606585</v>
      </c>
      <c r="Q1201" s="178">
        <v>42607</v>
      </c>
      <c r="R1201" s="66">
        <v>42608</v>
      </c>
      <c r="S1201" s="113">
        <f t="shared" ref="S1201:S1207" si="151">R1201-N1201</f>
        <v>31</v>
      </c>
    </row>
    <row r="1202" spans="1:24" s="41" customFormat="1" hidden="1" x14ac:dyDescent="0.25">
      <c r="A1202" s="146">
        <v>406</v>
      </c>
      <c r="B1202" s="60">
        <v>42583</v>
      </c>
      <c r="C1202" s="18">
        <v>114</v>
      </c>
      <c r="D1202" s="18">
        <v>3000030896</v>
      </c>
      <c r="E1202" s="18" t="s">
        <v>29</v>
      </c>
      <c r="F1202" s="154" t="s">
        <v>275</v>
      </c>
      <c r="G1202" s="61">
        <v>42576</v>
      </c>
      <c r="H1202" s="61"/>
      <c r="I1202" s="61">
        <v>42565</v>
      </c>
      <c r="J1202" s="18" t="s">
        <v>16</v>
      </c>
      <c r="K1202" s="149"/>
      <c r="L1202" s="18"/>
      <c r="M1202" s="18">
        <f t="shared" si="146"/>
        <v>0</v>
      </c>
      <c r="N1202" s="62">
        <f t="shared" si="150"/>
        <v>42579</v>
      </c>
      <c r="O1202" s="18">
        <v>21130</v>
      </c>
      <c r="P1202" s="38"/>
      <c r="Q1202" s="178">
        <v>42607</v>
      </c>
      <c r="R1202" s="66">
        <v>42608</v>
      </c>
      <c r="S1202" s="113">
        <f t="shared" si="151"/>
        <v>29</v>
      </c>
    </row>
    <row r="1203" spans="1:24" s="41" customFormat="1" hidden="1" x14ac:dyDescent="0.25">
      <c r="A1203" s="146">
        <v>407</v>
      </c>
      <c r="B1203" s="60">
        <v>42583</v>
      </c>
      <c r="C1203" s="18">
        <v>114</v>
      </c>
      <c r="D1203" s="18">
        <v>3000030896</v>
      </c>
      <c r="E1203" s="18" t="s">
        <v>29</v>
      </c>
      <c r="F1203" s="154">
        <v>123</v>
      </c>
      <c r="G1203" s="61">
        <v>42560</v>
      </c>
      <c r="H1203" s="61"/>
      <c r="I1203" s="61">
        <v>42565</v>
      </c>
      <c r="J1203" s="18" t="s">
        <v>16</v>
      </c>
      <c r="K1203" s="149">
        <v>26.49</v>
      </c>
      <c r="L1203" s="18">
        <v>26.46</v>
      </c>
      <c r="M1203" s="18">
        <f t="shared" si="146"/>
        <v>26.46</v>
      </c>
      <c r="N1203" s="62">
        <f t="shared" si="150"/>
        <v>42579</v>
      </c>
      <c r="O1203" s="18">
        <v>1332447</v>
      </c>
      <c r="P1203" s="38">
        <f>(+O1203/K1203*M1203)-21130</f>
        <v>1309808</v>
      </c>
      <c r="Q1203" s="178">
        <v>42607</v>
      </c>
      <c r="R1203" s="66">
        <v>42608</v>
      </c>
      <c r="S1203" s="113">
        <f t="shared" si="151"/>
        <v>29</v>
      </c>
    </row>
    <row r="1204" spans="1:24" s="41" customFormat="1" hidden="1" x14ac:dyDescent="0.25">
      <c r="A1204" s="146">
        <v>268</v>
      </c>
      <c r="B1204" s="60">
        <v>42570</v>
      </c>
      <c r="C1204" s="18">
        <v>114</v>
      </c>
      <c r="D1204" s="18">
        <v>3000030308</v>
      </c>
      <c r="E1204" s="18" t="s">
        <v>49</v>
      </c>
      <c r="F1204" s="18">
        <v>24</v>
      </c>
      <c r="G1204" s="61">
        <v>42563</v>
      </c>
      <c r="H1204" s="61"/>
      <c r="I1204" s="61">
        <v>42566</v>
      </c>
      <c r="J1204" s="18" t="s">
        <v>8</v>
      </c>
      <c r="K1204" s="149">
        <v>29.11</v>
      </c>
      <c r="L1204" s="18">
        <v>29.05</v>
      </c>
      <c r="M1204" s="18">
        <f t="shared" si="146"/>
        <v>29.05</v>
      </c>
      <c r="N1204" s="62">
        <f t="shared" si="150"/>
        <v>42580</v>
      </c>
      <c r="O1204" s="18">
        <v>1624338</v>
      </c>
      <c r="P1204" s="38">
        <f t="shared" ref="P1204:P1234" si="152">(+O1204/K1204*M1204)</f>
        <v>1620990</v>
      </c>
      <c r="Q1204" s="178">
        <v>42607</v>
      </c>
      <c r="R1204" s="66">
        <v>42608</v>
      </c>
      <c r="S1204" s="113">
        <f t="shared" si="151"/>
        <v>28</v>
      </c>
    </row>
    <row r="1205" spans="1:24" s="41" customFormat="1" hidden="1" x14ac:dyDescent="0.25">
      <c r="A1205" s="146">
        <v>372</v>
      </c>
      <c r="B1205" s="60">
        <v>42577</v>
      </c>
      <c r="C1205" s="18">
        <v>114</v>
      </c>
      <c r="D1205" s="18">
        <v>3000032301</v>
      </c>
      <c r="E1205" s="18" t="s">
        <v>30</v>
      </c>
      <c r="F1205" s="18">
        <v>161</v>
      </c>
      <c r="G1205" s="61">
        <v>42567</v>
      </c>
      <c r="H1205" s="61"/>
      <c r="I1205" s="61">
        <v>42571</v>
      </c>
      <c r="J1205" s="18" t="s">
        <v>229</v>
      </c>
      <c r="K1205" s="149">
        <v>27.68</v>
      </c>
      <c r="L1205" s="18">
        <v>27.61</v>
      </c>
      <c r="M1205" s="18">
        <f t="shared" si="146"/>
        <v>27.61</v>
      </c>
      <c r="N1205" s="62">
        <f t="shared" si="150"/>
        <v>42585</v>
      </c>
      <c r="O1205" s="18">
        <v>1508561</v>
      </c>
      <c r="P1205" s="38">
        <f t="shared" si="152"/>
        <v>1504745.9974710983</v>
      </c>
      <c r="Q1205" s="178">
        <v>42607</v>
      </c>
      <c r="R1205" s="66">
        <v>42608</v>
      </c>
      <c r="S1205" s="113">
        <f t="shared" si="151"/>
        <v>23</v>
      </c>
    </row>
    <row r="1206" spans="1:24" s="41" customFormat="1" hidden="1" x14ac:dyDescent="0.25">
      <c r="A1206" s="146">
        <v>373</v>
      </c>
      <c r="B1206" s="60">
        <v>42577</v>
      </c>
      <c r="C1206" s="18">
        <v>114</v>
      </c>
      <c r="D1206" s="18">
        <v>3000032301</v>
      </c>
      <c r="E1206" s="18" t="s">
        <v>30</v>
      </c>
      <c r="F1206" s="18">
        <v>164</v>
      </c>
      <c r="G1206" s="61">
        <v>42568</v>
      </c>
      <c r="H1206" s="61"/>
      <c r="I1206" s="61">
        <v>42571</v>
      </c>
      <c r="J1206" s="18" t="s">
        <v>229</v>
      </c>
      <c r="K1206" s="149">
        <v>27.33</v>
      </c>
      <c r="L1206" s="18">
        <v>27.24</v>
      </c>
      <c r="M1206" s="18">
        <f t="shared" si="146"/>
        <v>27.24</v>
      </c>
      <c r="N1206" s="62">
        <f t="shared" si="150"/>
        <v>42585</v>
      </c>
      <c r="O1206" s="18">
        <v>1489486</v>
      </c>
      <c r="P1206" s="38">
        <f t="shared" si="152"/>
        <v>1484580.9967069153</v>
      </c>
      <c r="Q1206" s="178">
        <v>42607</v>
      </c>
      <c r="R1206" s="66">
        <v>42608</v>
      </c>
      <c r="S1206" s="113">
        <f t="shared" si="151"/>
        <v>23</v>
      </c>
    </row>
    <row r="1207" spans="1:24" s="41" customFormat="1" hidden="1" x14ac:dyDescent="0.25">
      <c r="A1207" s="146">
        <v>362</v>
      </c>
      <c r="B1207" s="60">
        <v>42577</v>
      </c>
      <c r="C1207" s="18">
        <v>114</v>
      </c>
      <c r="D1207" s="18">
        <v>3000031363</v>
      </c>
      <c r="E1207" s="18" t="s">
        <v>37</v>
      </c>
      <c r="F1207" s="154">
        <v>79</v>
      </c>
      <c r="G1207" s="61">
        <v>42570</v>
      </c>
      <c r="H1207" s="61"/>
      <c r="I1207" s="61">
        <v>42574</v>
      </c>
      <c r="J1207" s="18" t="s">
        <v>8</v>
      </c>
      <c r="K1207" s="149">
        <v>21.5</v>
      </c>
      <c r="L1207" s="18">
        <v>21.5</v>
      </c>
      <c r="M1207" s="18">
        <f t="shared" si="146"/>
        <v>21.5</v>
      </c>
      <c r="N1207" s="62">
        <f t="shared" si="150"/>
        <v>42588</v>
      </c>
      <c r="O1207" s="18">
        <v>1145950</v>
      </c>
      <c r="P1207" s="38">
        <f t="shared" si="152"/>
        <v>1145950</v>
      </c>
      <c r="Q1207" s="178">
        <v>42607</v>
      </c>
      <c r="R1207" s="66">
        <v>42608</v>
      </c>
      <c r="S1207" s="113">
        <f t="shared" si="151"/>
        <v>20</v>
      </c>
    </row>
    <row r="1208" spans="1:24" s="41" customFormat="1" hidden="1" x14ac:dyDescent="0.25">
      <c r="A1208" s="146">
        <v>363</v>
      </c>
      <c r="B1208" s="60">
        <v>42577</v>
      </c>
      <c r="C1208" s="18">
        <v>114</v>
      </c>
      <c r="D1208" s="18">
        <v>3000031348</v>
      </c>
      <c r="E1208" s="18" t="s">
        <v>37</v>
      </c>
      <c r="F1208" s="154">
        <v>79</v>
      </c>
      <c r="G1208" s="61">
        <v>42570</v>
      </c>
      <c r="H1208" s="61"/>
      <c r="I1208" s="61">
        <v>42574</v>
      </c>
      <c r="J1208" s="18" t="s">
        <v>8</v>
      </c>
      <c r="K1208" s="149">
        <v>5.42</v>
      </c>
      <c r="L1208" s="18">
        <v>5.28</v>
      </c>
      <c r="M1208" s="18">
        <f t="shared" si="146"/>
        <v>5.28</v>
      </c>
      <c r="N1208" s="62">
        <f t="shared" si="150"/>
        <v>42588</v>
      </c>
      <c r="O1208" s="18">
        <v>289970</v>
      </c>
      <c r="P1208" s="38">
        <f t="shared" si="152"/>
        <v>282480</v>
      </c>
      <c r="Q1208" s="178">
        <v>42607</v>
      </c>
      <c r="R1208" s="66">
        <v>42608</v>
      </c>
      <c r="S1208" s="113"/>
      <c r="T1208" s="15" t="s">
        <v>288</v>
      </c>
      <c r="U1208" s="15"/>
      <c r="V1208" s="15"/>
      <c r="W1208" s="15"/>
      <c r="X1208" s="15"/>
    </row>
    <row r="1209" spans="1:24" s="41" customFormat="1" hidden="1" x14ac:dyDescent="0.25">
      <c r="A1209" s="122">
        <v>125</v>
      </c>
      <c r="B1209" s="51">
        <v>42558</v>
      </c>
      <c r="C1209" s="21">
        <v>103</v>
      </c>
      <c r="D1209" s="21">
        <v>3000031250</v>
      </c>
      <c r="E1209" s="21" t="s">
        <v>23</v>
      </c>
      <c r="F1209" s="21">
        <v>2602049169</v>
      </c>
      <c r="G1209" s="52">
        <v>42540</v>
      </c>
      <c r="H1209" s="52"/>
      <c r="I1209" s="52">
        <v>42541</v>
      </c>
      <c r="J1209" s="21" t="s">
        <v>43</v>
      </c>
      <c r="K1209" s="124">
        <v>20.065000000000001</v>
      </c>
      <c r="L1209" s="21">
        <v>20.09</v>
      </c>
      <c r="M1209" s="21">
        <f t="shared" si="146"/>
        <v>20.065000000000001</v>
      </c>
      <c r="N1209" s="22"/>
      <c r="O1209" s="21">
        <v>965191</v>
      </c>
      <c r="P1209" s="36">
        <f t="shared" si="152"/>
        <v>965190.99999999988</v>
      </c>
      <c r="Q1209" s="178">
        <v>42607</v>
      </c>
      <c r="R1209" s="66">
        <v>42611</v>
      </c>
      <c r="S1209" s="113"/>
    </row>
    <row r="1210" spans="1:24" s="41" customFormat="1" hidden="1" x14ac:dyDescent="0.25">
      <c r="A1210" s="122">
        <v>126</v>
      </c>
      <c r="B1210" s="51">
        <v>42558</v>
      </c>
      <c r="C1210" s="21">
        <v>103</v>
      </c>
      <c r="D1210" s="21">
        <v>3000031250</v>
      </c>
      <c r="E1210" s="21" t="s">
        <v>23</v>
      </c>
      <c r="F1210" s="21">
        <v>2602049170</v>
      </c>
      <c r="G1210" s="52">
        <v>42540</v>
      </c>
      <c r="H1210" s="52"/>
      <c r="I1210" s="52">
        <v>42544</v>
      </c>
      <c r="J1210" s="21" t="s">
        <v>43</v>
      </c>
      <c r="K1210" s="124">
        <v>26.56</v>
      </c>
      <c r="L1210" s="21">
        <v>26.55</v>
      </c>
      <c r="M1210" s="21">
        <f t="shared" si="146"/>
        <v>26.55</v>
      </c>
      <c r="N1210" s="22"/>
      <c r="O1210" s="21">
        <v>1277620</v>
      </c>
      <c r="P1210" s="36">
        <f t="shared" si="152"/>
        <v>1277138.968373494</v>
      </c>
      <c r="Q1210" s="178">
        <v>42607</v>
      </c>
      <c r="R1210" s="66">
        <v>42611</v>
      </c>
      <c r="S1210" s="113"/>
    </row>
    <row r="1211" spans="1:24" s="41" customFormat="1" hidden="1" x14ac:dyDescent="0.25">
      <c r="A1211" s="122">
        <v>127</v>
      </c>
      <c r="B1211" s="51">
        <v>42558</v>
      </c>
      <c r="C1211" s="21">
        <v>103</v>
      </c>
      <c r="D1211" s="21">
        <v>3000031250</v>
      </c>
      <c r="E1211" s="21" t="s">
        <v>23</v>
      </c>
      <c r="F1211" s="21">
        <v>2602049174</v>
      </c>
      <c r="G1211" s="52">
        <v>42541</v>
      </c>
      <c r="H1211" s="52"/>
      <c r="I1211" s="52">
        <v>42544</v>
      </c>
      <c r="J1211" s="21" t="s">
        <v>43</v>
      </c>
      <c r="K1211" s="124">
        <v>19.899999999999999</v>
      </c>
      <c r="L1211" s="21">
        <v>19.920000000000002</v>
      </c>
      <c r="M1211" s="21">
        <f t="shared" si="146"/>
        <v>19.899999999999999</v>
      </c>
      <c r="N1211" s="22"/>
      <c r="O1211" s="21">
        <v>957254</v>
      </c>
      <c r="P1211" s="36">
        <f t="shared" si="152"/>
        <v>957254.00000000012</v>
      </c>
      <c r="Q1211" s="178">
        <v>42607</v>
      </c>
      <c r="R1211" s="66">
        <v>42611</v>
      </c>
      <c r="S1211" s="113"/>
    </row>
    <row r="1212" spans="1:24" s="41" customFormat="1" hidden="1" x14ac:dyDescent="0.25">
      <c r="A1212" s="122">
        <v>128</v>
      </c>
      <c r="B1212" s="51">
        <v>42558</v>
      </c>
      <c r="C1212" s="21">
        <v>103</v>
      </c>
      <c r="D1212" s="21">
        <v>3000031250</v>
      </c>
      <c r="E1212" s="21" t="s">
        <v>23</v>
      </c>
      <c r="F1212" s="21">
        <v>2602049196</v>
      </c>
      <c r="G1212" s="52">
        <v>42541</v>
      </c>
      <c r="H1212" s="52"/>
      <c r="I1212" s="52">
        <v>42544</v>
      </c>
      <c r="J1212" s="21" t="s">
        <v>43</v>
      </c>
      <c r="K1212" s="124">
        <v>20.260000000000002</v>
      </c>
      <c r="L1212" s="21">
        <v>20.260000000000002</v>
      </c>
      <c r="M1212" s="21">
        <f t="shared" si="146"/>
        <v>20.260000000000002</v>
      </c>
      <c r="N1212" s="22"/>
      <c r="O1212" s="21">
        <v>974570</v>
      </c>
      <c r="P1212" s="36">
        <f t="shared" si="152"/>
        <v>974570</v>
      </c>
      <c r="Q1212" s="178">
        <v>42607</v>
      </c>
      <c r="R1212" s="66">
        <v>42611</v>
      </c>
      <c r="S1212" s="113"/>
    </row>
    <row r="1213" spans="1:24" s="41" customFormat="1" hidden="1" x14ac:dyDescent="0.25">
      <c r="A1213" s="122">
        <v>527</v>
      </c>
      <c r="B1213" s="51">
        <v>42590</v>
      </c>
      <c r="C1213" s="21">
        <v>103</v>
      </c>
      <c r="D1213" s="21">
        <v>3000031854</v>
      </c>
      <c r="E1213" s="21" t="s">
        <v>23</v>
      </c>
      <c r="F1213" s="21">
        <v>2602049266</v>
      </c>
      <c r="G1213" s="52">
        <v>42543</v>
      </c>
      <c r="H1213" s="52"/>
      <c r="I1213" s="52">
        <v>42545</v>
      </c>
      <c r="J1213" s="21" t="s">
        <v>43</v>
      </c>
      <c r="K1213" s="124">
        <v>25.1</v>
      </c>
      <c r="L1213" s="21">
        <v>25.05</v>
      </c>
      <c r="M1213" s="21">
        <f t="shared" ref="M1213:M1276" si="153">IF(L1213&gt;K1213,K1213,L1213)</f>
        <v>25.05</v>
      </c>
      <c r="N1213" s="22"/>
      <c r="O1213" s="21">
        <v>1308198</v>
      </c>
      <c r="P1213" s="36">
        <f t="shared" si="152"/>
        <v>1305592.0278884461</v>
      </c>
      <c r="Q1213" s="178">
        <v>42607</v>
      </c>
      <c r="R1213" s="66">
        <v>42611</v>
      </c>
      <c r="S1213" s="113"/>
    </row>
    <row r="1214" spans="1:24" s="41" customFormat="1" hidden="1" x14ac:dyDescent="0.25">
      <c r="A1214" s="122">
        <v>528</v>
      </c>
      <c r="B1214" s="51">
        <v>42590</v>
      </c>
      <c r="C1214" s="21">
        <v>13</v>
      </c>
      <c r="D1214" s="21">
        <v>3000031854</v>
      </c>
      <c r="E1214" s="21" t="s">
        <v>23</v>
      </c>
      <c r="F1214" s="21">
        <v>2602049306</v>
      </c>
      <c r="G1214" s="52">
        <v>42545</v>
      </c>
      <c r="H1214" s="52"/>
      <c r="I1214" s="52">
        <v>42547</v>
      </c>
      <c r="J1214" s="21" t="s">
        <v>43</v>
      </c>
      <c r="K1214" s="124">
        <v>19.95</v>
      </c>
      <c r="L1214" s="21">
        <v>19.940000000000001</v>
      </c>
      <c r="M1214" s="21">
        <f t="shared" si="153"/>
        <v>19.940000000000001</v>
      </c>
      <c r="N1214" s="22"/>
      <c r="O1214" s="21">
        <v>1039783</v>
      </c>
      <c r="P1214" s="36">
        <f t="shared" si="152"/>
        <v>1039261.8055137845</v>
      </c>
      <c r="Q1214" s="178">
        <v>42607</v>
      </c>
      <c r="R1214" s="66">
        <v>42611</v>
      </c>
      <c r="S1214" s="113"/>
    </row>
    <row r="1215" spans="1:24" s="41" customFormat="1" hidden="1" x14ac:dyDescent="0.25">
      <c r="A1215" s="122">
        <v>529</v>
      </c>
      <c r="B1215" s="51">
        <v>42590</v>
      </c>
      <c r="C1215" s="21">
        <v>103</v>
      </c>
      <c r="D1215" s="21">
        <v>3000031854</v>
      </c>
      <c r="E1215" s="21" t="s">
        <v>23</v>
      </c>
      <c r="F1215" s="21">
        <v>2602049341</v>
      </c>
      <c r="G1215" s="52">
        <v>42545</v>
      </c>
      <c r="H1215" s="52"/>
      <c r="I1215" s="52">
        <v>42548</v>
      </c>
      <c r="J1215" s="21" t="s">
        <v>43</v>
      </c>
      <c r="K1215" s="124">
        <v>19.989999999999998</v>
      </c>
      <c r="L1215" s="21">
        <v>19.98</v>
      </c>
      <c r="M1215" s="21">
        <f t="shared" si="153"/>
        <v>19.98</v>
      </c>
      <c r="N1215" s="22"/>
      <c r="O1215" s="21">
        <v>1041868</v>
      </c>
      <c r="P1215" s="36">
        <f t="shared" si="152"/>
        <v>1041346.8054027015</v>
      </c>
      <c r="Q1215" s="178">
        <v>42607</v>
      </c>
      <c r="R1215" s="66">
        <v>42611</v>
      </c>
      <c r="S1215" s="113"/>
    </row>
    <row r="1216" spans="1:24" s="41" customFormat="1" hidden="1" x14ac:dyDescent="0.25">
      <c r="A1216" s="122">
        <v>530</v>
      </c>
      <c r="B1216" s="51">
        <v>42590</v>
      </c>
      <c r="C1216" s="21">
        <v>103</v>
      </c>
      <c r="D1216" s="21">
        <v>3000031854</v>
      </c>
      <c r="E1216" s="21" t="s">
        <v>23</v>
      </c>
      <c r="F1216" s="21">
        <v>2602049372</v>
      </c>
      <c r="G1216" s="52">
        <v>42547</v>
      </c>
      <c r="H1216" s="52"/>
      <c r="I1216" s="52">
        <v>42549</v>
      </c>
      <c r="J1216" s="21" t="s">
        <v>43</v>
      </c>
      <c r="K1216" s="124">
        <v>26.63</v>
      </c>
      <c r="L1216" s="21">
        <v>26.62</v>
      </c>
      <c r="M1216" s="21">
        <f t="shared" si="153"/>
        <v>26.62</v>
      </c>
      <c r="N1216" s="22"/>
      <c r="O1216" s="21">
        <v>1387942</v>
      </c>
      <c r="P1216" s="36">
        <f t="shared" si="152"/>
        <v>1387420.8051070224</v>
      </c>
      <c r="Q1216" s="178">
        <v>42607</v>
      </c>
      <c r="R1216" s="66">
        <v>42611</v>
      </c>
      <c r="S1216" s="113"/>
    </row>
    <row r="1217" spans="1:22" s="41" customFormat="1" hidden="1" x14ac:dyDescent="0.25">
      <c r="A1217" s="122">
        <v>531</v>
      </c>
      <c r="B1217" s="51">
        <v>42590</v>
      </c>
      <c r="C1217" s="21">
        <v>103</v>
      </c>
      <c r="D1217" s="21">
        <v>3000031854</v>
      </c>
      <c r="E1217" s="21" t="s">
        <v>23</v>
      </c>
      <c r="F1217" s="21">
        <v>2602049375</v>
      </c>
      <c r="G1217" s="52">
        <v>42547</v>
      </c>
      <c r="H1217" s="52"/>
      <c r="I1217" s="52">
        <v>42549</v>
      </c>
      <c r="J1217" s="21" t="s">
        <v>43</v>
      </c>
      <c r="K1217" s="124">
        <v>27.14</v>
      </c>
      <c r="L1217" s="21">
        <v>27.15</v>
      </c>
      <c r="M1217" s="21">
        <f t="shared" si="153"/>
        <v>27.14</v>
      </c>
      <c r="N1217" s="22"/>
      <c r="O1217" s="21">
        <v>1414522</v>
      </c>
      <c r="P1217" s="36">
        <f t="shared" si="152"/>
        <v>1414522</v>
      </c>
      <c r="Q1217" s="178">
        <v>42607</v>
      </c>
      <c r="R1217" s="66">
        <v>42611</v>
      </c>
      <c r="S1217" s="113"/>
    </row>
    <row r="1218" spans="1:22" s="41" customFormat="1" hidden="1" x14ac:dyDescent="0.25">
      <c r="A1218" s="122">
        <v>532</v>
      </c>
      <c r="B1218" s="51">
        <v>42590</v>
      </c>
      <c r="C1218" s="21">
        <v>103</v>
      </c>
      <c r="D1218" s="21">
        <v>3000031854</v>
      </c>
      <c r="E1218" s="21" t="s">
        <v>23</v>
      </c>
      <c r="F1218" s="21">
        <v>2602049377</v>
      </c>
      <c r="G1218" s="52">
        <v>42548</v>
      </c>
      <c r="H1218" s="52"/>
      <c r="I1218" s="52">
        <v>42550</v>
      </c>
      <c r="J1218" s="21" t="s">
        <v>43</v>
      </c>
      <c r="K1218" s="124">
        <v>20.2</v>
      </c>
      <c r="L1218" s="21">
        <v>20.18</v>
      </c>
      <c r="M1218" s="21">
        <f t="shared" si="153"/>
        <v>20.18</v>
      </c>
      <c r="N1218" s="22"/>
      <c r="O1218" s="21">
        <v>1052813</v>
      </c>
      <c r="P1218" s="36">
        <f t="shared" si="152"/>
        <v>1051770.6108910891</v>
      </c>
      <c r="Q1218" s="178">
        <v>42607</v>
      </c>
      <c r="R1218" s="66">
        <v>42611</v>
      </c>
      <c r="S1218" s="113"/>
    </row>
    <row r="1219" spans="1:22" s="41" customFormat="1" hidden="1" x14ac:dyDescent="0.25">
      <c r="A1219" s="122">
        <v>533</v>
      </c>
      <c r="B1219" s="51">
        <v>42590</v>
      </c>
      <c r="C1219" s="21">
        <v>103</v>
      </c>
      <c r="D1219" s="21">
        <v>3000031854</v>
      </c>
      <c r="E1219" s="21" t="s">
        <v>23</v>
      </c>
      <c r="F1219" s="21">
        <v>2602049378</v>
      </c>
      <c r="G1219" s="52">
        <v>42548</v>
      </c>
      <c r="H1219" s="52"/>
      <c r="I1219" s="52">
        <v>42550</v>
      </c>
      <c r="J1219" s="21" t="s">
        <v>43</v>
      </c>
      <c r="K1219" s="124">
        <v>19.864999999999998</v>
      </c>
      <c r="L1219" s="21">
        <v>19.829999999999998</v>
      </c>
      <c r="M1219" s="21">
        <f t="shared" si="153"/>
        <v>19.829999999999998</v>
      </c>
      <c r="N1219" s="22"/>
      <c r="O1219" s="21">
        <v>1035353</v>
      </c>
      <c r="P1219" s="36">
        <f t="shared" si="152"/>
        <v>1033528.8190284419</v>
      </c>
      <c r="Q1219" s="178">
        <v>42607</v>
      </c>
      <c r="R1219" s="66">
        <v>42611</v>
      </c>
      <c r="S1219" s="113"/>
    </row>
    <row r="1220" spans="1:22" s="41" customFormat="1" hidden="1" x14ac:dyDescent="0.25">
      <c r="A1220" s="122">
        <v>534</v>
      </c>
      <c r="B1220" s="51">
        <v>42590</v>
      </c>
      <c r="C1220" s="21">
        <v>103</v>
      </c>
      <c r="D1220" s="21">
        <v>3000031854</v>
      </c>
      <c r="E1220" s="21" t="s">
        <v>23</v>
      </c>
      <c r="F1220" s="21">
        <v>2602049420</v>
      </c>
      <c r="G1220" s="52">
        <v>42549</v>
      </c>
      <c r="H1220" s="52"/>
      <c r="I1220" s="52">
        <v>42550</v>
      </c>
      <c r="J1220" s="21" t="s">
        <v>43</v>
      </c>
      <c r="K1220" s="124">
        <v>19.745000000000001</v>
      </c>
      <c r="L1220" s="21">
        <v>19.739999999999998</v>
      </c>
      <c r="M1220" s="21">
        <f t="shared" si="153"/>
        <v>19.739999999999998</v>
      </c>
      <c r="N1220" s="22"/>
      <c r="O1220" s="21">
        <v>1029098</v>
      </c>
      <c r="P1220" s="36">
        <f t="shared" si="152"/>
        <v>1028837.4028868066</v>
      </c>
      <c r="Q1220" s="178">
        <v>42607</v>
      </c>
      <c r="R1220" s="66">
        <v>42611</v>
      </c>
      <c r="S1220" s="113"/>
    </row>
    <row r="1221" spans="1:22" s="41" customFormat="1" hidden="1" x14ac:dyDescent="0.25">
      <c r="A1221" s="122">
        <v>535</v>
      </c>
      <c r="B1221" s="51">
        <v>42590</v>
      </c>
      <c r="C1221" s="21">
        <v>103</v>
      </c>
      <c r="D1221" s="21">
        <v>3000031854</v>
      </c>
      <c r="E1221" s="21" t="s">
        <v>23</v>
      </c>
      <c r="F1221" s="21">
        <v>2602049421</v>
      </c>
      <c r="G1221" s="52">
        <v>42549</v>
      </c>
      <c r="H1221" s="52"/>
      <c r="I1221" s="52">
        <v>42550</v>
      </c>
      <c r="J1221" s="21" t="s">
        <v>43</v>
      </c>
      <c r="K1221" s="124">
        <v>20.99</v>
      </c>
      <c r="L1221" s="21">
        <v>21.01</v>
      </c>
      <c r="M1221" s="21">
        <f t="shared" si="153"/>
        <v>20.99</v>
      </c>
      <c r="N1221" s="22"/>
      <c r="O1221" s="21">
        <v>1093988</v>
      </c>
      <c r="P1221" s="36">
        <f t="shared" si="152"/>
        <v>1093988</v>
      </c>
      <c r="Q1221" s="178">
        <v>42607</v>
      </c>
      <c r="R1221" s="66">
        <v>42611</v>
      </c>
      <c r="S1221" s="113"/>
    </row>
    <row r="1222" spans="1:22" s="41" customFormat="1" hidden="1" x14ac:dyDescent="0.25">
      <c r="A1222" s="122">
        <v>536</v>
      </c>
      <c r="B1222" s="51">
        <v>42590</v>
      </c>
      <c r="C1222" s="21">
        <v>103</v>
      </c>
      <c r="D1222" s="21">
        <v>3000031854</v>
      </c>
      <c r="E1222" s="21" t="s">
        <v>23</v>
      </c>
      <c r="F1222" s="21">
        <v>2602049454</v>
      </c>
      <c r="G1222" s="52">
        <v>42550</v>
      </c>
      <c r="H1222" s="52"/>
      <c r="I1222" s="52">
        <v>42551</v>
      </c>
      <c r="J1222" s="21" t="s">
        <v>43</v>
      </c>
      <c r="K1222" s="124">
        <v>19.704999999999998</v>
      </c>
      <c r="L1222" s="21">
        <v>19.739999999999998</v>
      </c>
      <c r="M1222" s="21">
        <f t="shared" si="153"/>
        <v>19.704999999999998</v>
      </c>
      <c r="N1222" s="22"/>
      <c r="O1222" s="21">
        <v>1027014</v>
      </c>
      <c r="P1222" s="36">
        <f t="shared" si="152"/>
        <v>1027014</v>
      </c>
      <c r="Q1222" s="178">
        <v>42607</v>
      </c>
      <c r="R1222" s="66">
        <v>42611</v>
      </c>
      <c r="S1222" s="113"/>
    </row>
    <row r="1223" spans="1:22" s="41" customFormat="1" hidden="1" x14ac:dyDescent="0.25">
      <c r="A1223" s="122">
        <v>537</v>
      </c>
      <c r="B1223" s="51">
        <v>42590</v>
      </c>
      <c r="C1223" s="21">
        <v>103</v>
      </c>
      <c r="D1223" s="21">
        <v>3000031854</v>
      </c>
      <c r="E1223" s="21" t="s">
        <v>23</v>
      </c>
      <c r="F1223" s="21">
        <v>2602049767</v>
      </c>
      <c r="G1223" s="52">
        <v>42561</v>
      </c>
      <c r="H1223" s="52"/>
      <c r="I1223" s="52">
        <v>42563</v>
      </c>
      <c r="J1223" s="21" t="s">
        <v>43</v>
      </c>
      <c r="K1223" s="124">
        <v>19.975000000000001</v>
      </c>
      <c r="L1223" s="21">
        <v>19.989999999999998</v>
      </c>
      <c r="M1223" s="21">
        <f t="shared" si="153"/>
        <v>19.975000000000001</v>
      </c>
      <c r="N1223" s="22"/>
      <c r="O1223" s="21">
        <v>1041086</v>
      </c>
      <c r="P1223" s="36">
        <f t="shared" si="152"/>
        <v>1041086</v>
      </c>
      <c r="Q1223" s="178">
        <v>42607</v>
      </c>
      <c r="R1223" s="66">
        <v>42611</v>
      </c>
      <c r="S1223" s="113"/>
    </row>
    <row r="1224" spans="1:22" s="41" customFormat="1" hidden="1" x14ac:dyDescent="0.25">
      <c r="A1224" s="122">
        <v>538</v>
      </c>
      <c r="B1224" s="51">
        <v>42590</v>
      </c>
      <c r="C1224" s="21">
        <v>103</v>
      </c>
      <c r="D1224" s="21">
        <v>3000031854</v>
      </c>
      <c r="E1224" s="21" t="s">
        <v>23</v>
      </c>
      <c r="F1224" s="21">
        <v>2602049741</v>
      </c>
      <c r="G1224" s="52">
        <v>42560</v>
      </c>
      <c r="H1224" s="52"/>
      <c r="I1224" s="52">
        <v>42563</v>
      </c>
      <c r="J1224" s="21" t="s">
        <v>43</v>
      </c>
      <c r="K1224" s="124">
        <v>19.89</v>
      </c>
      <c r="L1224" s="21">
        <v>19.899999999999999</v>
      </c>
      <c r="M1224" s="21">
        <f t="shared" si="153"/>
        <v>19.89</v>
      </c>
      <c r="N1224" s="22"/>
      <c r="O1224" s="21">
        <v>1036657</v>
      </c>
      <c r="P1224" s="36">
        <f t="shared" si="152"/>
        <v>1036657.0000000001</v>
      </c>
      <c r="Q1224" s="178">
        <v>42607</v>
      </c>
      <c r="R1224" s="66">
        <v>42611</v>
      </c>
      <c r="S1224" s="113"/>
    </row>
    <row r="1225" spans="1:22" s="41" customFormat="1" hidden="1" x14ac:dyDescent="0.25">
      <c r="A1225" s="122">
        <v>553</v>
      </c>
      <c r="B1225" s="51">
        <v>42590</v>
      </c>
      <c r="C1225" s="21">
        <v>103</v>
      </c>
      <c r="D1225" s="21">
        <v>3000031250</v>
      </c>
      <c r="E1225" s="21" t="s">
        <v>23</v>
      </c>
      <c r="F1225" s="21">
        <v>2602049300</v>
      </c>
      <c r="G1225" s="52">
        <v>42544</v>
      </c>
      <c r="H1225" s="52"/>
      <c r="I1225" s="52">
        <v>42547</v>
      </c>
      <c r="J1225" s="21" t="s">
        <v>43</v>
      </c>
      <c r="K1225" s="124">
        <v>12.22</v>
      </c>
      <c r="L1225" s="21">
        <v>12.22</v>
      </c>
      <c r="M1225" s="21">
        <f t="shared" si="153"/>
        <v>12.22</v>
      </c>
      <c r="N1225" s="22"/>
      <c r="O1225" s="21">
        <v>587821</v>
      </c>
      <c r="P1225" s="36">
        <f t="shared" si="152"/>
        <v>587821</v>
      </c>
      <c r="Q1225" s="178">
        <v>42607</v>
      </c>
      <c r="R1225" s="66">
        <v>42611</v>
      </c>
      <c r="S1225" s="113"/>
    </row>
    <row r="1226" spans="1:22" s="41" customFormat="1" hidden="1" x14ac:dyDescent="0.25">
      <c r="A1226" s="122">
        <v>576</v>
      </c>
      <c r="B1226" s="51">
        <v>42592</v>
      </c>
      <c r="C1226" s="21">
        <v>103</v>
      </c>
      <c r="D1226" s="21">
        <v>3000031810</v>
      </c>
      <c r="E1226" s="21" t="s">
        <v>23</v>
      </c>
      <c r="F1226" s="21">
        <v>2605010859</v>
      </c>
      <c r="G1226" s="52">
        <v>42549</v>
      </c>
      <c r="H1226" s="52"/>
      <c r="I1226" s="52">
        <v>42551</v>
      </c>
      <c r="J1226" s="21" t="s">
        <v>43</v>
      </c>
      <c r="K1226" s="124">
        <v>19.87</v>
      </c>
      <c r="L1226" s="21">
        <v>19.91</v>
      </c>
      <c r="M1226" s="21">
        <f t="shared" si="153"/>
        <v>19.87</v>
      </c>
      <c r="N1226" s="22"/>
      <c r="O1226" s="21">
        <v>1195668</v>
      </c>
      <c r="P1226" s="36">
        <f t="shared" si="152"/>
        <v>1195668</v>
      </c>
      <c r="Q1226" s="178">
        <v>42607</v>
      </c>
      <c r="R1226" s="66">
        <v>42611</v>
      </c>
      <c r="S1226" s="113"/>
    </row>
    <row r="1227" spans="1:22" s="41" customFormat="1" hidden="1" x14ac:dyDescent="0.25">
      <c r="A1227" s="122">
        <v>577</v>
      </c>
      <c r="B1227" s="51">
        <v>42592</v>
      </c>
      <c r="C1227" s="21">
        <v>103</v>
      </c>
      <c r="D1227" s="21">
        <v>3000031810</v>
      </c>
      <c r="E1227" s="21" t="s">
        <v>23</v>
      </c>
      <c r="F1227" s="21">
        <v>2605010860</v>
      </c>
      <c r="G1227" s="52">
        <v>42549</v>
      </c>
      <c r="H1227" s="52"/>
      <c r="I1227" s="52">
        <v>42551</v>
      </c>
      <c r="J1227" s="21" t="s">
        <v>43</v>
      </c>
      <c r="K1227" s="124">
        <v>20.03</v>
      </c>
      <c r="L1227" s="21">
        <v>20</v>
      </c>
      <c r="M1227" s="21">
        <f t="shared" si="153"/>
        <v>20</v>
      </c>
      <c r="N1227" s="22"/>
      <c r="O1227" s="21">
        <v>1205296</v>
      </c>
      <c r="P1227" s="36">
        <f t="shared" si="152"/>
        <v>1203490.7638542186</v>
      </c>
      <c r="Q1227" s="178">
        <v>42607</v>
      </c>
      <c r="R1227" s="66">
        <v>42611</v>
      </c>
      <c r="S1227" s="113"/>
    </row>
    <row r="1228" spans="1:22" s="41" customFormat="1" hidden="1" x14ac:dyDescent="0.25">
      <c r="A1228" s="122">
        <v>578</v>
      </c>
      <c r="B1228" s="51">
        <v>42592</v>
      </c>
      <c r="C1228" s="21">
        <v>103</v>
      </c>
      <c r="D1228" s="21">
        <v>3000031810</v>
      </c>
      <c r="E1228" s="21" t="s">
        <v>23</v>
      </c>
      <c r="F1228" s="21">
        <v>2605010913</v>
      </c>
      <c r="G1228" s="52">
        <v>42551</v>
      </c>
      <c r="H1228" s="52"/>
      <c r="I1228" s="52">
        <v>42553</v>
      </c>
      <c r="J1228" s="21" t="s">
        <v>43</v>
      </c>
      <c r="K1228" s="124">
        <v>20.46</v>
      </c>
      <c r="L1228" s="21">
        <v>20.420000000000002</v>
      </c>
      <c r="M1228" s="21">
        <f t="shared" si="153"/>
        <v>20.420000000000002</v>
      </c>
      <c r="N1228" s="22"/>
      <c r="O1228" s="21">
        <v>1231171</v>
      </c>
      <c r="P1228" s="36">
        <f t="shared" si="152"/>
        <v>1228764.018572825</v>
      </c>
      <c r="Q1228" s="178">
        <v>42607</v>
      </c>
      <c r="R1228" s="66">
        <v>42611</v>
      </c>
      <c r="S1228" s="113"/>
    </row>
    <row r="1229" spans="1:22" s="41" customFormat="1" hidden="1" x14ac:dyDescent="0.25">
      <c r="A1229" s="122">
        <v>579</v>
      </c>
      <c r="B1229" s="51">
        <v>42592</v>
      </c>
      <c r="C1229" s="21">
        <v>103</v>
      </c>
      <c r="D1229" s="21">
        <v>3000031810</v>
      </c>
      <c r="E1229" s="21" t="s">
        <v>23</v>
      </c>
      <c r="F1229" s="21">
        <v>2605010924</v>
      </c>
      <c r="G1229" s="52">
        <v>42376</v>
      </c>
      <c r="H1229" s="52"/>
      <c r="I1229" s="52">
        <v>42554</v>
      </c>
      <c r="J1229" s="21" t="s">
        <v>43</v>
      </c>
      <c r="K1229" s="124">
        <v>19.71</v>
      </c>
      <c r="L1229" s="21">
        <v>19.7</v>
      </c>
      <c r="M1229" s="21">
        <f t="shared" si="153"/>
        <v>19.7</v>
      </c>
      <c r="N1229" s="22"/>
      <c r="O1229" s="21">
        <v>1186041</v>
      </c>
      <c r="P1229" s="36">
        <f t="shared" si="152"/>
        <v>1185439.2541856924</v>
      </c>
      <c r="Q1229" s="178">
        <v>42607</v>
      </c>
      <c r="R1229" s="66">
        <v>42611</v>
      </c>
      <c r="S1229" s="113"/>
    </row>
    <row r="1230" spans="1:22" s="41" customFormat="1" hidden="1" x14ac:dyDescent="0.25">
      <c r="A1230" s="122">
        <v>580</v>
      </c>
      <c r="B1230" s="51">
        <v>42592</v>
      </c>
      <c r="C1230" s="21">
        <v>103</v>
      </c>
      <c r="D1230" s="21">
        <v>3000031810</v>
      </c>
      <c r="E1230" s="21" t="s">
        <v>23</v>
      </c>
      <c r="F1230" s="21">
        <v>2605010937</v>
      </c>
      <c r="G1230" s="52">
        <v>42553</v>
      </c>
      <c r="H1230" s="52"/>
      <c r="I1230" s="52">
        <v>42555</v>
      </c>
      <c r="J1230" s="21" t="s">
        <v>43</v>
      </c>
      <c r="K1230" s="124">
        <v>20.3</v>
      </c>
      <c r="L1230" s="21">
        <v>20.309999999999999</v>
      </c>
      <c r="M1230" s="21">
        <f t="shared" si="153"/>
        <v>20.3</v>
      </c>
      <c r="N1230" s="22"/>
      <c r="O1230" s="21">
        <v>1221543</v>
      </c>
      <c r="P1230" s="36">
        <f t="shared" si="152"/>
        <v>1221543</v>
      </c>
      <c r="Q1230" s="178">
        <v>42607</v>
      </c>
      <c r="R1230" s="66">
        <v>42611</v>
      </c>
      <c r="S1230" s="113"/>
      <c r="T1230" s="15" t="s">
        <v>292</v>
      </c>
      <c r="U1230" s="15"/>
      <c r="V1230" s="15"/>
    </row>
    <row r="1231" spans="1:22" s="41" customFormat="1" hidden="1" x14ac:dyDescent="0.25">
      <c r="A1231" s="146">
        <v>257</v>
      </c>
      <c r="B1231" s="60">
        <v>42570</v>
      </c>
      <c r="C1231" s="18">
        <v>114</v>
      </c>
      <c r="D1231" s="18">
        <v>3000030307</v>
      </c>
      <c r="E1231" s="18" t="s">
        <v>17</v>
      </c>
      <c r="F1231" s="154">
        <v>63</v>
      </c>
      <c r="G1231" s="61">
        <v>42558</v>
      </c>
      <c r="H1231" s="61"/>
      <c r="I1231" s="61">
        <v>42562</v>
      </c>
      <c r="J1231" s="18" t="s">
        <v>8</v>
      </c>
      <c r="K1231" s="149">
        <v>10.53</v>
      </c>
      <c r="L1231" s="18">
        <v>10.41</v>
      </c>
      <c r="M1231" s="18">
        <f t="shared" si="153"/>
        <v>10.41</v>
      </c>
      <c r="N1231" s="62">
        <f t="shared" ref="N1231:N1240" si="154">+I1231+15-1</f>
        <v>42576</v>
      </c>
      <c r="O1231" s="18">
        <v>587574</v>
      </c>
      <c r="P1231" s="38">
        <f t="shared" si="152"/>
        <v>580878</v>
      </c>
      <c r="Q1231" s="178">
        <v>42613</v>
      </c>
      <c r="R1231" s="66">
        <v>42614</v>
      </c>
      <c r="S1231" s="113">
        <f t="shared" ref="S1231:S1262" si="155">R1231-N1231</f>
        <v>38</v>
      </c>
    </row>
    <row r="1232" spans="1:22" s="41" customFormat="1" hidden="1" x14ac:dyDescent="0.25">
      <c r="A1232" s="146">
        <v>262</v>
      </c>
      <c r="B1232" s="60">
        <v>42570</v>
      </c>
      <c r="C1232" s="18">
        <v>114</v>
      </c>
      <c r="D1232" s="18">
        <v>3000031330</v>
      </c>
      <c r="E1232" s="18" t="s">
        <v>15</v>
      </c>
      <c r="F1232" s="18">
        <v>3102</v>
      </c>
      <c r="G1232" s="61">
        <v>42560</v>
      </c>
      <c r="H1232" s="61"/>
      <c r="I1232" s="61">
        <v>42563</v>
      </c>
      <c r="J1232" s="18" t="s">
        <v>8</v>
      </c>
      <c r="K1232" s="149">
        <v>27.87</v>
      </c>
      <c r="L1232" s="18">
        <v>27.83</v>
      </c>
      <c r="M1232" s="18">
        <f t="shared" si="153"/>
        <v>27.83</v>
      </c>
      <c r="N1232" s="62">
        <f t="shared" si="154"/>
        <v>42577</v>
      </c>
      <c r="O1232" s="18">
        <v>1477110</v>
      </c>
      <c r="P1232" s="38">
        <f t="shared" si="152"/>
        <v>1474990</v>
      </c>
      <c r="Q1232" s="178">
        <v>42613</v>
      </c>
      <c r="R1232" s="66">
        <v>42614</v>
      </c>
      <c r="S1232" s="113">
        <f t="shared" si="155"/>
        <v>37</v>
      </c>
    </row>
    <row r="1233" spans="1:22" s="41" customFormat="1" hidden="1" x14ac:dyDescent="0.25">
      <c r="A1233" s="146">
        <v>265</v>
      </c>
      <c r="B1233" s="60">
        <v>42570</v>
      </c>
      <c r="C1233" s="18">
        <v>114</v>
      </c>
      <c r="D1233" s="18">
        <v>3000031330</v>
      </c>
      <c r="E1233" s="18" t="s">
        <v>15</v>
      </c>
      <c r="F1233" s="154">
        <v>3104</v>
      </c>
      <c r="G1233" s="61">
        <v>42561</v>
      </c>
      <c r="H1233" s="61"/>
      <c r="I1233" s="61">
        <v>42565</v>
      </c>
      <c r="J1233" s="18" t="s">
        <v>8</v>
      </c>
      <c r="K1233" s="149">
        <v>20.64</v>
      </c>
      <c r="L1233" s="18">
        <v>20.64</v>
      </c>
      <c r="M1233" s="18">
        <f t="shared" si="153"/>
        <v>20.64</v>
      </c>
      <c r="N1233" s="62">
        <f t="shared" si="154"/>
        <v>42579</v>
      </c>
      <c r="O1233" s="18">
        <v>1093920</v>
      </c>
      <c r="P1233" s="38">
        <f t="shared" si="152"/>
        <v>1093920</v>
      </c>
      <c r="Q1233" s="178">
        <v>42613</v>
      </c>
      <c r="R1233" s="66">
        <v>42614</v>
      </c>
      <c r="S1233" s="113">
        <f t="shared" si="155"/>
        <v>35</v>
      </c>
    </row>
    <row r="1234" spans="1:22" s="41" customFormat="1" hidden="1" x14ac:dyDescent="0.25">
      <c r="A1234" s="146">
        <v>266</v>
      </c>
      <c r="B1234" s="60">
        <v>42570</v>
      </c>
      <c r="C1234" s="18">
        <v>114</v>
      </c>
      <c r="D1234" s="18">
        <v>3000031365</v>
      </c>
      <c r="E1234" s="18" t="s">
        <v>15</v>
      </c>
      <c r="F1234" s="154">
        <v>3104</v>
      </c>
      <c r="G1234" s="61">
        <v>42561</v>
      </c>
      <c r="H1234" s="61"/>
      <c r="I1234" s="61">
        <v>42565</v>
      </c>
      <c r="J1234" s="18" t="s">
        <v>8</v>
      </c>
      <c r="K1234" s="149">
        <v>4.3</v>
      </c>
      <c r="L1234" s="18">
        <v>4.2300000000000004</v>
      </c>
      <c r="M1234" s="18">
        <f t="shared" si="153"/>
        <v>4.2300000000000004</v>
      </c>
      <c r="N1234" s="62">
        <f t="shared" si="154"/>
        <v>42579</v>
      </c>
      <c r="O1234" s="18">
        <v>229190</v>
      </c>
      <c r="P1234" s="38">
        <f t="shared" si="152"/>
        <v>225459.00000000003</v>
      </c>
      <c r="Q1234" s="178">
        <v>42613</v>
      </c>
      <c r="R1234" s="66">
        <v>42614</v>
      </c>
      <c r="S1234" s="113">
        <f t="shared" si="155"/>
        <v>35</v>
      </c>
    </row>
    <row r="1235" spans="1:22" s="41" customFormat="1" hidden="1" x14ac:dyDescent="0.25">
      <c r="A1235" s="146">
        <v>399</v>
      </c>
      <c r="B1235" s="60">
        <v>42583</v>
      </c>
      <c r="C1235" s="18">
        <v>114</v>
      </c>
      <c r="D1235" s="18">
        <v>3000032348</v>
      </c>
      <c r="E1235" s="18" t="s">
        <v>138</v>
      </c>
      <c r="F1235" s="154" t="s">
        <v>271</v>
      </c>
      <c r="G1235" s="61">
        <v>42576</v>
      </c>
      <c r="H1235" s="61"/>
      <c r="I1235" s="61">
        <v>42565</v>
      </c>
      <c r="J1235" s="18" t="s">
        <v>16</v>
      </c>
      <c r="K1235" s="149"/>
      <c r="L1235" s="18"/>
      <c r="M1235" s="18">
        <f t="shared" si="153"/>
        <v>0</v>
      </c>
      <c r="N1235" s="62">
        <f t="shared" si="154"/>
        <v>42579</v>
      </c>
      <c r="O1235" s="18">
        <v>11112</v>
      </c>
      <c r="P1235" s="38"/>
      <c r="Q1235" s="178">
        <v>42613</v>
      </c>
      <c r="R1235" s="66">
        <v>42614</v>
      </c>
      <c r="S1235" s="113">
        <f t="shared" si="155"/>
        <v>35</v>
      </c>
    </row>
    <row r="1236" spans="1:22" s="41" customFormat="1" hidden="1" x14ac:dyDescent="0.25">
      <c r="A1236" s="146">
        <v>400</v>
      </c>
      <c r="B1236" s="60">
        <v>42583</v>
      </c>
      <c r="C1236" s="18">
        <v>114</v>
      </c>
      <c r="D1236" s="18">
        <v>3000032348</v>
      </c>
      <c r="E1236" s="18" t="s">
        <v>138</v>
      </c>
      <c r="F1236" s="154">
        <v>9006</v>
      </c>
      <c r="G1236" s="61">
        <v>42562</v>
      </c>
      <c r="H1236" s="61"/>
      <c r="I1236" s="61">
        <v>42565</v>
      </c>
      <c r="J1236" s="18" t="s">
        <v>16</v>
      </c>
      <c r="K1236" s="149">
        <v>30.42</v>
      </c>
      <c r="L1236" s="18">
        <v>30.36</v>
      </c>
      <c r="M1236" s="18">
        <f t="shared" si="153"/>
        <v>30.36</v>
      </c>
      <c r="N1236" s="62">
        <f t="shared" si="154"/>
        <v>42579</v>
      </c>
      <c r="O1236" s="18">
        <v>1521000</v>
      </c>
      <c r="P1236" s="38">
        <f>(+O1236/K1236*M1236)-11112</f>
        <v>1506888</v>
      </c>
      <c r="Q1236" s="178">
        <v>42613</v>
      </c>
      <c r="R1236" s="66">
        <v>42614</v>
      </c>
      <c r="S1236" s="113">
        <f t="shared" si="155"/>
        <v>35</v>
      </c>
    </row>
    <row r="1237" spans="1:22" s="41" customFormat="1" hidden="1" x14ac:dyDescent="0.25">
      <c r="A1237" s="146">
        <v>472</v>
      </c>
      <c r="B1237" s="60">
        <v>42586</v>
      </c>
      <c r="C1237" s="18">
        <v>114</v>
      </c>
      <c r="D1237" s="18">
        <v>3000031336</v>
      </c>
      <c r="E1237" s="18" t="s">
        <v>29</v>
      </c>
      <c r="F1237" s="18">
        <v>120</v>
      </c>
      <c r="G1237" s="61">
        <v>42557</v>
      </c>
      <c r="H1237" s="61"/>
      <c r="I1237" s="61">
        <v>42565</v>
      </c>
      <c r="J1237" s="18" t="s">
        <v>8</v>
      </c>
      <c r="K1237" s="149">
        <v>27.44</v>
      </c>
      <c r="L1237" s="18">
        <v>27.37</v>
      </c>
      <c r="M1237" s="18">
        <f t="shared" si="153"/>
        <v>27.37</v>
      </c>
      <c r="N1237" s="62">
        <f t="shared" si="154"/>
        <v>42579</v>
      </c>
      <c r="O1237" s="18">
        <v>1468040</v>
      </c>
      <c r="P1237" s="38">
        <f>(+O1237/K1237*M1237)</f>
        <v>1464295</v>
      </c>
      <c r="Q1237" s="178">
        <v>42613</v>
      </c>
      <c r="R1237" s="66">
        <v>42614</v>
      </c>
      <c r="S1237" s="113">
        <f t="shared" si="155"/>
        <v>35</v>
      </c>
    </row>
    <row r="1238" spans="1:22" s="41" customFormat="1" hidden="1" x14ac:dyDescent="0.25">
      <c r="A1238" s="146">
        <v>412</v>
      </c>
      <c r="B1238" s="60">
        <v>42583</v>
      </c>
      <c r="C1238" s="18">
        <v>114</v>
      </c>
      <c r="D1238" s="18">
        <v>3000030720</v>
      </c>
      <c r="E1238" s="18" t="s">
        <v>49</v>
      </c>
      <c r="F1238" s="154">
        <v>25</v>
      </c>
      <c r="G1238" s="61">
        <v>42571</v>
      </c>
      <c r="H1238" s="61"/>
      <c r="I1238" s="61">
        <v>42575</v>
      </c>
      <c r="J1238" s="18" t="s">
        <v>16</v>
      </c>
      <c r="K1238" s="149">
        <v>21.96</v>
      </c>
      <c r="L1238" s="18">
        <v>21.96</v>
      </c>
      <c r="M1238" s="18">
        <f t="shared" si="153"/>
        <v>21.96</v>
      </c>
      <c r="N1238" s="62">
        <f t="shared" si="154"/>
        <v>42589</v>
      </c>
      <c r="O1238" s="18">
        <v>1130940</v>
      </c>
      <c r="P1238" s="38">
        <f>(+O1238/K1238*M1238)</f>
        <v>1130940</v>
      </c>
      <c r="Q1238" s="178">
        <v>42613</v>
      </c>
      <c r="R1238" s="66">
        <v>42614</v>
      </c>
      <c r="S1238" s="113">
        <f t="shared" si="155"/>
        <v>25</v>
      </c>
    </row>
    <row r="1239" spans="1:22" s="41" customFormat="1" hidden="1" x14ac:dyDescent="0.25">
      <c r="A1239" s="146">
        <v>418</v>
      </c>
      <c r="B1239" s="60">
        <v>42583</v>
      </c>
      <c r="C1239" s="18">
        <v>114</v>
      </c>
      <c r="D1239" s="18" t="s">
        <v>276</v>
      </c>
      <c r="E1239" s="18" t="s">
        <v>30</v>
      </c>
      <c r="F1239" s="18">
        <v>168</v>
      </c>
      <c r="G1239" s="61">
        <v>42572</v>
      </c>
      <c r="H1239" s="61"/>
      <c r="I1239" s="61">
        <v>42575</v>
      </c>
      <c r="J1239" s="18" t="s">
        <v>229</v>
      </c>
      <c r="K1239" s="149">
        <v>27.62</v>
      </c>
      <c r="L1239" s="18">
        <v>27.6</v>
      </c>
      <c r="M1239" s="18">
        <f t="shared" si="153"/>
        <v>27.6</v>
      </c>
      <c r="N1239" s="62">
        <f t="shared" si="154"/>
        <v>42589</v>
      </c>
      <c r="O1239" s="18">
        <v>1505291</v>
      </c>
      <c r="P1239" s="38">
        <f>(+O1239/K1239*M1239)</f>
        <v>1504200.9992758872</v>
      </c>
      <c r="Q1239" s="178">
        <v>42613</v>
      </c>
      <c r="R1239" s="66">
        <v>42614</v>
      </c>
      <c r="S1239" s="113">
        <f t="shared" si="155"/>
        <v>25</v>
      </c>
    </row>
    <row r="1240" spans="1:22" s="41" customFormat="1" hidden="1" x14ac:dyDescent="0.25">
      <c r="A1240" s="146">
        <v>485</v>
      </c>
      <c r="B1240" s="60">
        <v>42586</v>
      </c>
      <c r="C1240" s="18">
        <v>114</v>
      </c>
      <c r="D1240" s="18">
        <v>3000032524</v>
      </c>
      <c r="E1240" s="18" t="s">
        <v>30</v>
      </c>
      <c r="F1240" s="18">
        <v>172</v>
      </c>
      <c r="G1240" s="61">
        <v>42575</v>
      </c>
      <c r="H1240" s="61"/>
      <c r="I1240" s="61">
        <v>42578</v>
      </c>
      <c r="J1240" s="18" t="s">
        <v>229</v>
      </c>
      <c r="K1240" s="149">
        <v>29.65</v>
      </c>
      <c r="L1240" s="18">
        <v>29.54</v>
      </c>
      <c r="M1240" s="18">
        <f t="shared" si="153"/>
        <v>29.54</v>
      </c>
      <c r="N1240" s="62">
        <f t="shared" si="154"/>
        <v>42592</v>
      </c>
      <c r="O1240" s="18">
        <v>1615926</v>
      </c>
      <c r="P1240" s="38">
        <f>(+O1240/K1240*M1240)</f>
        <v>1609930.9962900507</v>
      </c>
      <c r="Q1240" s="178">
        <v>42613</v>
      </c>
      <c r="R1240" s="66">
        <v>42614</v>
      </c>
      <c r="S1240" s="113">
        <f t="shared" si="155"/>
        <v>22</v>
      </c>
      <c r="T1240" s="15"/>
      <c r="U1240" s="15"/>
      <c r="V1240" s="15"/>
    </row>
    <row r="1241" spans="1:22" s="41" customFormat="1" x14ac:dyDescent="0.25">
      <c r="A1241" s="146">
        <v>397</v>
      </c>
      <c r="B1241" s="60">
        <v>42578</v>
      </c>
      <c r="C1241" s="18">
        <v>103</v>
      </c>
      <c r="D1241" s="18">
        <v>3000032581</v>
      </c>
      <c r="E1241" s="18" t="s">
        <v>144</v>
      </c>
      <c r="F1241" s="18">
        <v>663</v>
      </c>
      <c r="G1241" s="61">
        <v>42566</v>
      </c>
      <c r="H1241" s="61"/>
      <c r="I1241" s="61">
        <v>42573</v>
      </c>
      <c r="J1241" s="18" t="s">
        <v>61</v>
      </c>
      <c r="K1241" s="149">
        <v>20.3</v>
      </c>
      <c r="L1241" s="18">
        <v>20.170000000000002</v>
      </c>
      <c r="M1241" s="18">
        <f t="shared" si="153"/>
        <v>20.170000000000002</v>
      </c>
      <c r="N1241" s="62">
        <f>+I1241+20-1</f>
        <v>42592</v>
      </c>
      <c r="O1241" s="18">
        <v>1573242</v>
      </c>
      <c r="P1241" s="38">
        <f>(+O1241/K1241*M1241)</f>
        <v>1563167.051231527</v>
      </c>
      <c r="Q1241" s="178">
        <v>42613</v>
      </c>
      <c r="R1241" s="66">
        <v>42614</v>
      </c>
      <c r="S1241" s="113">
        <f t="shared" si="155"/>
        <v>22</v>
      </c>
      <c r="T1241" s="15" t="s">
        <v>293</v>
      </c>
      <c r="U1241" s="15"/>
      <c r="V1241" s="15"/>
    </row>
    <row r="1242" spans="1:22" hidden="1" x14ac:dyDescent="0.25">
      <c r="A1242" s="146">
        <v>401</v>
      </c>
      <c r="B1242" s="60">
        <v>42583</v>
      </c>
      <c r="C1242" s="18">
        <v>114</v>
      </c>
      <c r="D1242" s="18">
        <v>3000032348</v>
      </c>
      <c r="E1242" s="18" t="s">
        <v>138</v>
      </c>
      <c r="F1242" s="154" t="s">
        <v>272</v>
      </c>
      <c r="G1242" s="61">
        <v>42576</v>
      </c>
      <c r="H1242" s="61"/>
      <c r="I1242" s="61">
        <v>42566</v>
      </c>
      <c r="J1242" s="18" t="s">
        <v>16</v>
      </c>
      <c r="K1242" s="149"/>
      <c r="L1242" s="18"/>
      <c r="M1242" s="18">
        <f t="shared" si="153"/>
        <v>0</v>
      </c>
      <c r="N1242" s="62">
        <f>+I1242+15-1</f>
        <v>42580</v>
      </c>
      <c r="O1242" s="18">
        <v>12545</v>
      </c>
      <c r="P1242" s="38"/>
      <c r="Q1242" s="178">
        <v>42614</v>
      </c>
      <c r="R1242" s="66">
        <v>42615</v>
      </c>
      <c r="S1242" s="113">
        <f t="shared" si="155"/>
        <v>35</v>
      </c>
    </row>
    <row r="1243" spans="1:22" hidden="1" x14ac:dyDescent="0.25">
      <c r="A1243" s="146">
        <v>402</v>
      </c>
      <c r="B1243" s="60">
        <v>42583</v>
      </c>
      <c r="C1243" s="18">
        <v>114</v>
      </c>
      <c r="D1243" s="18">
        <v>3000032348</v>
      </c>
      <c r="E1243" s="18" t="s">
        <v>138</v>
      </c>
      <c r="F1243" s="154">
        <v>9005</v>
      </c>
      <c r="G1243" s="61">
        <v>42562</v>
      </c>
      <c r="H1243" s="61"/>
      <c r="I1243" s="61">
        <v>42566</v>
      </c>
      <c r="J1243" s="18" t="s">
        <v>16</v>
      </c>
      <c r="K1243" s="149">
        <v>29.484999999999999</v>
      </c>
      <c r="L1243" s="18">
        <v>29.38</v>
      </c>
      <c r="M1243" s="18">
        <f t="shared" si="153"/>
        <v>29.38</v>
      </c>
      <c r="N1243" s="62">
        <f>+I1243+15-1</f>
        <v>42580</v>
      </c>
      <c r="O1243" s="18">
        <v>1474250</v>
      </c>
      <c r="P1243" s="38">
        <f>(+O1243/K1243*M1243)-12545</f>
        <v>1456455</v>
      </c>
      <c r="Q1243" s="178">
        <v>42614</v>
      </c>
      <c r="R1243" s="66">
        <v>42615</v>
      </c>
      <c r="S1243" s="113">
        <f t="shared" si="155"/>
        <v>35</v>
      </c>
    </row>
    <row r="1244" spans="1:22" hidden="1" x14ac:dyDescent="0.25">
      <c r="A1244" s="146">
        <v>297</v>
      </c>
      <c r="B1244" s="60">
        <v>42572</v>
      </c>
      <c r="C1244" s="18">
        <v>103</v>
      </c>
      <c r="D1244" s="18">
        <v>3000032219</v>
      </c>
      <c r="E1244" s="18" t="s">
        <v>202</v>
      </c>
      <c r="F1244" s="18">
        <v>81</v>
      </c>
      <c r="G1244" s="61">
        <v>42559</v>
      </c>
      <c r="H1244" s="61"/>
      <c r="I1244" s="61">
        <v>42564</v>
      </c>
      <c r="J1244" s="18" t="s">
        <v>61</v>
      </c>
      <c r="K1244" s="149">
        <v>16.47</v>
      </c>
      <c r="L1244" s="18">
        <v>16.440000000000001</v>
      </c>
      <c r="M1244" s="18">
        <f t="shared" si="153"/>
        <v>16.440000000000001</v>
      </c>
      <c r="N1244" s="62">
        <f t="shared" ref="N1244:N1251" si="156">+I1244+20-1</f>
        <v>42583</v>
      </c>
      <c r="O1244" s="18">
        <v>1292895</v>
      </c>
      <c r="P1244" s="38">
        <f t="shared" ref="P1244:P1276" si="157">(+O1244/K1244*M1244)</f>
        <v>1290540</v>
      </c>
      <c r="Q1244" s="178">
        <v>42614</v>
      </c>
      <c r="R1244" s="66">
        <v>42615</v>
      </c>
      <c r="S1244" s="113">
        <f t="shared" si="155"/>
        <v>32</v>
      </c>
    </row>
    <row r="1245" spans="1:22" hidden="1" x14ac:dyDescent="0.25">
      <c r="A1245" s="146">
        <v>301</v>
      </c>
      <c r="B1245" s="60">
        <v>42572</v>
      </c>
      <c r="C1245" s="18">
        <v>103</v>
      </c>
      <c r="D1245" s="18">
        <v>3000032219</v>
      </c>
      <c r="E1245" s="18" t="s">
        <v>202</v>
      </c>
      <c r="F1245" s="18">
        <v>82</v>
      </c>
      <c r="G1245" s="61">
        <v>42560</v>
      </c>
      <c r="H1245" s="61"/>
      <c r="I1245" s="61">
        <v>42565</v>
      </c>
      <c r="J1245" s="18" t="s">
        <v>61</v>
      </c>
      <c r="K1245" s="149">
        <v>16.149999999999999</v>
      </c>
      <c r="L1245" s="18">
        <v>16.149999999999999</v>
      </c>
      <c r="M1245" s="18">
        <f t="shared" si="153"/>
        <v>16.149999999999999</v>
      </c>
      <c r="N1245" s="62">
        <f t="shared" si="156"/>
        <v>42584</v>
      </c>
      <c r="O1245" s="18">
        <v>1267775</v>
      </c>
      <c r="P1245" s="38">
        <f t="shared" si="157"/>
        <v>1267775</v>
      </c>
      <c r="Q1245" s="178">
        <v>42614</v>
      </c>
      <c r="R1245" s="66">
        <v>42615</v>
      </c>
      <c r="S1245" s="113">
        <f t="shared" si="155"/>
        <v>31</v>
      </c>
    </row>
    <row r="1246" spans="1:22" hidden="1" x14ac:dyDescent="0.25">
      <c r="A1246" s="146">
        <v>319</v>
      </c>
      <c r="B1246" s="60">
        <v>42576</v>
      </c>
      <c r="C1246" s="18">
        <v>103</v>
      </c>
      <c r="D1246" s="18">
        <v>3000032219</v>
      </c>
      <c r="E1246" s="18" t="s">
        <v>202</v>
      </c>
      <c r="F1246" s="18">
        <v>83</v>
      </c>
      <c r="G1246" s="61">
        <v>42562</v>
      </c>
      <c r="H1246" s="61"/>
      <c r="I1246" s="61">
        <v>42567</v>
      </c>
      <c r="J1246" s="18" t="s">
        <v>61</v>
      </c>
      <c r="K1246" s="149">
        <v>16.14</v>
      </c>
      <c r="L1246" s="18">
        <v>16.13</v>
      </c>
      <c r="M1246" s="18">
        <f t="shared" si="153"/>
        <v>16.13</v>
      </c>
      <c r="N1246" s="62">
        <f t="shared" si="156"/>
        <v>42586</v>
      </c>
      <c r="O1246" s="18">
        <v>1266990</v>
      </c>
      <c r="P1246" s="38">
        <f t="shared" si="157"/>
        <v>1266205</v>
      </c>
      <c r="Q1246" s="178">
        <v>42614</v>
      </c>
      <c r="R1246" s="66">
        <v>42615</v>
      </c>
      <c r="S1246" s="113">
        <f t="shared" si="155"/>
        <v>29</v>
      </c>
    </row>
    <row r="1247" spans="1:22" hidden="1" x14ac:dyDescent="0.25">
      <c r="A1247" s="146">
        <v>320</v>
      </c>
      <c r="B1247" s="60">
        <v>42576</v>
      </c>
      <c r="C1247" s="18">
        <v>103</v>
      </c>
      <c r="D1247" s="18">
        <v>3000032219</v>
      </c>
      <c r="E1247" s="18" t="s">
        <v>202</v>
      </c>
      <c r="F1247" s="18">
        <v>90</v>
      </c>
      <c r="G1247" s="61">
        <v>42563</v>
      </c>
      <c r="H1247" s="61"/>
      <c r="I1247" s="61">
        <v>42567</v>
      </c>
      <c r="J1247" s="18" t="s">
        <v>61</v>
      </c>
      <c r="K1247" s="149">
        <v>16.23</v>
      </c>
      <c r="L1247" s="18">
        <v>16.190000000000001</v>
      </c>
      <c r="M1247" s="18">
        <f t="shared" si="153"/>
        <v>16.190000000000001</v>
      </c>
      <c r="N1247" s="62">
        <f t="shared" si="156"/>
        <v>42586</v>
      </c>
      <c r="O1247" s="18">
        <v>1274055</v>
      </c>
      <c r="P1247" s="38">
        <f t="shared" si="157"/>
        <v>1270915</v>
      </c>
      <c r="Q1247" s="178">
        <v>42614</v>
      </c>
      <c r="R1247" s="66">
        <v>42615</v>
      </c>
      <c r="S1247" s="113">
        <f t="shared" si="155"/>
        <v>29</v>
      </c>
    </row>
    <row r="1248" spans="1:22" hidden="1" x14ac:dyDescent="0.25">
      <c r="A1248" s="146">
        <v>322</v>
      </c>
      <c r="B1248" s="60">
        <v>42576</v>
      </c>
      <c r="C1248" s="18">
        <v>103</v>
      </c>
      <c r="D1248" s="18">
        <v>3000032219</v>
      </c>
      <c r="E1248" s="18" t="s">
        <v>202</v>
      </c>
      <c r="F1248" s="18">
        <v>98</v>
      </c>
      <c r="G1248" s="61">
        <v>42565</v>
      </c>
      <c r="H1248" s="61"/>
      <c r="I1248" s="61">
        <v>42568</v>
      </c>
      <c r="J1248" s="18" t="s">
        <v>61</v>
      </c>
      <c r="K1248" s="149">
        <v>16.02</v>
      </c>
      <c r="L1248" s="18">
        <v>15.99</v>
      </c>
      <c r="M1248" s="18">
        <f t="shared" si="153"/>
        <v>15.99</v>
      </c>
      <c r="N1248" s="62">
        <f t="shared" si="156"/>
        <v>42587</v>
      </c>
      <c r="O1248" s="18">
        <v>1257570</v>
      </c>
      <c r="P1248" s="38">
        <f t="shared" si="157"/>
        <v>1255215</v>
      </c>
      <c r="Q1248" s="178">
        <v>42614</v>
      </c>
      <c r="R1248" s="66">
        <v>42615</v>
      </c>
      <c r="S1248" s="113">
        <f t="shared" si="155"/>
        <v>28</v>
      </c>
    </row>
    <row r="1249" spans="1:19" s="41" customFormat="1" hidden="1" x14ac:dyDescent="0.25">
      <c r="A1249" s="146">
        <v>243</v>
      </c>
      <c r="B1249" s="60">
        <v>42569</v>
      </c>
      <c r="C1249" s="18">
        <v>103</v>
      </c>
      <c r="D1249" s="18">
        <v>3000032075</v>
      </c>
      <c r="E1249" s="18" t="s">
        <v>215</v>
      </c>
      <c r="F1249" s="18">
        <v>96</v>
      </c>
      <c r="G1249" s="61">
        <v>42558</v>
      </c>
      <c r="H1249" s="61"/>
      <c r="I1249" s="61">
        <v>42565</v>
      </c>
      <c r="J1249" s="18" t="s">
        <v>61</v>
      </c>
      <c r="K1249" s="149">
        <v>16.149999999999999</v>
      </c>
      <c r="L1249" s="18">
        <v>16.14</v>
      </c>
      <c r="M1249" s="18">
        <f t="shared" si="153"/>
        <v>16.14</v>
      </c>
      <c r="N1249" s="62">
        <f t="shared" si="156"/>
        <v>42584</v>
      </c>
      <c r="O1249" s="18">
        <v>1282310</v>
      </c>
      <c r="P1249" s="38">
        <f t="shared" si="157"/>
        <v>1281516</v>
      </c>
      <c r="Q1249" s="178">
        <v>42614</v>
      </c>
      <c r="R1249" s="66">
        <v>42615</v>
      </c>
      <c r="S1249" s="113">
        <f t="shared" si="155"/>
        <v>31</v>
      </c>
    </row>
    <row r="1250" spans="1:19" s="41" customFormat="1" hidden="1" x14ac:dyDescent="0.25">
      <c r="A1250" s="146">
        <v>244</v>
      </c>
      <c r="B1250" s="60">
        <v>42569</v>
      </c>
      <c r="C1250" s="18">
        <v>103</v>
      </c>
      <c r="D1250" s="18">
        <v>3000031718</v>
      </c>
      <c r="E1250" s="18" t="s">
        <v>192</v>
      </c>
      <c r="F1250" s="18">
        <v>18</v>
      </c>
      <c r="G1250" s="61">
        <v>42560</v>
      </c>
      <c r="H1250" s="61"/>
      <c r="I1250" s="61">
        <v>42565</v>
      </c>
      <c r="J1250" s="18" t="s">
        <v>61</v>
      </c>
      <c r="K1250" s="149">
        <v>20</v>
      </c>
      <c r="L1250" s="18">
        <v>19.98</v>
      </c>
      <c r="M1250" s="18">
        <f t="shared" si="153"/>
        <v>19.98</v>
      </c>
      <c r="N1250" s="62">
        <f t="shared" si="156"/>
        <v>42584</v>
      </c>
      <c r="O1250" s="18">
        <v>1630000</v>
      </c>
      <c r="P1250" s="38">
        <f t="shared" si="157"/>
        <v>1628370</v>
      </c>
      <c r="Q1250" s="178">
        <v>42614</v>
      </c>
      <c r="R1250" s="66">
        <v>42615</v>
      </c>
      <c r="S1250" s="113">
        <f t="shared" si="155"/>
        <v>31</v>
      </c>
    </row>
    <row r="1251" spans="1:19" s="41" customFormat="1" hidden="1" x14ac:dyDescent="0.25">
      <c r="A1251" s="146">
        <v>333</v>
      </c>
      <c r="B1251" s="60">
        <v>42576</v>
      </c>
      <c r="C1251" s="18">
        <v>103</v>
      </c>
      <c r="D1251" s="18">
        <v>3000032221</v>
      </c>
      <c r="E1251" s="18" t="s">
        <v>192</v>
      </c>
      <c r="F1251" s="18">
        <v>21</v>
      </c>
      <c r="G1251" s="61">
        <v>42564</v>
      </c>
      <c r="H1251" s="61"/>
      <c r="I1251" s="61">
        <v>42571</v>
      </c>
      <c r="J1251" s="18" t="s">
        <v>61</v>
      </c>
      <c r="K1251" s="149">
        <v>20.05</v>
      </c>
      <c r="L1251" s="18">
        <v>19.98</v>
      </c>
      <c r="M1251" s="18">
        <f t="shared" si="153"/>
        <v>19.98</v>
      </c>
      <c r="N1251" s="62">
        <f t="shared" si="156"/>
        <v>42590</v>
      </c>
      <c r="O1251" s="18">
        <v>1573930</v>
      </c>
      <c r="P1251" s="38">
        <f t="shared" si="157"/>
        <v>1568434.9825436408</v>
      </c>
      <c r="Q1251" s="178">
        <v>42614</v>
      </c>
      <c r="R1251" s="66">
        <v>42615</v>
      </c>
      <c r="S1251" s="113">
        <f t="shared" si="155"/>
        <v>25</v>
      </c>
    </row>
    <row r="1252" spans="1:19" s="41" customFormat="1" hidden="1" x14ac:dyDescent="0.25">
      <c r="A1252" s="146">
        <v>395</v>
      </c>
      <c r="B1252" s="60">
        <v>42578</v>
      </c>
      <c r="C1252" s="18">
        <v>103</v>
      </c>
      <c r="D1252" s="18">
        <v>3000032056</v>
      </c>
      <c r="E1252" s="18" t="s">
        <v>225</v>
      </c>
      <c r="F1252" s="18">
        <v>65</v>
      </c>
      <c r="G1252" s="61">
        <v>42568</v>
      </c>
      <c r="H1252" s="61"/>
      <c r="I1252" s="61">
        <v>42575</v>
      </c>
      <c r="J1252" s="18" t="s">
        <v>61</v>
      </c>
      <c r="K1252" s="149">
        <v>20.21</v>
      </c>
      <c r="L1252" s="18">
        <v>20.149999999999999</v>
      </c>
      <c r="M1252" s="18">
        <f t="shared" si="153"/>
        <v>20.149999999999999</v>
      </c>
      <c r="N1252" s="62">
        <f>+I1252+10-1</f>
        <v>42584</v>
      </c>
      <c r="O1252" s="18">
        <v>1602653</v>
      </c>
      <c r="P1252" s="38">
        <f t="shared" si="157"/>
        <v>1597895</v>
      </c>
      <c r="Q1252" s="178">
        <v>42614</v>
      </c>
      <c r="R1252" s="66">
        <v>42615</v>
      </c>
      <c r="S1252" s="113">
        <f t="shared" si="155"/>
        <v>31</v>
      </c>
    </row>
    <row r="1253" spans="1:19" hidden="1" x14ac:dyDescent="0.25">
      <c r="A1253" s="146">
        <v>329</v>
      </c>
      <c r="B1253" s="60">
        <v>42576</v>
      </c>
      <c r="C1253" s="18">
        <v>103</v>
      </c>
      <c r="D1253" s="18">
        <v>3000031817</v>
      </c>
      <c r="E1253" s="18" t="s">
        <v>158</v>
      </c>
      <c r="F1253" s="18">
        <v>45</v>
      </c>
      <c r="G1253" s="61">
        <v>42557</v>
      </c>
      <c r="H1253" s="61"/>
      <c r="I1253" s="61">
        <v>42570</v>
      </c>
      <c r="J1253" s="18" t="s">
        <v>61</v>
      </c>
      <c r="K1253" s="149">
        <v>20.65</v>
      </c>
      <c r="L1253" s="18">
        <v>20.58</v>
      </c>
      <c r="M1253" s="18">
        <f t="shared" si="153"/>
        <v>20.58</v>
      </c>
      <c r="N1253" s="62">
        <f t="shared" ref="N1253:N1264" si="158">+I1253+20-1</f>
        <v>42589</v>
      </c>
      <c r="O1253" s="18">
        <v>1666504</v>
      </c>
      <c r="P1253" s="38">
        <f t="shared" si="157"/>
        <v>1660854.8338983052</v>
      </c>
      <c r="Q1253" s="178">
        <v>42614</v>
      </c>
      <c r="R1253" s="66">
        <v>42615</v>
      </c>
      <c r="S1253" s="113">
        <f t="shared" si="155"/>
        <v>26</v>
      </c>
    </row>
    <row r="1254" spans="1:19" hidden="1" x14ac:dyDescent="0.25">
      <c r="A1254" s="146">
        <v>304</v>
      </c>
      <c r="B1254" s="60">
        <v>42572</v>
      </c>
      <c r="C1254" s="18">
        <v>103</v>
      </c>
      <c r="D1254" s="18">
        <v>3000031817</v>
      </c>
      <c r="E1254" s="18" t="s">
        <v>158</v>
      </c>
      <c r="F1254" s="18">
        <v>48</v>
      </c>
      <c r="G1254" s="61">
        <v>42562</v>
      </c>
      <c r="H1254" s="61"/>
      <c r="I1254" s="61">
        <v>42566</v>
      </c>
      <c r="J1254" s="18" t="s">
        <v>61</v>
      </c>
      <c r="K1254" s="149">
        <v>25.18</v>
      </c>
      <c r="L1254" s="18">
        <v>25.12</v>
      </c>
      <c r="M1254" s="18">
        <f t="shared" si="153"/>
        <v>25.12</v>
      </c>
      <c r="N1254" s="62">
        <f t="shared" si="158"/>
        <v>42585</v>
      </c>
      <c r="O1254" s="18">
        <v>2032087</v>
      </c>
      <c r="P1254" s="38">
        <f t="shared" si="157"/>
        <v>2027244.8546465451</v>
      </c>
      <c r="Q1254" s="178">
        <v>42614</v>
      </c>
      <c r="R1254" s="66">
        <v>42615</v>
      </c>
      <c r="S1254" s="113">
        <f t="shared" si="155"/>
        <v>30</v>
      </c>
    </row>
    <row r="1255" spans="1:19" hidden="1" x14ac:dyDescent="0.25">
      <c r="A1255" s="146">
        <v>330</v>
      </c>
      <c r="B1255" s="60">
        <v>42576</v>
      </c>
      <c r="C1255" s="18">
        <v>103</v>
      </c>
      <c r="D1255" s="18">
        <v>3000031817</v>
      </c>
      <c r="E1255" s="18" t="s">
        <v>158</v>
      </c>
      <c r="F1255" s="18">
        <v>49</v>
      </c>
      <c r="G1255" s="61">
        <v>42566</v>
      </c>
      <c r="H1255" s="61"/>
      <c r="I1255" s="61">
        <v>42570</v>
      </c>
      <c r="J1255" s="18" t="s">
        <v>61</v>
      </c>
      <c r="K1255" s="149">
        <v>20.47</v>
      </c>
      <c r="L1255" s="18">
        <v>20.46</v>
      </c>
      <c r="M1255" s="18">
        <f t="shared" si="153"/>
        <v>20.46</v>
      </c>
      <c r="N1255" s="62">
        <f t="shared" si="158"/>
        <v>42589</v>
      </c>
      <c r="O1255" s="18">
        <v>1651978</v>
      </c>
      <c r="P1255" s="38">
        <f t="shared" si="157"/>
        <v>1651170.9760625307</v>
      </c>
      <c r="Q1255" s="178">
        <v>42614</v>
      </c>
      <c r="R1255" s="66">
        <v>42615</v>
      </c>
      <c r="S1255" s="113">
        <f t="shared" si="155"/>
        <v>26</v>
      </c>
    </row>
    <row r="1256" spans="1:19" hidden="1" x14ac:dyDescent="0.25">
      <c r="A1256" s="146">
        <v>375</v>
      </c>
      <c r="B1256" s="60">
        <v>42578</v>
      </c>
      <c r="C1256" s="18">
        <v>103</v>
      </c>
      <c r="D1256" s="18">
        <v>3000032068</v>
      </c>
      <c r="E1256" s="18" t="s">
        <v>158</v>
      </c>
      <c r="F1256" s="18">
        <v>50</v>
      </c>
      <c r="G1256" s="61">
        <v>42568</v>
      </c>
      <c r="H1256" s="61"/>
      <c r="I1256" s="61">
        <v>42573</v>
      </c>
      <c r="J1256" s="18" t="s">
        <v>61</v>
      </c>
      <c r="K1256" s="149">
        <v>20.07</v>
      </c>
      <c r="L1256" s="18">
        <v>19.96</v>
      </c>
      <c r="M1256" s="18">
        <f t="shared" si="153"/>
        <v>19.96</v>
      </c>
      <c r="N1256" s="62">
        <f t="shared" si="158"/>
        <v>42592</v>
      </c>
      <c r="O1256" s="18">
        <v>1600659</v>
      </c>
      <c r="P1256" s="38">
        <f t="shared" si="157"/>
        <v>1591886.0807174889</v>
      </c>
      <c r="Q1256" s="178">
        <v>42614</v>
      </c>
      <c r="R1256" s="66">
        <v>42615</v>
      </c>
      <c r="S1256" s="113">
        <f t="shared" si="155"/>
        <v>23</v>
      </c>
    </row>
    <row r="1257" spans="1:19" s="41" customFormat="1" hidden="1" x14ac:dyDescent="0.25">
      <c r="A1257" s="146">
        <v>305</v>
      </c>
      <c r="B1257" s="60">
        <v>42572</v>
      </c>
      <c r="C1257" s="18">
        <v>103</v>
      </c>
      <c r="D1257" s="18">
        <v>3000031310</v>
      </c>
      <c r="E1257" s="18" t="s">
        <v>145</v>
      </c>
      <c r="F1257" s="18">
        <v>40</v>
      </c>
      <c r="G1257" s="61">
        <v>42551</v>
      </c>
      <c r="H1257" s="61"/>
      <c r="I1257" s="61">
        <v>42566</v>
      </c>
      <c r="J1257" s="18" t="s">
        <v>61</v>
      </c>
      <c r="K1257" s="149">
        <v>25.57</v>
      </c>
      <c r="L1257" s="18">
        <v>25.48</v>
      </c>
      <c r="M1257" s="18">
        <f t="shared" si="153"/>
        <v>25.48</v>
      </c>
      <c r="N1257" s="62">
        <f t="shared" si="158"/>
        <v>42585</v>
      </c>
      <c r="O1257" s="18">
        <v>2033046</v>
      </c>
      <c r="P1257" s="38">
        <f t="shared" si="157"/>
        <v>2025890.1869378176</v>
      </c>
      <c r="Q1257" s="178">
        <v>42614</v>
      </c>
      <c r="R1257" s="66">
        <v>42615</v>
      </c>
      <c r="S1257" s="113">
        <f t="shared" si="155"/>
        <v>30</v>
      </c>
    </row>
    <row r="1258" spans="1:19" s="41" customFormat="1" hidden="1" x14ac:dyDescent="0.25">
      <c r="A1258" s="146">
        <v>343</v>
      </c>
      <c r="B1258" s="60">
        <v>42576</v>
      </c>
      <c r="C1258" s="18">
        <v>103</v>
      </c>
      <c r="D1258" s="18">
        <v>3000031310</v>
      </c>
      <c r="E1258" s="18" t="s">
        <v>145</v>
      </c>
      <c r="F1258" s="18">
        <v>41</v>
      </c>
      <c r="G1258" s="61">
        <v>42551</v>
      </c>
      <c r="H1258" s="61"/>
      <c r="I1258" s="61">
        <v>42571</v>
      </c>
      <c r="J1258" s="18" t="s">
        <v>61</v>
      </c>
      <c r="K1258" s="149">
        <v>19.579999999999998</v>
      </c>
      <c r="L1258" s="18">
        <v>19.55</v>
      </c>
      <c r="M1258" s="18">
        <f t="shared" si="153"/>
        <v>19.55</v>
      </c>
      <c r="N1258" s="62">
        <f t="shared" si="158"/>
        <v>42590</v>
      </c>
      <c r="O1258" s="18">
        <v>1556786</v>
      </c>
      <c r="P1258" s="38">
        <f t="shared" si="157"/>
        <v>1554400.7303370787</v>
      </c>
      <c r="Q1258" s="178">
        <v>42614</v>
      </c>
      <c r="R1258" s="66">
        <v>42615</v>
      </c>
      <c r="S1258" s="113">
        <f t="shared" si="155"/>
        <v>25</v>
      </c>
    </row>
    <row r="1259" spans="1:19" s="41" customFormat="1" hidden="1" x14ac:dyDescent="0.25">
      <c r="A1259" s="146">
        <v>306</v>
      </c>
      <c r="B1259" s="60">
        <v>42572</v>
      </c>
      <c r="C1259" s="18">
        <v>103</v>
      </c>
      <c r="D1259" s="18">
        <v>3000032200</v>
      </c>
      <c r="E1259" s="18" t="s">
        <v>146</v>
      </c>
      <c r="F1259" s="18">
        <v>1141</v>
      </c>
      <c r="G1259" s="61">
        <v>42562</v>
      </c>
      <c r="H1259" s="61"/>
      <c r="I1259" s="61">
        <v>42566</v>
      </c>
      <c r="J1259" s="18" t="s">
        <v>61</v>
      </c>
      <c r="K1259" s="149">
        <v>19.98</v>
      </c>
      <c r="L1259" s="18">
        <v>19.940000000000001</v>
      </c>
      <c r="M1259" s="18">
        <f t="shared" si="153"/>
        <v>19.940000000000001</v>
      </c>
      <c r="N1259" s="62">
        <f t="shared" si="158"/>
        <v>42585</v>
      </c>
      <c r="O1259" s="18">
        <v>1568430</v>
      </c>
      <c r="P1259" s="38">
        <f t="shared" si="157"/>
        <v>1565290</v>
      </c>
      <c r="Q1259" s="178">
        <v>42614</v>
      </c>
      <c r="R1259" s="66">
        <v>42615</v>
      </c>
      <c r="S1259" s="113">
        <f t="shared" si="155"/>
        <v>30</v>
      </c>
    </row>
    <row r="1260" spans="1:19" s="41" customFormat="1" hidden="1" x14ac:dyDescent="0.25">
      <c r="A1260" s="146">
        <v>317</v>
      </c>
      <c r="B1260" s="60">
        <v>42576</v>
      </c>
      <c r="C1260" s="18">
        <v>103</v>
      </c>
      <c r="D1260" s="18">
        <v>3000032200</v>
      </c>
      <c r="E1260" s="18" t="s">
        <v>146</v>
      </c>
      <c r="F1260" s="18">
        <v>1146</v>
      </c>
      <c r="G1260" s="61">
        <v>42565</v>
      </c>
      <c r="H1260" s="61"/>
      <c r="I1260" s="61">
        <v>42570</v>
      </c>
      <c r="J1260" s="18" t="s">
        <v>61</v>
      </c>
      <c r="K1260" s="149">
        <v>19.940000000000001</v>
      </c>
      <c r="L1260" s="18">
        <v>19.88</v>
      </c>
      <c r="M1260" s="18">
        <f t="shared" si="153"/>
        <v>19.88</v>
      </c>
      <c r="N1260" s="62">
        <f t="shared" si="158"/>
        <v>42589</v>
      </c>
      <c r="O1260" s="18">
        <v>1565290</v>
      </c>
      <c r="P1260" s="38">
        <f t="shared" si="157"/>
        <v>1560580</v>
      </c>
      <c r="Q1260" s="178">
        <v>42614</v>
      </c>
      <c r="R1260" s="66">
        <v>42615</v>
      </c>
      <c r="S1260" s="113">
        <f t="shared" si="155"/>
        <v>26</v>
      </c>
    </row>
    <row r="1261" spans="1:19" s="3" customFormat="1" hidden="1" x14ac:dyDescent="0.25">
      <c r="A1261" s="146">
        <v>308</v>
      </c>
      <c r="B1261" s="60">
        <v>42572</v>
      </c>
      <c r="C1261" s="18">
        <v>103</v>
      </c>
      <c r="D1261" s="18">
        <v>3000032442</v>
      </c>
      <c r="E1261" s="18" t="s">
        <v>261</v>
      </c>
      <c r="F1261" s="18">
        <v>28</v>
      </c>
      <c r="G1261" s="61">
        <v>42562</v>
      </c>
      <c r="H1261" s="61"/>
      <c r="I1261" s="61">
        <v>42566</v>
      </c>
      <c r="J1261" s="18" t="s">
        <v>61</v>
      </c>
      <c r="K1261" s="149">
        <v>20.29</v>
      </c>
      <c r="L1261" s="18">
        <v>20.260000000000002</v>
      </c>
      <c r="M1261" s="18">
        <f t="shared" si="153"/>
        <v>20.260000000000002</v>
      </c>
      <c r="N1261" s="62">
        <f t="shared" si="158"/>
        <v>42585</v>
      </c>
      <c r="O1261" s="18">
        <v>1572475</v>
      </c>
      <c r="P1261" s="38">
        <f t="shared" si="157"/>
        <v>1570150.0000000002</v>
      </c>
      <c r="Q1261" s="178">
        <v>42614</v>
      </c>
      <c r="R1261" s="66">
        <v>42619</v>
      </c>
      <c r="S1261" s="113">
        <f t="shared" si="155"/>
        <v>34</v>
      </c>
    </row>
    <row r="1262" spans="1:19" hidden="1" x14ac:dyDescent="0.25">
      <c r="A1262" s="146">
        <v>309</v>
      </c>
      <c r="B1262" s="60">
        <v>42572</v>
      </c>
      <c r="C1262" s="18">
        <v>103</v>
      </c>
      <c r="D1262" s="18">
        <v>3000032069</v>
      </c>
      <c r="E1262" s="18" t="s">
        <v>171</v>
      </c>
      <c r="F1262" s="18">
        <v>21</v>
      </c>
      <c r="G1262" s="61">
        <v>42561</v>
      </c>
      <c r="H1262" s="61"/>
      <c r="I1262" s="61">
        <v>42566</v>
      </c>
      <c r="J1262" s="18" t="s">
        <v>61</v>
      </c>
      <c r="K1262" s="149">
        <v>20.16</v>
      </c>
      <c r="L1262" s="18">
        <v>20.13</v>
      </c>
      <c r="M1262" s="18">
        <f t="shared" si="153"/>
        <v>20.13</v>
      </c>
      <c r="N1262" s="62">
        <f t="shared" si="158"/>
        <v>42585</v>
      </c>
      <c r="O1262" s="18">
        <v>1607836</v>
      </c>
      <c r="P1262" s="38">
        <f t="shared" si="157"/>
        <v>1605443.3869047617</v>
      </c>
      <c r="Q1262" s="178">
        <v>42614</v>
      </c>
      <c r="R1262" s="66">
        <v>42615</v>
      </c>
      <c r="S1262" s="113">
        <f t="shared" si="155"/>
        <v>30</v>
      </c>
    </row>
    <row r="1263" spans="1:19" hidden="1" x14ac:dyDescent="0.25">
      <c r="A1263" s="146">
        <v>311</v>
      </c>
      <c r="B1263" s="60">
        <v>42572</v>
      </c>
      <c r="C1263" s="18">
        <v>103</v>
      </c>
      <c r="D1263" s="18">
        <v>3000032069</v>
      </c>
      <c r="E1263" s="18" t="s">
        <v>171</v>
      </c>
      <c r="F1263" s="18">
        <v>22</v>
      </c>
      <c r="G1263" s="61">
        <v>42563</v>
      </c>
      <c r="H1263" s="61"/>
      <c r="I1263" s="61">
        <v>42567</v>
      </c>
      <c r="J1263" s="18" t="s">
        <v>61</v>
      </c>
      <c r="K1263" s="149">
        <v>20.25</v>
      </c>
      <c r="L1263" s="18">
        <v>20.170000000000002</v>
      </c>
      <c r="M1263" s="18">
        <f t="shared" si="153"/>
        <v>20.170000000000002</v>
      </c>
      <c r="N1263" s="62">
        <f t="shared" si="158"/>
        <v>42586</v>
      </c>
      <c r="O1263" s="18">
        <v>1615015</v>
      </c>
      <c r="P1263" s="38">
        <f t="shared" si="157"/>
        <v>1608634.6938271604</v>
      </c>
      <c r="Q1263" s="178">
        <v>42614</v>
      </c>
      <c r="R1263" s="66">
        <v>42615</v>
      </c>
      <c r="S1263" s="113">
        <f t="shared" ref="S1263:S1294" si="159">R1263-N1263</f>
        <v>29</v>
      </c>
    </row>
    <row r="1264" spans="1:19" hidden="1" x14ac:dyDescent="0.25">
      <c r="A1264" s="146">
        <v>385</v>
      </c>
      <c r="B1264" s="60">
        <v>42578</v>
      </c>
      <c r="C1264" s="18">
        <v>103</v>
      </c>
      <c r="D1264" s="18">
        <v>3000032082</v>
      </c>
      <c r="E1264" s="18" t="s">
        <v>171</v>
      </c>
      <c r="F1264" s="18">
        <v>25</v>
      </c>
      <c r="G1264" s="61">
        <v>42569</v>
      </c>
      <c r="H1264" s="61"/>
      <c r="I1264" s="61">
        <v>42573</v>
      </c>
      <c r="J1264" s="18" t="s">
        <v>61</v>
      </c>
      <c r="K1264" s="149">
        <v>16.62</v>
      </c>
      <c r="L1264" s="18">
        <v>16.62</v>
      </c>
      <c r="M1264" s="18">
        <f t="shared" si="153"/>
        <v>16.62</v>
      </c>
      <c r="N1264" s="62">
        <f t="shared" si="158"/>
        <v>42592</v>
      </c>
      <c r="O1264" s="18">
        <v>1319575</v>
      </c>
      <c r="P1264" s="38">
        <f t="shared" si="157"/>
        <v>1319575</v>
      </c>
      <c r="Q1264" s="178">
        <v>42614</v>
      </c>
      <c r="R1264" s="66">
        <v>42615</v>
      </c>
      <c r="S1264" s="113">
        <f t="shared" si="159"/>
        <v>23</v>
      </c>
    </row>
    <row r="1265" spans="1:19" hidden="1" x14ac:dyDescent="0.25">
      <c r="A1265" s="146">
        <v>357</v>
      </c>
      <c r="B1265" s="60">
        <v>42577</v>
      </c>
      <c r="C1265" s="18">
        <v>114</v>
      </c>
      <c r="D1265" s="18">
        <v>3000031365</v>
      </c>
      <c r="E1265" s="18" t="s">
        <v>15</v>
      </c>
      <c r="F1265" s="18">
        <v>3110</v>
      </c>
      <c r="G1265" s="61">
        <v>42567</v>
      </c>
      <c r="H1265" s="61"/>
      <c r="I1265" s="61">
        <v>42571</v>
      </c>
      <c r="J1265" s="18" t="s">
        <v>8</v>
      </c>
      <c r="K1265" s="149">
        <v>26.9</v>
      </c>
      <c r="L1265" s="18">
        <v>26.78</v>
      </c>
      <c r="M1265" s="18">
        <f t="shared" si="153"/>
        <v>26.78</v>
      </c>
      <c r="N1265" s="62">
        <f t="shared" ref="N1265:N1270" si="160">+I1265+15-1</f>
        <v>42585</v>
      </c>
      <c r="O1265" s="18">
        <v>1433770</v>
      </c>
      <c r="P1265" s="38">
        <f t="shared" si="157"/>
        <v>1427374</v>
      </c>
      <c r="Q1265" s="178">
        <v>42614</v>
      </c>
      <c r="R1265" s="66">
        <v>42615</v>
      </c>
      <c r="S1265" s="113">
        <f t="shared" si="159"/>
        <v>30</v>
      </c>
    </row>
    <row r="1266" spans="1:19" hidden="1" x14ac:dyDescent="0.25">
      <c r="A1266" s="146">
        <v>358</v>
      </c>
      <c r="B1266" s="60">
        <v>42577</v>
      </c>
      <c r="C1266" s="18">
        <v>114</v>
      </c>
      <c r="D1266" s="18">
        <v>3000031365</v>
      </c>
      <c r="E1266" s="18" t="s">
        <v>15</v>
      </c>
      <c r="F1266" s="18">
        <v>3111</v>
      </c>
      <c r="G1266" s="61">
        <v>42567</v>
      </c>
      <c r="H1266" s="61"/>
      <c r="I1266" s="61">
        <v>42571</v>
      </c>
      <c r="J1266" s="18" t="s">
        <v>8</v>
      </c>
      <c r="K1266" s="149">
        <v>20.21</v>
      </c>
      <c r="L1266" s="18">
        <v>20.149999999999999</v>
      </c>
      <c r="M1266" s="18">
        <f t="shared" si="153"/>
        <v>20.149999999999999</v>
      </c>
      <c r="N1266" s="62">
        <f t="shared" si="160"/>
        <v>42585</v>
      </c>
      <c r="O1266" s="18">
        <v>1077193</v>
      </c>
      <c r="P1266" s="38">
        <f t="shared" si="157"/>
        <v>1073995</v>
      </c>
      <c r="Q1266" s="178">
        <v>42614</v>
      </c>
      <c r="R1266" s="66">
        <v>42615</v>
      </c>
      <c r="S1266" s="113">
        <f t="shared" si="159"/>
        <v>30</v>
      </c>
    </row>
    <row r="1267" spans="1:19" hidden="1" x14ac:dyDescent="0.25">
      <c r="A1267" s="146">
        <v>361</v>
      </c>
      <c r="B1267" s="60">
        <v>42577</v>
      </c>
      <c r="C1267" s="18">
        <v>114</v>
      </c>
      <c r="D1267" s="18">
        <v>3000030991</v>
      </c>
      <c r="E1267" s="18" t="s">
        <v>15</v>
      </c>
      <c r="F1267" s="18">
        <v>3114</v>
      </c>
      <c r="G1267" s="61">
        <v>42569</v>
      </c>
      <c r="H1267" s="61"/>
      <c r="I1267" s="61">
        <v>42572</v>
      </c>
      <c r="J1267" s="18" t="s">
        <v>16</v>
      </c>
      <c r="K1267" s="149">
        <v>29.274999999999999</v>
      </c>
      <c r="L1267" s="18">
        <v>29.22</v>
      </c>
      <c r="M1267" s="18">
        <f t="shared" si="153"/>
        <v>29.22</v>
      </c>
      <c r="N1267" s="62">
        <f t="shared" si="160"/>
        <v>42586</v>
      </c>
      <c r="O1267" s="18">
        <v>1434475</v>
      </c>
      <c r="P1267" s="38">
        <f t="shared" si="157"/>
        <v>1431780</v>
      </c>
      <c r="Q1267" s="178">
        <v>42614</v>
      </c>
      <c r="R1267" s="66">
        <v>42615</v>
      </c>
      <c r="S1267" s="113">
        <f t="shared" si="159"/>
        <v>29</v>
      </c>
    </row>
    <row r="1268" spans="1:19" hidden="1" x14ac:dyDescent="0.25">
      <c r="A1268" s="146">
        <v>367</v>
      </c>
      <c r="B1268" s="60">
        <v>42577</v>
      </c>
      <c r="C1268" s="18">
        <v>114</v>
      </c>
      <c r="D1268" s="18">
        <v>3000031336</v>
      </c>
      <c r="E1268" s="18" t="s">
        <v>29</v>
      </c>
      <c r="F1268" s="18">
        <v>126</v>
      </c>
      <c r="G1268" s="61">
        <v>42566</v>
      </c>
      <c r="H1268" s="61"/>
      <c r="I1268" s="61">
        <v>42571</v>
      </c>
      <c r="J1268" s="18" t="s">
        <v>8</v>
      </c>
      <c r="K1268" s="149">
        <v>26.77</v>
      </c>
      <c r="L1268" s="18">
        <v>26.65</v>
      </c>
      <c r="M1268" s="18">
        <f t="shared" si="153"/>
        <v>26.65</v>
      </c>
      <c r="N1268" s="62">
        <f t="shared" si="160"/>
        <v>42585</v>
      </c>
      <c r="O1268" s="18">
        <v>1432195</v>
      </c>
      <c r="P1268" s="38">
        <f t="shared" si="157"/>
        <v>1425775</v>
      </c>
      <c r="Q1268" s="178">
        <v>42614</v>
      </c>
      <c r="R1268" s="66">
        <v>42615</v>
      </c>
      <c r="S1268" s="113">
        <f t="shared" si="159"/>
        <v>30</v>
      </c>
    </row>
    <row r="1269" spans="1:19" hidden="1" x14ac:dyDescent="0.25">
      <c r="A1269" s="146">
        <v>471</v>
      </c>
      <c r="B1269" s="60">
        <v>42586</v>
      </c>
      <c r="C1269" s="18">
        <v>114</v>
      </c>
      <c r="D1269" s="18">
        <v>3000030896</v>
      </c>
      <c r="E1269" s="18" t="s">
        <v>29</v>
      </c>
      <c r="F1269" s="154">
        <v>133</v>
      </c>
      <c r="G1269" s="61">
        <v>42573</v>
      </c>
      <c r="H1269" s="61"/>
      <c r="I1269" s="61">
        <v>42577</v>
      </c>
      <c r="J1269" s="18" t="s">
        <v>16</v>
      </c>
      <c r="K1269" s="149">
        <v>5.88</v>
      </c>
      <c r="L1269" s="18">
        <v>5.78</v>
      </c>
      <c r="M1269" s="18">
        <f t="shared" si="153"/>
        <v>5.78</v>
      </c>
      <c r="N1269" s="62">
        <f t="shared" si="160"/>
        <v>42591</v>
      </c>
      <c r="O1269" s="18">
        <v>295764</v>
      </c>
      <c r="P1269" s="38">
        <f t="shared" si="157"/>
        <v>290734</v>
      </c>
      <c r="Q1269" s="178">
        <v>42614</v>
      </c>
      <c r="R1269" s="66">
        <v>42615</v>
      </c>
      <c r="S1269" s="113">
        <f t="shared" si="159"/>
        <v>24</v>
      </c>
    </row>
    <row r="1270" spans="1:19" hidden="1" x14ac:dyDescent="0.25">
      <c r="A1270" s="146">
        <v>470</v>
      </c>
      <c r="B1270" s="60">
        <v>42586</v>
      </c>
      <c r="C1270" s="18">
        <v>114</v>
      </c>
      <c r="D1270" s="18">
        <v>3000030986</v>
      </c>
      <c r="E1270" s="18" t="s">
        <v>29</v>
      </c>
      <c r="F1270" s="154">
        <v>134</v>
      </c>
      <c r="G1270" s="61">
        <v>42573</v>
      </c>
      <c r="H1270" s="61"/>
      <c r="I1270" s="61">
        <v>42577</v>
      </c>
      <c r="J1270" s="18" t="s">
        <v>16</v>
      </c>
      <c r="K1270" s="149">
        <v>22.63</v>
      </c>
      <c r="L1270" s="18">
        <v>22.63</v>
      </c>
      <c r="M1270" s="18">
        <f t="shared" si="153"/>
        <v>22.63</v>
      </c>
      <c r="N1270" s="62">
        <f t="shared" si="160"/>
        <v>42591</v>
      </c>
      <c r="O1270" s="18">
        <v>1108870</v>
      </c>
      <c r="P1270" s="38">
        <f t="shared" si="157"/>
        <v>1108870</v>
      </c>
      <c r="Q1270" s="178">
        <v>42614</v>
      </c>
      <c r="R1270" s="66">
        <v>42615</v>
      </c>
      <c r="S1270" s="113">
        <f t="shared" si="159"/>
        <v>24</v>
      </c>
    </row>
    <row r="1271" spans="1:19" s="3" customFormat="1" hidden="1" x14ac:dyDescent="0.25">
      <c r="A1271" s="146">
        <v>312</v>
      </c>
      <c r="B1271" s="60">
        <v>42572</v>
      </c>
      <c r="C1271" s="18">
        <v>103</v>
      </c>
      <c r="D1271" s="18">
        <v>3000032284</v>
      </c>
      <c r="E1271" s="18" t="s">
        <v>262</v>
      </c>
      <c r="F1271" s="18">
        <v>42</v>
      </c>
      <c r="G1271" s="61">
        <v>42563</v>
      </c>
      <c r="H1271" s="61"/>
      <c r="I1271" s="61">
        <v>42567</v>
      </c>
      <c r="J1271" s="18" t="s">
        <v>61</v>
      </c>
      <c r="K1271" s="149">
        <v>20.41</v>
      </c>
      <c r="L1271" s="18">
        <v>20.329999999999998</v>
      </c>
      <c r="M1271" s="18">
        <f t="shared" si="153"/>
        <v>20.329999999999998</v>
      </c>
      <c r="N1271" s="62">
        <f>+I1271+20-1</f>
        <v>42586</v>
      </c>
      <c r="O1271" s="18">
        <v>1591980</v>
      </c>
      <c r="P1271" s="38">
        <f t="shared" si="157"/>
        <v>1585739.9999999998</v>
      </c>
      <c r="Q1271" s="178">
        <v>42614</v>
      </c>
      <c r="R1271" s="66">
        <v>42619</v>
      </c>
      <c r="S1271" s="113">
        <f t="shared" si="159"/>
        <v>33</v>
      </c>
    </row>
    <row r="1272" spans="1:19" s="41" customFormat="1" hidden="1" x14ac:dyDescent="0.25">
      <c r="A1272" s="146">
        <v>318</v>
      </c>
      <c r="B1272" s="60">
        <v>42576</v>
      </c>
      <c r="C1272" s="18">
        <v>103</v>
      </c>
      <c r="D1272" s="18">
        <v>3000032441</v>
      </c>
      <c r="E1272" s="18" t="s">
        <v>227</v>
      </c>
      <c r="F1272" s="18">
        <v>26</v>
      </c>
      <c r="G1272" s="61">
        <v>42562</v>
      </c>
      <c r="H1272" s="61"/>
      <c r="I1272" s="61">
        <v>42567</v>
      </c>
      <c r="J1272" s="18" t="s">
        <v>61</v>
      </c>
      <c r="K1272" s="149">
        <v>20.67</v>
      </c>
      <c r="L1272" s="18">
        <v>20.6</v>
      </c>
      <c r="M1272" s="18">
        <f t="shared" si="153"/>
        <v>20.6</v>
      </c>
      <c r="N1272" s="62">
        <f>+I1272+20-1</f>
        <v>42586</v>
      </c>
      <c r="O1272" s="18">
        <v>1601930</v>
      </c>
      <c r="P1272" s="38">
        <f t="shared" si="157"/>
        <v>1596504.9830672471</v>
      </c>
      <c r="Q1272" s="178">
        <v>42614</v>
      </c>
      <c r="R1272" s="66">
        <v>42615</v>
      </c>
      <c r="S1272" s="113">
        <f t="shared" si="159"/>
        <v>29</v>
      </c>
    </row>
    <row r="1273" spans="1:19" s="41" customFormat="1" hidden="1" x14ac:dyDescent="0.25">
      <c r="A1273" s="146">
        <v>368</v>
      </c>
      <c r="B1273" s="60">
        <v>42577</v>
      </c>
      <c r="C1273" s="18">
        <v>114</v>
      </c>
      <c r="D1273" s="18" t="s">
        <v>266</v>
      </c>
      <c r="E1273" s="18" t="s">
        <v>55</v>
      </c>
      <c r="F1273" s="18">
        <v>18</v>
      </c>
      <c r="G1273" s="61">
        <v>42569</v>
      </c>
      <c r="H1273" s="61"/>
      <c r="I1273" s="61">
        <v>42572</v>
      </c>
      <c r="J1273" s="18" t="s">
        <v>16</v>
      </c>
      <c r="K1273" s="149">
        <v>26.96</v>
      </c>
      <c r="L1273" s="18">
        <v>26.95</v>
      </c>
      <c r="M1273" s="18">
        <f t="shared" si="153"/>
        <v>26.95</v>
      </c>
      <c r="N1273" s="62">
        <f>+I1273+15-1</f>
        <v>42586</v>
      </c>
      <c r="O1273" s="18">
        <v>1321040</v>
      </c>
      <c r="P1273" s="38">
        <f t="shared" si="157"/>
        <v>1320550</v>
      </c>
      <c r="Q1273" s="178">
        <v>42614</v>
      </c>
      <c r="R1273" s="66">
        <v>42615</v>
      </c>
      <c r="S1273" s="113">
        <f t="shared" si="159"/>
        <v>29</v>
      </c>
    </row>
    <row r="1274" spans="1:19" hidden="1" x14ac:dyDescent="0.25">
      <c r="A1274" s="146">
        <v>313</v>
      </c>
      <c r="B1274" s="60">
        <v>42576</v>
      </c>
      <c r="C1274" s="18">
        <v>103</v>
      </c>
      <c r="D1274" s="18">
        <v>3000032066</v>
      </c>
      <c r="E1274" s="18" t="s">
        <v>182</v>
      </c>
      <c r="F1274" s="18">
        <v>51</v>
      </c>
      <c r="G1274" s="61">
        <v>42563</v>
      </c>
      <c r="H1274" s="61"/>
      <c r="I1274" s="61">
        <v>42568</v>
      </c>
      <c r="J1274" s="18" t="s">
        <v>61</v>
      </c>
      <c r="K1274" s="149">
        <v>19.98</v>
      </c>
      <c r="L1274" s="18">
        <v>19.89</v>
      </c>
      <c r="M1274" s="18">
        <f t="shared" si="153"/>
        <v>19.89</v>
      </c>
      <c r="N1274" s="62">
        <f>+I1274+20-1</f>
        <v>42587</v>
      </c>
      <c r="O1274" s="18">
        <v>1593405</v>
      </c>
      <c r="P1274" s="38">
        <f t="shared" si="157"/>
        <v>1586227.5</v>
      </c>
      <c r="Q1274" s="178">
        <v>42614</v>
      </c>
      <c r="R1274" s="66">
        <v>42615</v>
      </c>
      <c r="S1274" s="113">
        <f t="shared" si="159"/>
        <v>28</v>
      </c>
    </row>
    <row r="1275" spans="1:19" hidden="1" x14ac:dyDescent="0.25">
      <c r="A1275" s="146">
        <v>332</v>
      </c>
      <c r="B1275" s="60">
        <v>42576</v>
      </c>
      <c r="C1275" s="18">
        <v>103</v>
      </c>
      <c r="D1275" s="18">
        <v>3000032066</v>
      </c>
      <c r="E1275" s="18" t="s">
        <v>182</v>
      </c>
      <c r="F1275" s="18">
        <v>53</v>
      </c>
      <c r="G1275" s="61">
        <v>42567</v>
      </c>
      <c r="H1275" s="61"/>
      <c r="I1275" s="61">
        <v>42571</v>
      </c>
      <c r="J1275" s="18" t="s">
        <v>61</v>
      </c>
      <c r="K1275" s="149">
        <v>20.440000000000001</v>
      </c>
      <c r="L1275" s="18">
        <v>20.43</v>
      </c>
      <c r="M1275" s="18">
        <f t="shared" si="153"/>
        <v>20.43</v>
      </c>
      <c r="N1275" s="62">
        <f>+I1275+20-1</f>
        <v>42590</v>
      </c>
      <c r="O1275" s="18">
        <v>1630090</v>
      </c>
      <c r="P1275" s="38">
        <f t="shared" si="157"/>
        <v>1629292.5</v>
      </c>
      <c r="Q1275" s="178">
        <v>42614</v>
      </c>
      <c r="R1275" s="66">
        <v>42615</v>
      </c>
      <c r="S1275" s="113">
        <f t="shared" si="159"/>
        <v>25</v>
      </c>
    </row>
    <row r="1276" spans="1:19" hidden="1" x14ac:dyDescent="0.25">
      <c r="A1276" s="146">
        <v>316</v>
      </c>
      <c r="B1276" s="60">
        <v>42576</v>
      </c>
      <c r="C1276" s="18">
        <v>103</v>
      </c>
      <c r="D1276" s="18">
        <v>3000032081</v>
      </c>
      <c r="E1276" s="18" t="s">
        <v>201</v>
      </c>
      <c r="F1276" s="18">
        <v>109</v>
      </c>
      <c r="G1276" s="61">
        <v>42565</v>
      </c>
      <c r="H1276" s="61"/>
      <c r="I1276" s="61">
        <v>42568</v>
      </c>
      <c r="J1276" s="18" t="s">
        <v>61</v>
      </c>
      <c r="K1276" s="149">
        <v>20.03</v>
      </c>
      <c r="L1276" s="18">
        <v>19.98</v>
      </c>
      <c r="M1276" s="18">
        <f t="shared" si="153"/>
        <v>19.98</v>
      </c>
      <c r="N1276" s="62">
        <f>+I1276+20-1</f>
        <v>42587</v>
      </c>
      <c r="O1276" s="18">
        <v>1590381</v>
      </c>
      <c r="P1276" s="38">
        <f t="shared" si="157"/>
        <v>1586411.0024962556</v>
      </c>
      <c r="Q1276" s="178">
        <v>42614</v>
      </c>
      <c r="R1276" s="66">
        <v>42615</v>
      </c>
      <c r="S1276" s="113">
        <f t="shared" si="159"/>
        <v>28</v>
      </c>
    </row>
    <row r="1277" spans="1:19" hidden="1" x14ac:dyDescent="0.25">
      <c r="A1277" s="146">
        <v>603</v>
      </c>
      <c r="B1277" s="60">
        <v>42598</v>
      </c>
      <c r="C1277" s="18">
        <v>114</v>
      </c>
      <c r="D1277" s="18" t="s">
        <v>283</v>
      </c>
      <c r="E1277" s="18" t="s">
        <v>44</v>
      </c>
      <c r="F1277" s="154" t="s">
        <v>284</v>
      </c>
      <c r="G1277" s="61">
        <v>42587</v>
      </c>
      <c r="H1277" s="61"/>
      <c r="I1277" s="61">
        <v>42574</v>
      </c>
      <c r="J1277" s="18" t="s">
        <v>16</v>
      </c>
      <c r="K1277" s="149"/>
      <c r="L1277" s="18"/>
      <c r="M1277" s="18">
        <f t="shared" ref="M1277:M1322" si="161">IF(L1277&gt;K1277,K1277,L1277)</f>
        <v>0</v>
      </c>
      <c r="N1277" s="62">
        <f>+I1277+15-1</f>
        <v>42588</v>
      </c>
      <c r="O1277" s="18">
        <v>15027</v>
      </c>
      <c r="P1277" s="38"/>
      <c r="Q1277" s="178">
        <v>42614</v>
      </c>
      <c r="R1277" s="66">
        <v>42615</v>
      </c>
      <c r="S1277" s="113">
        <f t="shared" si="159"/>
        <v>27</v>
      </c>
    </row>
    <row r="1278" spans="1:19" hidden="1" x14ac:dyDescent="0.25">
      <c r="A1278" s="146">
        <v>604</v>
      </c>
      <c r="B1278" s="60">
        <v>42598</v>
      </c>
      <c r="C1278" s="18">
        <v>114</v>
      </c>
      <c r="D1278" s="18">
        <v>3000030898</v>
      </c>
      <c r="E1278" s="18" t="s">
        <v>44</v>
      </c>
      <c r="F1278" s="154">
        <v>31</v>
      </c>
      <c r="G1278" s="61">
        <v>42567</v>
      </c>
      <c r="H1278" s="61"/>
      <c r="I1278" s="61">
        <v>42574</v>
      </c>
      <c r="J1278" s="18" t="s">
        <v>16</v>
      </c>
      <c r="K1278" s="149">
        <v>6.7</v>
      </c>
      <c r="L1278" s="18">
        <v>6.58</v>
      </c>
      <c r="M1278" s="18">
        <f t="shared" si="161"/>
        <v>6.58</v>
      </c>
      <c r="N1278" s="62">
        <f>+I1278+15-1</f>
        <v>42588</v>
      </c>
      <c r="O1278" s="18">
        <v>337010</v>
      </c>
      <c r="P1278" s="38">
        <f>(+O1278/K1278*M1278)-15027</f>
        <v>315947</v>
      </c>
      <c r="Q1278" s="178">
        <v>42614</v>
      </c>
      <c r="R1278" s="66">
        <v>42615</v>
      </c>
      <c r="S1278" s="113">
        <f t="shared" si="159"/>
        <v>27</v>
      </c>
    </row>
    <row r="1279" spans="1:19" hidden="1" x14ac:dyDescent="0.25">
      <c r="A1279" s="146">
        <v>605</v>
      </c>
      <c r="B1279" s="60">
        <v>42598</v>
      </c>
      <c r="C1279" s="18">
        <v>114</v>
      </c>
      <c r="D1279" s="18">
        <v>3000032678</v>
      </c>
      <c r="E1279" s="18" t="s">
        <v>44</v>
      </c>
      <c r="F1279" s="154">
        <v>31</v>
      </c>
      <c r="G1279" s="61">
        <v>42567</v>
      </c>
      <c r="H1279" s="61"/>
      <c r="I1279" s="61">
        <v>42574</v>
      </c>
      <c r="J1279" s="18" t="s">
        <v>16</v>
      </c>
      <c r="K1279" s="149">
        <v>23</v>
      </c>
      <c r="L1279" s="18">
        <v>23</v>
      </c>
      <c r="M1279" s="18">
        <f t="shared" si="161"/>
        <v>23</v>
      </c>
      <c r="N1279" s="62">
        <f>+I1279+15-1</f>
        <v>42588</v>
      </c>
      <c r="O1279" s="18">
        <v>1150000</v>
      </c>
      <c r="P1279" s="38">
        <f t="shared" ref="P1279:P1322" si="162">(+O1279/K1279*M1279)</f>
        <v>1150000</v>
      </c>
      <c r="Q1279" s="178">
        <v>42614</v>
      </c>
      <c r="R1279" s="66">
        <v>42615</v>
      </c>
      <c r="S1279" s="113">
        <f t="shared" si="159"/>
        <v>27</v>
      </c>
    </row>
    <row r="1280" spans="1:19" hidden="1" x14ac:dyDescent="0.25">
      <c r="A1280" s="146">
        <v>328</v>
      </c>
      <c r="B1280" s="60">
        <v>42576</v>
      </c>
      <c r="C1280" s="18">
        <v>103</v>
      </c>
      <c r="D1280" s="18">
        <v>3000032233</v>
      </c>
      <c r="E1280" s="18" t="s">
        <v>213</v>
      </c>
      <c r="F1280" s="18">
        <v>77</v>
      </c>
      <c r="G1280" s="61">
        <v>42565</v>
      </c>
      <c r="H1280" s="61"/>
      <c r="I1280" s="61">
        <v>42570</v>
      </c>
      <c r="J1280" s="18" t="s">
        <v>61</v>
      </c>
      <c r="K1280" s="149">
        <v>20.63</v>
      </c>
      <c r="L1280" s="18">
        <v>20.58</v>
      </c>
      <c r="M1280" s="18">
        <f t="shared" si="161"/>
        <v>20.58</v>
      </c>
      <c r="N1280" s="62">
        <f>+I1280+20-1</f>
        <v>42589</v>
      </c>
      <c r="O1280" s="18">
        <v>1609338</v>
      </c>
      <c r="P1280" s="38">
        <f t="shared" si="162"/>
        <v>1605437.5201163352</v>
      </c>
      <c r="Q1280" s="178">
        <v>42614</v>
      </c>
      <c r="R1280" s="66">
        <v>42615</v>
      </c>
      <c r="S1280" s="113">
        <f t="shared" si="159"/>
        <v>26</v>
      </c>
    </row>
    <row r="1281" spans="1:19" hidden="1" x14ac:dyDescent="0.25">
      <c r="A1281" s="146">
        <v>345</v>
      </c>
      <c r="B1281" s="60">
        <v>42576</v>
      </c>
      <c r="C1281" s="18">
        <v>103</v>
      </c>
      <c r="D1281" s="18">
        <v>3000032321</v>
      </c>
      <c r="E1281" s="18" t="s">
        <v>213</v>
      </c>
      <c r="F1281" s="18">
        <v>89</v>
      </c>
      <c r="G1281" s="61">
        <v>42568</v>
      </c>
      <c r="H1281" s="61"/>
      <c r="I1281" s="61">
        <v>42572</v>
      </c>
      <c r="J1281" s="18" t="s">
        <v>61</v>
      </c>
      <c r="K1281" s="149">
        <v>20.28</v>
      </c>
      <c r="L1281" s="18">
        <v>20.21</v>
      </c>
      <c r="M1281" s="18">
        <f t="shared" si="161"/>
        <v>20.21</v>
      </c>
      <c r="N1281" s="62">
        <f>+I1281+20-1</f>
        <v>42591</v>
      </c>
      <c r="O1281" s="18">
        <v>1571691</v>
      </c>
      <c r="P1281" s="38">
        <f t="shared" si="162"/>
        <v>1566266.0310650887</v>
      </c>
      <c r="Q1281" s="178">
        <v>42614</v>
      </c>
      <c r="R1281" s="66">
        <v>42615</v>
      </c>
      <c r="S1281" s="113">
        <f t="shared" si="159"/>
        <v>24</v>
      </c>
    </row>
    <row r="1282" spans="1:19" hidden="1" x14ac:dyDescent="0.25">
      <c r="A1282" s="146">
        <v>334</v>
      </c>
      <c r="B1282" s="60">
        <v>42576</v>
      </c>
      <c r="C1282" s="18">
        <v>103</v>
      </c>
      <c r="D1282" s="18">
        <v>3000032071</v>
      </c>
      <c r="E1282" s="18" t="s">
        <v>180</v>
      </c>
      <c r="F1282" s="18">
        <v>164</v>
      </c>
      <c r="G1282" s="61">
        <v>42565</v>
      </c>
      <c r="H1282" s="61"/>
      <c r="I1282" s="61">
        <v>42570</v>
      </c>
      <c r="J1282" s="18" t="s">
        <v>61</v>
      </c>
      <c r="K1282" s="149">
        <v>20.84</v>
      </c>
      <c r="L1282" s="18">
        <v>20.77</v>
      </c>
      <c r="M1282" s="18">
        <f t="shared" si="161"/>
        <v>20.77</v>
      </c>
      <c r="N1282" s="62">
        <f>+I1282+20-1</f>
        <v>42589</v>
      </c>
      <c r="O1282" s="18">
        <v>1662100</v>
      </c>
      <c r="P1282" s="38">
        <f t="shared" si="162"/>
        <v>1656517.1305182341</v>
      </c>
      <c r="Q1282" s="178">
        <v>42614</v>
      </c>
      <c r="R1282" s="66">
        <v>42615</v>
      </c>
      <c r="S1282" s="113">
        <f t="shared" si="159"/>
        <v>26</v>
      </c>
    </row>
    <row r="1283" spans="1:19" hidden="1" x14ac:dyDescent="0.25">
      <c r="A1283" s="146">
        <v>427</v>
      </c>
      <c r="B1283" s="60">
        <v>42584</v>
      </c>
      <c r="C1283" s="18">
        <v>103</v>
      </c>
      <c r="D1283" s="18">
        <v>3000032071</v>
      </c>
      <c r="E1283" s="18" t="s">
        <v>180</v>
      </c>
      <c r="F1283" s="18">
        <v>173</v>
      </c>
      <c r="G1283" s="61">
        <v>42571</v>
      </c>
      <c r="H1283" s="61"/>
      <c r="I1283" s="61">
        <v>42576</v>
      </c>
      <c r="J1283" s="18" t="s">
        <v>61</v>
      </c>
      <c r="K1283" s="149">
        <v>20.170000000000002</v>
      </c>
      <c r="L1283" s="18">
        <v>20.07</v>
      </c>
      <c r="M1283" s="18">
        <f t="shared" si="161"/>
        <v>20.07</v>
      </c>
      <c r="N1283" s="62">
        <f>+I1283+20-1</f>
        <v>42595</v>
      </c>
      <c r="O1283" s="18">
        <v>1608700</v>
      </c>
      <c r="P1283" s="38">
        <f t="shared" si="162"/>
        <v>1600724.2935052055</v>
      </c>
      <c r="Q1283" s="178">
        <v>42614</v>
      </c>
      <c r="R1283" s="66">
        <v>42615</v>
      </c>
      <c r="S1283" s="113">
        <f t="shared" si="159"/>
        <v>20</v>
      </c>
    </row>
    <row r="1284" spans="1:19" hidden="1" x14ac:dyDescent="0.25">
      <c r="A1284" s="146">
        <v>428</v>
      </c>
      <c r="B1284" s="60">
        <v>42584</v>
      </c>
      <c r="C1284" s="18">
        <v>103</v>
      </c>
      <c r="D1284" s="18">
        <v>3000032776</v>
      </c>
      <c r="E1284" s="18" t="s">
        <v>180</v>
      </c>
      <c r="F1284" s="18">
        <v>174</v>
      </c>
      <c r="G1284" s="61">
        <v>42571</v>
      </c>
      <c r="H1284" s="61"/>
      <c r="I1284" s="61">
        <v>42576</v>
      </c>
      <c r="J1284" s="18" t="s">
        <v>61</v>
      </c>
      <c r="K1284" s="149">
        <v>16.5</v>
      </c>
      <c r="L1284" s="18">
        <v>16.47</v>
      </c>
      <c r="M1284" s="18">
        <f t="shared" si="161"/>
        <v>16.47</v>
      </c>
      <c r="N1284" s="62">
        <f>+I1284+20-1</f>
        <v>42595</v>
      </c>
      <c r="O1284" s="18">
        <v>1293554</v>
      </c>
      <c r="P1284" s="38">
        <f t="shared" si="162"/>
        <v>1291202.0836363637</v>
      </c>
      <c r="Q1284" s="178">
        <v>42614</v>
      </c>
      <c r="R1284" s="66">
        <v>42615</v>
      </c>
      <c r="S1284" s="113">
        <f t="shared" si="159"/>
        <v>20</v>
      </c>
    </row>
    <row r="1285" spans="1:19" hidden="1" x14ac:dyDescent="0.25">
      <c r="A1285" s="146">
        <v>413</v>
      </c>
      <c r="B1285" s="60">
        <v>42583</v>
      </c>
      <c r="C1285" s="18">
        <v>114</v>
      </c>
      <c r="D1285" s="18">
        <v>3000030838</v>
      </c>
      <c r="E1285" s="18" t="s">
        <v>49</v>
      </c>
      <c r="F1285" s="154">
        <v>26</v>
      </c>
      <c r="G1285" s="61">
        <v>42571</v>
      </c>
      <c r="H1285" s="61"/>
      <c r="I1285" s="61">
        <v>42575</v>
      </c>
      <c r="J1285" s="18" t="s">
        <v>16</v>
      </c>
      <c r="K1285" s="149">
        <v>9.11</v>
      </c>
      <c r="L1285" s="18">
        <v>9.16</v>
      </c>
      <c r="M1285" s="18">
        <f t="shared" si="161"/>
        <v>9.11</v>
      </c>
      <c r="N1285" s="62">
        <f>+I1285+15-1</f>
        <v>42589</v>
      </c>
      <c r="O1285" s="18">
        <v>466432</v>
      </c>
      <c r="P1285" s="38">
        <f t="shared" si="162"/>
        <v>466432</v>
      </c>
      <c r="Q1285" s="178">
        <v>42614</v>
      </c>
      <c r="R1285" s="66">
        <v>42615</v>
      </c>
      <c r="S1285" s="113">
        <f t="shared" si="159"/>
        <v>26</v>
      </c>
    </row>
    <row r="1286" spans="1:19" s="41" customFormat="1" hidden="1" x14ac:dyDescent="0.25">
      <c r="A1286" s="146">
        <v>420</v>
      </c>
      <c r="B1286" s="60">
        <v>42583</v>
      </c>
      <c r="C1286" s="18">
        <v>114</v>
      </c>
      <c r="D1286" s="18" t="s">
        <v>278</v>
      </c>
      <c r="E1286" s="18" t="s">
        <v>18</v>
      </c>
      <c r="F1286" s="18">
        <v>51</v>
      </c>
      <c r="G1286" s="61">
        <v>42572</v>
      </c>
      <c r="H1286" s="61"/>
      <c r="I1286" s="61">
        <v>42575</v>
      </c>
      <c r="J1286" s="18" t="s">
        <v>277</v>
      </c>
      <c r="K1286" s="149">
        <v>25.76</v>
      </c>
      <c r="L1286" s="18">
        <v>25.82</v>
      </c>
      <c r="M1286" s="18">
        <f t="shared" si="161"/>
        <v>25.76</v>
      </c>
      <c r="N1286" s="62">
        <f>+I1286+15-1</f>
        <v>42589</v>
      </c>
      <c r="O1286" s="18">
        <v>1411648</v>
      </c>
      <c r="P1286" s="38">
        <f t="shared" si="162"/>
        <v>1411648</v>
      </c>
      <c r="Q1286" s="178">
        <v>42614</v>
      </c>
      <c r="R1286" s="66">
        <v>42615</v>
      </c>
      <c r="S1286" s="113">
        <f t="shared" si="159"/>
        <v>26</v>
      </c>
    </row>
    <row r="1287" spans="1:19" s="41" customFormat="1" hidden="1" x14ac:dyDescent="0.25">
      <c r="A1287" s="146">
        <v>419</v>
      </c>
      <c r="B1287" s="60">
        <v>42583</v>
      </c>
      <c r="C1287" s="18">
        <v>114</v>
      </c>
      <c r="D1287" s="18">
        <v>3000032738</v>
      </c>
      <c r="E1287" s="18" t="s">
        <v>18</v>
      </c>
      <c r="F1287" s="18">
        <v>52</v>
      </c>
      <c r="G1287" s="61">
        <v>42572</v>
      </c>
      <c r="H1287" s="61"/>
      <c r="I1287" s="61">
        <v>42575</v>
      </c>
      <c r="J1287" s="18" t="s">
        <v>277</v>
      </c>
      <c r="K1287" s="149">
        <v>30.11</v>
      </c>
      <c r="L1287" s="18">
        <v>30.1</v>
      </c>
      <c r="M1287" s="18">
        <f t="shared" si="161"/>
        <v>30.1</v>
      </c>
      <c r="N1287" s="62">
        <f>+I1287+15-1</f>
        <v>42589</v>
      </c>
      <c r="O1287" s="18">
        <v>1650028</v>
      </c>
      <c r="P1287" s="38">
        <f t="shared" si="162"/>
        <v>1649480</v>
      </c>
      <c r="Q1287" s="178">
        <v>42614</v>
      </c>
      <c r="R1287" s="66">
        <v>42615</v>
      </c>
      <c r="S1287" s="113">
        <f t="shared" si="159"/>
        <v>26</v>
      </c>
    </row>
    <row r="1288" spans="1:19" hidden="1" x14ac:dyDescent="0.25">
      <c r="A1288" s="146">
        <v>337</v>
      </c>
      <c r="B1288" s="60">
        <v>42576</v>
      </c>
      <c r="C1288" s="18">
        <v>103</v>
      </c>
      <c r="D1288" s="18">
        <v>3000032058</v>
      </c>
      <c r="E1288" s="18" t="s">
        <v>184</v>
      </c>
      <c r="F1288" s="18">
        <v>105</v>
      </c>
      <c r="G1288" s="61">
        <v>42566</v>
      </c>
      <c r="H1288" s="61"/>
      <c r="I1288" s="61">
        <v>42571</v>
      </c>
      <c r="J1288" s="18" t="s">
        <v>61</v>
      </c>
      <c r="K1288" s="149">
        <v>20.04</v>
      </c>
      <c r="L1288" s="18">
        <v>19.989999999999998</v>
      </c>
      <c r="M1288" s="18">
        <f t="shared" si="161"/>
        <v>19.989999999999998</v>
      </c>
      <c r="N1288" s="62">
        <f t="shared" ref="N1288:N1295" si="163">+I1288+20-1</f>
        <v>42590</v>
      </c>
      <c r="O1288" s="18">
        <v>1598265</v>
      </c>
      <c r="P1288" s="38">
        <f t="shared" si="162"/>
        <v>1594277.3128742513</v>
      </c>
      <c r="Q1288" s="178">
        <v>42614</v>
      </c>
      <c r="R1288" s="66">
        <v>42615</v>
      </c>
      <c r="S1288" s="113">
        <f t="shared" si="159"/>
        <v>25</v>
      </c>
    </row>
    <row r="1289" spans="1:19" hidden="1" x14ac:dyDescent="0.25">
      <c r="A1289" s="146">
        <v>338</v>
      </c>
      <c r="B1289" s="60">
        <v>42576</v>
      </c>
      <c r="C1289" s="18">
        <v>103</v>
      </c>
      <c r="D1289" s="18">
        <v>3000032325</v>
      </c>
      <c r="E1289" s="18" t="s">
        <v>184</v>
      </c>
      <c r="F1289" s="18">
        <v>106</v>
      </c>
      <c r="G1289" s="61">
        <v>42566</v>
      </c>
      <c r="H1289" s="61"/>
      <c r="I1289" s="61">
        <v>42571</v>
      </c>
      <c r="J1289" s="18" t="s">
        <v>61</v>
      </c>
      <c r="K1289" s="149">
        <v>21.48</v>
      </c>
      <c r="L1289" s="18">
        <v>21.44</v>
      </c>
      <c r="M1289" s="18">
        <f t="shared" si="161"/>
        <v>21.44</v>
      </c>
      <c r="N1289" s="62">
        <f t="shared" si="163"/>
        <v>42590</v>
      </c>
      <c r="O1289" s="18">
        <v>1733486</v>
      </c>
      <c r="P1289" s="38">
        <f t="shared" si="162"/>
        <v>1730257.9068901304</v>
      </c>
      <c r="Q1289" s="178">
        <v>42614</v>
      </c>
      <c r="R1289" s="66">
        <v>42615</v>
      </c>
      <c r="S1289" s="113">
        <f t="shared" si="159"/>
        <v>25</v>
      </c>
    </row>
    <row r="1290" spans="1:19" hidden="1" x14ac:dyDescent="0.25">
      <c r="A1290" s="146">
        <v>339</v>
      </c>
      <c r="B1290" s="60">
        <v>42576</v>
      </c>
      <c r="C1290" s="18">
        <v>103</v>
      </c>
      <c r="D1290" s="18">
        <v>3000032058</v>
      </c>
      <c r="E1290" s="18" t="s">
        <v>184</v>
      </c>
      <c r="F1290" s="18">
        <v>107</v>
      </c>
      <c r="G1290" s="61">
        <v>42566</v>
      </c>
      <c r="H1290" s="61"/>
      <c r="I1290" s="61">
        <v>42571</v>
      </c>
      <c r="J1290" s="18" t="s">
        <v>61</v>
      </c>
      <c r="K1290" s="149">
        <v>15.555</v>
      </c>
      <c r="L1290" s="18">
        <v>15.51</v>
      </c>
      <c r="M1290" s="18">
        <f t="shared" si="161"/>
        <v>15.51</v>
      </c>
      <c r="N1290" s="62">
        <f t="shared" si="163"/>
        <v>42590</v>
      </c>
      <c r="O1290" s="18">
        <v>1240569</v>
      </c>
      <c r="P1290" s="38">
        <f t="shared" si="162"/>
        <v>1236980.0829315332</v>
      </c>
      <c r="Q1290" s="178">
        <v>42614</v>
      </c>
      <c r="R1290" s="66">
        <v>42615</v>
      </c>
      <c r="S1290" s="113">
        <f t="shared" si="159"/>
        <v>25</v>
      </c>
    </row>
    <row r="1291" spans="1:19" hidden="1" x14ac:dyDescent="0.25">
      <c r="A1291" s="146">
        <v>340</v>
      </c>
      <c r="B1291" s="60">
        <v>42576</v>
      </c>
      <c r="C1291" s="18">
        <v>103</v>
      </c>
      <c r="D1291" s="18">
        <v>3000032058</v>
      </c>
      <c r="E1291" s="18" t="s">
        <v>184</v>
      </c>
      <c r="F1291" s="18">
        <v>109</v>
      </c>
      <c r="G1291" s="61">
        <v>42567</v>
      </c>
      <c r="H1291" s="61"/>
      <c r="I1291" s="61">
        <v>42571</v>
      </c>
      <c r="J1291" s="18" t="s">
        <v>61</v>
      </c>
      <c r="K1291" s="149">
        <v>19.7</v>
      </c>
      <c r="L1291" s="18">
        <v>19.64</v>
      </c>
      <c r="M1291" s="18">
        <f t="shared" si="161"/>
        <v>19.64</v>
      </c>
      <c r="N1291" s="62">
        <f t="shared" si="163"/>
        <v>42590</v>
      </c>
      <c r="O1291" s="18">
        <v>1571149</v>
      </c>
      <c r="P1291" s="38">
        <f t="shared" si="162"/>
        <v>1566363.7746192894</v>
      </c>
      <c r="Q1291" s="178">
        <v>42614</v>
      </c>
      <c r="R1291" s="66">
        <v>42615</v>
      </c>
      <c r="S1291" s="113">
        <f t="shared" si="159"/>
        <v>25</v>
      </c>
    </row>
    <row r="1292" spans="1:19" hidden="1" x14ac:dyDescent="0.25">
      <c r="A1292" s="146">
        <v>341</v>
      </c>
      <c r="B1292" s="60">
        <v>42576</v>
      </c>
      <c r="C1292" s="18">
        <v>103</v>
      </c>
      <c r="D1292" s="18">
        <v>3000032325</v>
      </c>
      <c r="E1292" s="18" t="s">
        <v>184</v>
      </c>
      <c r="F1292" s="18">
        <v>110</v>
      </c>
      <c r="G1292" s="61">
        <v>42568</v>
      </c>
      <c r="H1292" s="61"/>
      <c r="I1292" s="61">
        <v>42571</v>
      </c>
      <c r="J1292" s="18" t="s">
        <v>61</v>
      </c>
      <c r="K1292" s="149">
        <v>24.76</v>
      </c>
      <c r="L1292" s="18">
        <v>24.67</v>
      </c>
      <c r="M1292" s="18">
        <f t="shared" si="161"/>
        <v>24.67</v>
      </c>
      <c r="N1292" s="62">
        <f t="shared" si="163"/>
        <v>42590</v>
      </c>
      <c r="O1292" s="18">
        <v>1998191</v>
      </c>
      <c r="P1292" s="38">
        <f t="shared" si="162"/>
        <v>1990927.7855411954</v>
      </c>
      <c r="Q1292" s="178">
        <v>42614</v>
      </c>
      <c r="R1292" s="66">
        <v>42615</v>
      </c>
      <c r="S1292" s="113">
        <f t="shared" si="159"/>
        <v>25</v>
      </c>
    </row>
    <row r="1293" spans="1:19" hidden="1" x14ac:dyDescent="0.25">
      <c r="A1293" s="146">
        <v>392</v>
      </c>
      <c r="B1293" s="60">
        <v>42578</v>
      </c>
      <c r="C1293" s="18">
        <v>103</v>
      </c>
      <c r="D1293" s="18">
        <v>3000032218</v>
      </c>
      <c r="E1293" s="18" t="s">
        <v>184</v>
      </c>
      <c r="F1293" s="18">
        <v>111</v>
      </c>
      <c r="G1293" s="61">
        <v>42569</v>
      </c>
      <c r="H1293" s="61"/>
      <c r="I1293" s="61">
        <v>42574</v>
      </c>
      <c r="J1293" s="18" t="s">
        <v>61</v>
      </c>
      <c r="K1293" s="149">
        <v>20.18</v>
      </c>
      <c r="L1293" s="18">
        <v>20.170000000000002</v>
      </c>
      <c r="M1293" s="18">
        <f t="shared" si="161"/>
        <v>20.170000000000002</v>
      </c>
      <c r="N1293" s="62">
        <f t="shared" si="163"/>
        <v>42593</v>
      </c>
      <c r="O1293" s="18">
        <v>1584319</v>
      </c>
      <c r="P1293" s="38">
        <f t="shared" si="162"/>
        <v>1583533.9063429139</v>
      </c>
      <c r="Q1293" s="178">
        <v>42614</v>
      </c>
      <c r="R1293" s="66">
        <v>42615</v>
      </c>
      <c r="S1293" s="113">
        <f t="shared" si="159"/>
        <v>22</v>
      </c>
    </row>
    <row r="1294" spans="1:19" s="41" customFormat="1" hidden="1" x14ac:dyDescent="0.25">
      <c r="A1294" s="146">
        <v>344</v>
      </c>
      <c r="B1294" s="60">
        <v>42576</v>
      </c>
      <c r="C1294" s="18">
        <v>103</v>
      </c>
      <c r="D1294" s="18" t="s">
        <v>264</v>
      </c>
      <c r="E1294" s="18" t="s">
        <v>172</v>
      </c>
      <c r="F1294" s="18">
        <v>44</v>
      </c>
      <c r="G1294" s="61">
        <v>42563</v>
      </c>
      <c r="H1294" s="61"/>
      <c r="I1294" s="61">
        <v>42571</v>
      </c>
      <c r="J1294" s="18" t="s">
        <v>61</v>
      </c>
      <c r="K1294" s="149">
        <v>21.49</v>
      </c>
      <c r="L1294" s="18">
        <v>21.4</v>
      </c>
      <c r="M1294" s="18">
        <f t="shared" si="161"/>
        <v>21.4</v>
      </c>
      <c r="N1294" s="62">
        <f t="shared" si="163"/>
        <v>42590</v>
      </c>
      <c r="O1294" s="18">
        <v>1676230</v>
      </c>
      <c r="P1294" s="38">
        <f t="shared" si="162"/>
        <v>1669209.9581200557</v>
      </c>
      <c r="Q1294" s="178">
        <v>42614</v>
      </c>
      <c r="R1294" s="66">
        <v>42615</v>
      </c>
      <c r="S1294" s="113">
        <f t="shared" si="159"/>
        <v>25</v>
      </c>
    </row>
    <row r="1295" spans="1:19" s="41" customFormat="1" hidden="1" x14ac:dyDescent="0.25">
      <c r="A1295" s="146">
        <v>347</v>
      </c>
      <c r="B1295" s="60">
        <v>42576</v>
      </c>
      <c r="C1295" s="18">
        <v>103</v>
      </c>
      <c r="D1295" s="18">
        <v>3000032065</v>
      </c>
      <c r="E1295" s="18" t="s">
        <v>170</v>
      </c>
      <c r="F1295" s="18">
        <v>35</v>
      </c>
      <c r="G1295" s="61">
        <v>42562</v>
      </c>
      <c r="H1295" s="61"/>
      <c r="I1295" s="61">
        <v>42571</v>
      </c>
      <c r="J1295" s="18" t="s">
        <v>61</v>
      </c>
      <c r="K1295" s="149">
        <v>19.89</v>
      </c>
      <c r="L1295" s="18">
        <v>19.8</v>
      </c>
      <c r="M1295" s="18">
        <f t="shared" si="161"/>
        <v>19.8</v>
      </c>
      <c r="N1295" s="62">
        <f t="shared" si="163"/>
        <v>42590</v>
      </c>
      <c r="O1295" s="18">
        <v>1586228</v>
      </c>
      <c r="P1295" s="38">
        <f t="shared" si="162"/>
        <v>1579050.4977375567</v>
      </c>
      <c r="Q1295" s="178">
        <v>42614</v>
      </c>
      <c r="R1295" s="66">
        <v>42615</v>
      </c>
      <c r="S1295" s="113">
        <f t="shared" ref="S1295:S1315" si="164">R1295-N1295</f>
        <v>25</v>
      </c>
    </row>
    <row r="1296" spans="1:19" hidden="1" x14ac:dyDescent="0.25">
      <c r="A1296" s="146">
        <v>411</v>
      </c>
      <c r="B1296" s="60">
        <v>42583</v>
      </c>
      <c r="C1296" s="18">
        <v>114</v>
      </c>
      <c r="D1296" s="18">
        <v>3000032157</v>
      </c>
      <c r="E1296" s="18" t="s">
        <v>27</v>
      </c>
      <c r="F1296" s="18">
        <v>870</v>
      </c>
      <c r="G1296" s="61">
        <v>42573</v>
      </c>
      <c r="H1296" s="61"/>
      <c r="I1296" s="61">
        <v>42576</v>
      </c>
      <c r="J1296" s="18" t="s">
        <v>8</v>
      </c>
      <c r="K1296" s="149">
        <v>27.04</v>
      </c>
      <c r="L1296" s="18">
        <v>26.93</v>
      </c>
      <c r="M1296" s="18">
        <f t="shared" si="161"/>
        <v>26.93</v>
      </c>
      <c r="N1296" s="62">
        <f t="shared" ref="N1296:N1302" si="165">+I1296+15-1</f>
        <v>42590</v>
      </c>
      <c r="O1296" s="18">
        <v>1376336</v>
      </c>
      <c r="P1296" s="38">
        <f t="shared" si="162"/>
        <v>1370737</v>
      </c>
      <c r="Q1296" s="178">
        <v>42614</v>
      </c>
      <c r="R1296" s="66">
        <v>42615</v>
      </c>
      <c r="S1296" s="113">
        <f t="shared" si="164"/>
        <v>25</v>
      </c>
    </row>
    <row r="1297" spans="1:19" hidden="1" x14ac:dyDescent="0.25">
      <c r="A1297" s="146">
        <v>462</v>
      </c>
      <c r="B1297" s="60">
        <v>42586</v>
      </c>
      <c r="C1297" s="18">
        <v>114</v>
      </c>
      <c r="D1297" s="18">
        <v>3000031337</v>
      </c>
      <c r="E1297" s="18" t="s">
        <v>27</v>
      </c>
      <c r="F1297" s="154">
        <v>871</v>
      </c>
      <c r="G1297" s="61">
        <v>42573</v>
      </c>
      <c r="H1297" s="61"/>
      <c r="I1297" s="61">
        <v>42578</v>
      </c>
      <c r="J1297" s="18" t="s">
        <v>8</v>
      </c>
      <c r="K1297" s="149">
        <v>23.3</v>
      </c>
      <c r="L1297" s="18">
        <v>23.29</v>
      </c>
      <c r="M1297" s="18">
        <f t="shared" si="161"/>
        <v>23.29</v>
      </c>
      <c r="N1297" s="62">
        <f t="shared" si="165"/>
        <v>42592</v>
      </c>
      <c r="O1297" s="18">
        <v>1246550</v>
      </c>
      <c r="P1297" s="38">
        <f t="shared" si="162"/>
        <v>1246015</v>
      </c>
      <c r="Q1297" s="178">
        <v>42614</v>
      </c>
      <c r="R1297" s="66">
        <v>42615</v>
      </c>
      <c r="S1297" s="113">
        <f t="shared" si="164"/>
        <v>23</v>
      </c>
    </row>
    <row r="1298" spans="1:19" hidden="1" x14ac:dyDescent="0.25">
      <c r="A1298" s="146">
        <v>463</v>
      </c>
      <c r="B1298" s="60">
        <v>42586</v>
      </c>
      <c r="C1298" s="18">
        <v>114</v>
      </c>
      <c r="D1298" s="18">
        <v>3000032157</v>
      </c>
      <c r="E1298" s="18" t="s">
        <v>27</v>
      </c>
      <c r="F1298" s="154">
        <v>871</v>
      </c>
      <c r="G1298" s="61">
        <v>42573</v>
      </c>
      <c r="H1298" s="61"/>
      <c r="I1298" s="61">
        <v>42578</v>
      </c>
      <c r="J1298" s="18" t="s">
        <v>8</v>
      </c>
      <c r="K1298" s="149">
        <v>4.78</v>
      </c>
      <c r="L1298" s="18">
        <v>4.78</v>
      </c>
      <c r="M1298" s="18">
        <f t="shared" si="161"/>
        <v>4.78</v>
      </c>
      <c r="N1298" s="62">
        <f t="shared" si="165"/>
        <v>42592</v>
      </c>
      <c r="O1298" s="18">
        <v>243302</v>
      </c>
      <c r="P1298" s="38">
        <f t="shared" si="162"/>
        <v>243302</v>
      </c>
      <c r="Q1298" s="178">
        <v>42614</v>
      </c>
      <c r="R1298" s="66">
        <v>42615</v>
      </c>
      <c r="S1298" s="113">
        <f t="shared" si="164"/>
        <v>23</v>
      </c>
    </row>
    <row r="1299" spans="1:19" hidden="1" x14ac:dyDescent="0.25">
      <c r="A1299" s="146">
        <v>414</v>
      </c>
      <c r="B1299" s="60">
        <v>42583</v>
      </c>
      <c r="C1299" s="18">
        <v>114</v>
      </c>
      <c r="D1299" s="18">
        <v>3000030989</v>
      </c>
      <c r="E1299" s="18" t="s">
        <v>28</v>
      </c>
      <c r="F1299" s="18">
        <v>584</v>
      </c>
      <c r="G1299" s="61">
        <v>42572</v>
      </c>
      <c r="H1299" s="61"/>
      <c r="I1299" s="61">
        <v>42576</v>
      </c>
      <c r="J1299" s="18" t="s">
        <v>16</v>
      </c>
      <c r="K1299" s="149">
        <v>20.61</v>
      </c>
      <c r="L1299" s="18">
        <v>20.53</v>
      </c>
      <c r="M1299" s="18">
        <f t="shared" si="161"/>
        <v>20.53</v>
      </c>
      <c r="N1299" s="62">
        <f t="shared" si="165"/>
        <v>42590</v>
      </c>
      <c r="O1299" s="18">
        <v>1009890</v>
      </c>
      <c r="P1299" s="38">
        <f t="shared" si="162"/>
        <v>1005970</v>
      </c>
      <c r="Q1299" s="178">
        <v>42614</v>
      </c>
      <c r="R1299" s="66">
        <v>42615</v>
      </c>
      <c r="S1299" s="113">
        <f t="shared" si="164"/>
        <v>25</v>
      </c>
    </row>
    <row r="1300" spans="1:19" hidden="1" x14ac:dyDescent="0.25">
      <c r="A1300" s="146">
        <v>467</v>
      </c>
      <c r="B1300" s="60">
        <v>42586</v>
      </c>
      <c r="C1300" s="18">
        <v>114</v>
      </c>
      <c r="D1300" s="18">
        <v>3000031363</v>
      </c>
      <c r="E1300" s="18" t="s">
        <v>37</v>
      </c>
      <c r="F1300" s="18">
        <v>76</v>
      </c>
      <c r="G1300" s="61">
        <v>42567</v>
      </c>
      <c r="H1300" s="61"/>
      <c r="I1300" s="61">
        <v>42577</v>
      </c>
      <c r="J1300" s="18" t="s">
        <v>8</v>
      </c>
      <c r="K1300" s="149">
        <v>16.86</v>
      </c>
      <c r="L1300" s="18">
        <v>16.88</v>
      </c>
      <c r="M1300" s="18">
        <f t="shared" si="161"/>
        <v>16.86</v>
      </c>
      <c r="N1300" s="62">
        <f t="shared" si="165"/>
        <v>42591</v>
      </c>
      <c r="O1300" s="18">
        <v>898638</v>
      </c>
      <c r="P1300" s="38">
        <f t="shared" si="162"/>
        <v>898638</v>
      </c>
      <c r="Q1300" s="178">
        <v>42614</v>
      </c>
      <c r="R1300" s="66">
        <v>42615</v>
      </c>
      <c r="S1300" s="113">
        <f t="shared" si="164"/>
        <v>24</v>
      </c>
    </row>
    <row r="1301" spans="1:19" hidden="1" x14ac:dyDescent="0.25">
      <c r="A1301" s="146">
        <v>468</v>
      </c>
      <c r="B1301" s="60">
        <v>42586</v>
      </c>
      <c r="C1301" s="18">
        <v>114</v>
      </c>
      <c r="D1301" s="18">
        <v>3000031348</v>
      </c>
      <c r="E1301" s="18" t="s">
        <v>37</v>
      </c>
      <c r="F1301" s="154">
        <v>81</v>
      </c>
      <c r="G1301" s="61">
        <v>42572</v>
      </c>
      <c r="H1301" s="61"/>
      <c r="I1301" s="61">
        <v>42579</v>
      </c>
      <c r="J1301" s="18" t="s">
        <v>8</v>
      </c>
      <c r="K1301" s="149">
        <v>24.58</v>
      </c>
      <c r="L1301" s="18">
        <v>24.6</v>
      </c>
      <c r="M1301" s="18">
        <f t="shared" si="161"/>
        <v>24.58</v>
      </c>
      <c r="N1301" s="62">
        <f t="shared" si="165"/>
        <v>42593</v>
      </c>
      <c r="O1301" s="18">
        <v>1315030</v>
      </c>
      <c r="P1301" s="38">
        <f t="shared" si="162"/>
        <v>1315030</v>
      </c>
      <c r="Q1301" s="178">
        <v>42614</v>
      </c>
      <c r="R1301" s="66">
        <v>42615</v>
      </c>
      <c r="S1301" s="113">
        <f t="shared" si="164"/>
        <v>22</v>
      </c>
    </row>
    <row r="1302" spans="1:19" hidden="1" x14ac:dyDescent="0.25">
      <c r="A1302" s="146">
        <v>469</v>
      </c>
      <c r="B1302" s="60">
        <v>42586</v>
      </c>
      <c r="C1302" s="18">
        <v>114</v>
      </c>
      <c r="D1302" s="18">
        <v>3000032949</v>
      </c>
      <c r="E1302" s="18" t="s">
        <v>37</v>
      </c>
      <c r="F1302" s="154">
        <v>81</v>
      </c>
      <c r="G1302" s="61">
        <v>42572</v>
      </c>
      <c r="H1302" s="61"/>
      <c r="I1302" s="61">
        <v>42579</v>
      </c>
      <c r="J1302" s="18" t="s">
        <v>8</v>
      </c>
      <c r="K1302" s="149">
        <v>2.25</v>
      </c>
      <c r="L1302" s="18">
        <v>2.25</v>
      </c>
      <c r="M1302" s="18">
        <f t="shared" si="161"/>
        <v>2.25</v>
      </c>
      <c r="N1302" s="62">
        <f t="shared" si="165"/>
        <v>42593</v>
      </c>
      <c r="O1302" s="18">
        <v>112500</v>
      </c>
      <c r="P1302" s="38">
        <f t="shared" si="162"/>
        <v>112500</v>
      </c>
      <c r="Q1302" s="178">
        <v>42614</v>
      </c>
      <c r="R1302" s="66">
        <v>42615</v>
      </c>
      <c r="S1302" s="113">
        <f t="shared" si="164"/>
        <v>22</v>
      </c>
    </row>
    <row r="1303" spans="1:19" hidden="1" x14ac:dyDescent="0.25">
      <c r="A1303" s="146">
        <v>383</v>
      </c>
      <c r="B1303" s="60">
        <v>42578</v>
      </c>
      <c r="C1303" s="18">
        <v>103</v>
      </c>
      <c r="D1303" s="18">
        <v>3000032647</v>
      </c>
      <c r="E1303" s="18" t="s">
        <v>267</v>
      </c>
      <c r="F1303" s="18">
        <v>1</v>
      </c>
      <c r="G1303" s="61">
        <v>42569</v>
      </c>
      <c r="H1303" s="61"/>
      <c r="I1303" s="61">
        <v>42573</v>
      </c>
      <c r="J1303" s="18" t="s">
        <v>61</v>
      </c>
      <c r="K1303" s="149">
        <v>19.96</v>
      </c>
      <c r="L1303" s="18">
        <v>19.91</v>
      </c>
      <c r="M1303" s="18">
        <f t="shared" si="161"/>
        <v>19.91</v>
      </c>
      <c r="N1303" s="62">
        <f t="shared" ref="N1303:N1311" si="166">+I1303+20-1</f>
        <v>42592</v>
      </c>
      <c r="O1303" s="18">
        <v>1552900</v>
      </c>
      <c r="P1303" s="38">
        <f t="shared" si="162"/>
        <v>1549009.9699398798</v>
      </c>
      <c r="Q1303" s="178">
        <v>42614</v>
      </c>
      <c r="R1303" s="66">
        <v>42615</v>
      </c>
      <c r="S1303" s="113">
        <f t="shared" si="164"/>
        <v>23</v>
      </c>
    </row>
    <row r="1304" spans="1:19" hidden="1" x14ac:dyDescent="0.25">
      <c r="A1304" s="146">
        <v>456</v>
      </c>
      <c r="B1304" s="60">
        <v>42584</v>
      </c>
      <c r="C1304" s="18">
        <v>103</v>
      </c>
      <c r="D1304" s="18">
        <v>3000031813</v>
      </c>
      <c r="E1304" s="18" t="s">
        <v>60</v>
      </c>
      <c r="F1304" s="18">
        <v>352</v>
      </c>
      <c r="G1304" s="61">
        <v>42560</v>
      </c>
      <c r="H1304" s="61"/>
      <c r="I1304" s="61">
        <v>42577</v>
      </c>
      <c r="J1304" s="18" t="s">
        <v>61</v>
      </c>
      <c r="K1304" s="149">
        <v>19.72</v>
      </c>
      <c r="L1304" s="18">
        <v>19.670000000000002</v>
      </c>
      <c r="M1304" s="18">
        <f t="shared" si="161"/>
        <v>19.670000000000002</v>
      </c>
      <c r="N1304" s="62">
        <f t="shared" si="166"/>
        <v>42596</v>
      </c>
      <c r="O1304" s="18">
        <v>1494701</v>
      </c>
      <c r="P1304" s="38">
        <f t="shared" si="162"/>
        <v>1490911.1901622722</v>
      </c>
      <c r="Q1304" s="178">
        <v>42614</v>
      </c>
      <c r="R1304" s="66">
        <v>42615</v>
      </c>
      <c r="S1304" s="113">
        <f t="shared" si="164"/>
        <v>19</v>
      </c>
    </row>
    <row r="1305" spans="1:19" hidden="1" x14ac:dyDescent="0.25">
      <c r="A1305" s="146">
        <v>381</v>
      </c>
      <c r="B1305" s="60">
        <v>42578</v>
      </c>
      <c r="C1305" s="18">
        <v>103</v>
      </c>
      <c r="D1305" s="18">
        <v>3000031311</v>
      </c>
      <c r="E1305" s="18" t="s">
        <v>60</v>
      </c>
      <c r="F1305" s="18">
        <v>386</v>
      </c>
      <c r="G1305" s="61">
        <v>42568</v>
      </c>
      <c r="H1305" s="61"/>
      <c r="I1305" s="61">
        <v>42574</v>
      </c>
      <c r="J1305" s="18" t="s">
        <v>61</v>
      </c>
      <c r="K1305" s="149">
        <v>20.65</v>
      </c>
      <c r="L1305" s="18">
        <v>20.58</v>
      </c>
      <c r="M1305" s="18">
        <f t="shared" si="161"/>
        <v>20.58</v>
      </c>
      <c r="N1305" s="62">
        <f t="shared" si="166"/>
        <v>42593</v>
      </c>
      <c r="O1305" s="18">
        <v>1633436</v>
      </c>
      <c r="P1305" s="38">
        <f t="shared" si="162"/>
        <v>1627898.9288135592</v>
      </c>
      <c r="Q1305" s="178">
        <v>42614</v>
      </c>
      <c r="R1305" s="66">
        <v>42615</v>
      </c>
      <c r="S1305" s="113">
        <f t="shared" si="164"/>
        <v>22</v>
      </c>
    </row>
    <row r="1306" spans="1:19" hidden="1" x14ac:dyDescent="0.25">
      <c r="A1306" s="146">
        <v>422</v>
      </c>
      <c r="B1306" s="60">
        <v>42584</v>
      </c>
      <c r="C1306" s="18">
        <v>103</v>
      </c>
      <c r="D1306" s="18">
        <v>3000031813</v>
      </c>
      <c r="E1306" s="18" t="s">
        <v>60</v>
      </c>
      <c r="F1306" s="18">
        <v>387</v>
      </c>
      <c r="G1306" s="61">
        <v>42571</v>
      </c>
      <c r="H1306" s="61"/>
      <c r="I1306" s="61">
        <v>42576</v>
      </c>
      <c r="J1306" s="18" t="s">
        <v>61</v>
      </c>
      <c r="K1306" s="149">
        <v>16.079999999999998</v>
      </c>
      <c r="L1306" s="18">
        <v>16.04</v>
      </c>
      <c r="M1306" s="18">
        <f t="shared" si="161"/>
        <v>16.04</v>
      </c>
      <c r="N1306" s="62">
        <f t="shared" si="166"/>
        <v>42595</v>
      </c>
      <c r="O1306" s="18">
        <v>1218803</v>
      </c>
      <c r="P1306" s="38">
        <f t="shared" si="162"/>
        <v>1215771.1517412937</v>
      </c>
      <c r="Q1306" s="178">
        <v>42614</v>
      </c>
      <c r="R1306" s="66">
        <v>42615</v>
      </c>
      <c r="S1306" s="113">
        <f t="shared" si="164"/>
        <v>20</v>
      </c>
    </row>
    <row r="1307" spans="1:19" hidden="1" x14ac:dyDescent="0.25">
      <c r="A1307" s="146">
        <v>423</v>
      </c>
      <c r="B1307" s="60">
        <v>42584</v>
      </c>
      <c r="C1307" s="18">
        <v>103</v>
      </c>
      <c r="D1307" s="18">
        <v>3000031813</v>
      </c>
      <c r="E1307" s="18" t="s">
        <v>60</v>
      </c>
      <c r="F1307" s="18">
        <v>388</v>
      </c>
      <c r="G1307" s="61">
        <v>42571</v>
      </c>
      <c r="H1307" s="61"/>
      <c r="I1307" s="61">
        <v>42576</v>
      </c>
      <c r="J1307" s="18" t="s">
        <v>61</v>
      </c>
      <c r="K1307" s="149">
        <v>19.98</v>
      </c>
      <c r="L1307" s="18">
        <v>19.940000000000001</v>
      </c>
      <c r="M1307" s="18">
        <f t="shared" si="161"/>
        <v>19.940000000000001</v>
      </c>
      <c r="N1307" s="62">
        <f t="shared" si="166"/>
        <v>42595</v>
      </c>
      <c r="O1307" s="18">
        <v>1514408</v>
      </c>
      <c r="P1307" s="38">
        <f t="shared" si="162"/>
        <v>1511376.1521521523</v>
      </c>
      <c r="Q1307" s="178">
        <v>42614</v>
      </c>
      <c r="R1307" s="66">
        <v>42615</v>
      </c>
      <c r="S1307" s="113">
        <f t="shared" si="164"/>
        <v>20</v>
      </c>
    </row>
    <row r="1308" spans="1:19" hidden="1" x14ac:dyDescent="0.25">
      <c r="A1308" s="146">
        <v>457</v>
      </c>
      <c r="B1308" s="60">
        <v>42584</v>
      </c>
      <c r="C1308" s="18">
        <v>103</v>
      </c>
      <c r="D1308" s="18">
        <v>3000031813</v>
      </c>
      <c r="E1308" s="18" t="s">
        <v>60</v>
      </c>
      <c r="F1308" s="18">
        <v>389</v>
      </c>
      <c r="G1308" s="61">
        <v>42571</v>
      </c>
      <c r="H1308" s="61"/>
      <c r="I1308" s="61">
        <v>42577</v>
      </c>
      <c r="J1308" s="18" t="s">
        <v>61</v>
      </c>
      <c r="K1308" s="149">
        <v>16.2</v>
      </c>
      <c r="L1308" s="18">
        <v>16.170000000000002</v>
      </c>
      <c r="M1308" s="18">
        <f t="shared" si="161"/>
        <v>16.170000000000002</v>
      </c>
      <c r="N1308" s="62">
        <f t="shared" si="166"/>
        <v>42596</v>
      </c>
      <c r="O1308" s="18">
        <v>1227898</v>
      </c>
      <c r="P1308" s="38">
        <f t="shared" si="162"/>
        <v>1225624.1148148151</v>
      </c>
      <c r="Q1308" s="178">
        <v>42614</v>
      </c>
      <c r="R1308" s="66">
        <v>42615</v>
      </c>
      <c r="S1308" s="113">
        <f t="shared" si="164"/>
        <v>19</v>
      </c>
    </row>
    <row r="1309" spans="1:19" hidden="1" x14ac:dyDescent="0.25">
      <c r="A1309" s="146">
        <v>458</v>
      </c>
      <c r="B1309" s="60">
        <v>42584</v>
      </c>
      <c r="C1309" s="18">
        <v>103</v>
      </c>
      <c r="D1309" s="18">
        <v>3000031813</v>
      </c>
      <c r="E1309" s="18" t="s">
        <v>60</v>
      </c>
      <c r="F1309" s="18">
        <v>395</v>
      </c>
      <c r="G1309" s="61">
        <v>42572</v>
      </c>
      <c r="H1309" s="61"/>
      <c r="I1309" s="61">
        <v>42577</v>
      </c>
      <c r="J1309" s="18" t="s">
        <v>61</v>
      </c>
      <c r="K1309" s="149">
        <v>16.399999999999999</v>
      </c>
      <c r="L1309" s="18">
        <v>16.36</v>
      </c>
      <c r="M1309" s="18">
        <f t="shared" si="161"/>
        <v>16.36</v>
      </c>
      <c r="N1309" s="62">
        <f t="shared" si="166"/>
        <v>42596</v>
      </c>
      <c r="O1309" s="18">
        <v>1243058</v>
      </c>
      <c r="P1309" s="38">
        <f t="shared" si="162"/>
        <v>1240026.1512195121</v>
      </c>
      <c r="Q1309" s="178">
        <v>42614</v>
      </c>
      <c r="R1309" s="66">
        <v>42615</v>
      </c>
      <c r="S1309" s="113">
        <f t="shared" si="164"/>
        <v>19</v>
      </c>
    </row>
    <row r="1310" spans="1:19" hidden="1" x14ac:dyDescent="0.25">
      <c r="A1310" s="146">
        <v>391</v>
      </c>
      <c r="B1310" s="60">
        <v>42578</v>
      </c>
      <c r="C1310" s="18">
        <v>103</v>
      </c>
      <c r="D1310" s="18">
        <v>3000032684</v>
      </c>
      <c r="E1310" s="18" t="s">
        <v>199</v>
      </c>
      <c r="F1310" s="18">
        <v>5730</v>
      </c>
      <c r="G1310" s="61">
        <v>42571</v>
      </c>
      <c r="H1310" s="61"/>
      <c r="I1310" s="61">
        <v>42574</v>
      </c>
      <c r="J1310" s="18" t="s">
        <v>61</v>
      </c>
      <c r="K1310" s="149">
        <v>20.495000000000001</v>
      </c>
      <c r="L1310" s="18">
        <v>20.36</v>
      </c>
      <c r="M1310" s="18">
        <f t="shared" si="161"/>
        <v>20.36</v>
      </c>
      <c r="N1310" s="62">
        <f t="shared" si="166"/>
        <v>42593</v>
      </c>
      <c r="O1310" s="18">
        <v>1632479</v>
      </c>
      <c r="P1310" s="38">
        <f t="shared" si="162"/>
        <v>1621725.9058306904</v>
      </c>
      <c r="Q1310" s="178">
        <v>42614</v>
      </c>
      <c r="R1310" s="66">
        <v>42615</v>
      </c>
      <c r="S1310" s="113">
        <f t="shared" si="164"/>
        <v>22</v>
      </c>
    </row>
    <row r="1311" spans="1:19" hidden="1" x14ac:dyDescent="0.25">
      <c r="A1311" s="146">
        <v>396</v>
      </c>
      <c r="B1311" s="60">
        <v>42578</v>
      </c>
      <c r="C1311" s="18">
        <v>103</v>
      </c>
      <c r="D1311" s="18">
        <v>3000031794</v>
      </c>
      <c r="E1311" s="18" t="s">
        <v>159</v>
      </c>
      <c r="F1311" s="18">
        <v>359</v>
      </c>
      <c r="G1311" s="61">
        <v>42567</v>
      </c>
      <c r="H1311" s="61"/>
      <c r="I1311" s="61">
        <v>42575</v>
      </c>
      <c r="J1311" s="18" t="s">
        <v>61</v>
      </c>
      <c r="K1311" s="149">
        <v>24.59</v>
      </c>
      <c r="L1311" s="18">
        <v>24.49</v>
      </c>
      <c r="M1311" s="18">
        <f t="shared" si="161"/>
        <v>24.49</v>
      </c>
      <c r="N1311" s="62">
        <f t="shared" si="166"/>
        <v>42594</v>
      </c>
      <c r="O1311" s="18">
        <v>2004086</v>
      </c>
      <c r="P1311" s="38">
        <f t="shared" si="162"/>
        <v>1995935.9959333062</v>
      </c>
      <c r="Q1311" s="178">
        <v>42614</v>
      </c>
      <c r="R1311" s="66">
        <v>42615</v>
      </c>
      <c r="S1311" s="113">
        <f t="shared" si="164"/>
        <v>21</v>
      </c>
    </row>
    <row r="1312" spans="1:19" hidden="1" x14ac:dyDescent="0.25">
      <c r="A1312" s="146">
        <v>486</v>
      </c>
      <c r="B1312" s="60">
        <v>42586</v>
      </c>
      <c r="C1312" s="18">
        <v>114</v>
      </c>
      <c r="D1312" s="18">
        <v>3000032524</v>
      </c>
      <c r="E1312" s="18" t="s">
        <v>30</v>
      </c>
      <c r="F1312" s="18">
        <v>174</v>
      </c>
      <c r="G1312" s="61">
        <v>42577</v>
      </c>
      <c r="H1312" s="61"/>
      <c r="I1312" s="61">
        <v>42580</v>
      </c>
      <c r="J1312" s="18" t="s">
        <v>229</v>
      </c>
      <c r="K1312" s="149">
        <v>30.03</v>
      </c>
      <c r="L1312" s="18">
        <v>29.93</v>
      </c>
      <c r="M1312" s="18">
        <f t="shared" si="161"/>
        <v>29.93</v>
      </c>
      <c r="N1312" s="62">
        <f>+I1312+15-1</f>
        <v>42594</v>
      </c>
      <c r="O1312" s="18">
        <v>1636636</v>
      </c>
      <c r="P1312" s="38">
        <f t="shared" si="162"/>
        <v>1631185.9966699965</v>
      </c>
      <c r="Q1312" s="178">
        <v>42614</v>
      </c>
      <c r="R1312" s="66">
        <v>42615</v>
      </c>
      <c r="S1312" s="113">
        <f t="shared" si="164"/>
        <v>21</v>
      </c>
    </row>
    <row r="1313" spans="1:22" hidden="1" x14ac:dyDescent="0.25">
      <c r="A1313" s="146">
        <v>459</v>
      </c>
      <c r="B1313" s="60">
        <v>42584</v>
      </c>
      <c r="C1313" s="18">
        <v>103</v>
      </c>
      <c r="D1313" s="18">
        <v>3000031783</v>
      </c>
      <c r="E1313" s="18" t="s">
        <v>183</v>
      </c>
      <c r="F1313" s="18">
        <v>23</v>
      </c>
      <c r="G1313" s="61">
        <v>42571</v>
      </c>
      <c r="H1313" s="61"/>
      <c r="I1313" s="61">
        <v>42576</v>
      </c>
      <c r="J1313" s="18" t="s">
        <v>61</v>
      </c>
      <c r="K1313" s="149">
        <v>19.86</v>
      </c>
      <c r="L1313" s="18">
        <v>19.8</v>
      </c>
      <c r="M1313" s="18">
        <f t="shared" si="161"/>
        <v>19.8</v>
      </c>
      <c r="N1313" s="62">
        <f>+I1313+20-1</f>
        <v>42595</v>
      </c>
      <c r="O1313" s="18">
        <v>1618590</v>
      </c>
      <c r="P1313" s="38">
        <f t="shared" si="162"/>
        <v>1613700</v>
      </c>
      <c r="Q1313" s="178">
        <v>42614</v>
      </c>
      <c r="R1313" s="66">
        <v>42615</v>
      </c>
      <c r="S1313" s="113">
        <f t="shared" si="164"/>
        <v>20</v>
      </c>
    </row>
    <row r="1314" spans="1:22" hidden="1" x14ac:dyDescent="0.25">
      <c r="A1314" s="146">
        <v>331</v>
      </c>
      <c r="B1314" s="60">
        <v>42576</v>
      </c>
      <c r="C1314" s="18">
        <v>103</v>
      </c>
      <c r="D1314" s="18">
        <v>3000032206</v>
      </c>
      <c r="E1314" s="18" t="s">
        <v>260</v>
      </c>
      <c r="F1314" s="18">
        <v>27</v>
      </c>
      <c r="G1314" s="61">
        <v>42568</v>
      </c>
      <c r="H1314" s="61"/>
      <c r="I1314" s="61">
        <v>42571</v>
      </c>
      <c r="J1314" s="18" t="s">
        <v>61</v>
      </c>
      <c r="K1314" s="149">
        <v>20.055</v>
      </c>
      <c r="L1314" s="18">
        <v>19.96</v>
      </c>
      <c r="M1314" s="18">
        <f t="shared" si="161"/>
        <v>19.96</v>
      </c>
      <c r="N1314" s="62">
        <f>+I1314+20-1</f>
        <v>42590</v>
      </c>
      <c r="O1314" s="18">
        <v>1660905</v>
      </c>
      <c r="P1314" s="38">
        <f t="shared" si="162"/>
        <v>1653037.3373223636</v>
      </c>
      <c r="Q1314" s="178">
        <v>42614</v>
      </c>
      <c r="R1314" s="66">
        <v>42615</v>
      </c>
      <c r="S1314" s="113">
        <f t="shared" si="164"/>
        <v>25</v>
      </c>
    </row>
    <row r="1315" spans="1:22" hidden="1" x14ac:dyDescent="0.25">
      <c r="A1315" s="146">
        <v>518</v>
      </c>
      <c r="B1315" s="60">
        <v>42587</v>
      </c>
      <c r="C1315" s="18">
        <v>103</v>
      </c>
      <c r="D1315" s="18">
        <v>3000032683</v>
      </c>
      <c r="E1315" s="18" t="s">
        <v>260</v>
      </c>
      <c r="F1315" s="18">
        <v>33</v>
      </c>
      <c r="G1315" s="61">
        <v>42578</v>
      </c>
      <c r="H1315" s="61"/>
      <c r="I1315" s="61">
        <v>42580</v>
      </c>
      <c r="J1315" s="18" t="s">
        <v>61</v>
      </c>
      <c r="K1315" s="149">
        <v>19.754999999999999</v>
      </c>
      <c r="L1315" s="18">
        <v>19.7</v>
      </c>
      <c r="M1315" s="18">
        <f t="shared" si="161"/>
        <v>19.7</v>
      </c>
      <c r="N1315" s="62">
        <f>+I1315+20-1</f>
        <v>42599</v>
      </c>
      <c r="O1315" s="18">
        <v>1621471</v>
      </c>
      <c r="P1315" s="38">
        <f t="shared" si="162"/>
        <v>1616956.6540116426</v>
      </c>
      <c r="Q1315" s="178">
        <v>42614</v>
      </c>
      <c r="R1315" s="66">
        <v>42615</v>
      </c>
      <c r="S1315" s="191">
        <f t="shared" si="164"/>
        <v>16</v>
      </c>
      <c r="T1315" s="9" t="s">
        <v>295</v>
      </c>
      <c r="U1315" s="9"/>
      <c r="V1315" s="9"/>
    </row>
    <row r="1316" spans="1:22" s="3" customFormat="1" hidden="1" x14ac:dyDescent="0.25">
      <c r="A1316" s="30">
        <v>708</v>
      </c>
      <c r="B1316" s="24">
        <v>42626</v>
      </c>
      <c r="C1316" s="1">
        <v>103</v>
      </c>
      <c r="D1316" s="1">
        <v>3000034189</v>
      </c>
      <c r="E1316" s="8" t="s">
        <v>299</v>
      </c>
      <c r="F1316" s="1">
        <v>8605000420</v>
      </c>
      <c r="G1316" s="25">
        <v>42616</v>
      </c>
      <c r="H1316" s="25"/>
      <c r="I1316" s="25">
        <v>42623</v>
      </c>
      <c r="J1316" s="1" t="s">
        <v>61</v>
      </c>
      <c r="K1316" s="77">
        <v>19.989999999999998</v>
      </c>
      <c r="L1316" s="1">
        <v>19.989999999999998</v>
      </c>
      <c r="M1316" s="1">
        <f t="shared" si="161"/>
        <v>19.989999999999998</v>
      </c>
      <c r="N1316" s="7">
        <f>+I1316+15-1</f>
        <v>42637</v>
      </c>
      <c r="O1316" s="1">
        <v>1733133</v>
      </c>
      <c r="P1316" s="26">
        <f t="shared" si="162"/>
        <v>1733132.9999999998</v>
      </c>
      <c r="Q1316" s="102" t="s">
        <v>164</v>
      </c>
      <c r="R1316" s="1"/>
      <c r="S1316" s="77"/>
    </row>
    <row r="1317" spans="1:22" s="3" customFormat="1" hidden="1" x14ac:dyDescent="0.25">
      <c r="A1317" s="30">
        <v>767</v>
      </c>
      <c r="B1317" s="24">
        <v>42639</v>
      </c>
      <c r="C1317" s="1">
        <v>103</v>
      </c>
      <c r="D1317" s="1">
        <v>3000034189</v>
      </c>
      <c r="E1317" s="8" t="s">
        <v>299</v>
      </c>
      <c r="F1317" s="1">
        <v>8605000452</v>
      </c>
      <c r="G1317" s="25">
        <v>42627</v>
      </c>
      <c r="H1317" s="25"/>
      <c r="I1317" s="25">
        <v>42627</v>
      </c>
      <c r="J1317" s="1" t="s">
        <v>61</v>
      </c>
      <c r="K1317" s="77">
        <v>19.84</v>
      </c>
      <c r="L1317" s="1">
        <v>19.84</v>
      </c>
      <c r="M1317" s="1">
        <f t="shared" si="161"/>
        <v>19.84</v>
      </c>
      <c r="N1317" s="7">
        <f>+I1317+15-1</f>
        <v>42641</v>
      </c>
      <c r="O1317" s="1">
        <v>1720128</v>
      </c>
      <c r="P1317" s="26">
        <f t="shared" si="162"/>
        <v>1720128</v>
      </c>
      <c r="R1317" s="1"/>
    </row>
    <row r="1318" spans="1:22" s="3" customFormat="1" hidden="1" x14ac:dyDescent="0.25">
      <c r="A1318" s="30">
        <v>785</v>
      </c>
      <c r="B1318" s="24">
        <v>42642</v>
      </c>
      <c r="C1318" s="1">
        <v>103</v>
      </c>
      <c r="D1318" s="1">
        <v>3000034189</v>
      </c>
      <c r="E1318" s="8" t="s">
        <v>299</v>
      </c>
      <c r="F1318" s="1">
        <v>8605000466</v>
      </c>
      <c r="G1318" s="25">
        <v>42630</v>
      </c>
      <c r="H1318" s="25"/>
      <c r="I1318" s="25">
        <v>42635</v>
      </c>
      <c r="J1318" s="1" t="s">
        <v>61</v>
      </c>
      <c r="K1318" s="77">
        <v>20.399999999999999</v>
      </c>
      <c r="L1318" s="1">
        <v>20.399999999999999</v>
      </c>
      <c r="M1318" s="1">
        <f t="shared" si="161"/>
        <v>20.399999999999999</v>
      </c>
      <c r="N1318" s="7">
        <f>+I1318+15-1</f>
        <v>42649</v>
      </c>
      <c r="O1318" s="1">
        <v>1768680</v>
      </c>
      <c r="P1318" s="26">
        <f t="shared" si="162"/>
        <v>1768679.9999999998</v>
      </c>
      <c r="R1318" s="1"/>
    </row>
    <row r="1319" spans="1:22" s="3" customFormat="1" hidden="1" x14ac:dyDescent="0.25">
      <c r="A1319" s="30">
        <v>709</v>
      </c>
      <c r="B1319" s="24">
        <v>42626</v>
      </c>
      <c r="C1319" s="1">
        <v>103</v>
      </c>
      <c r="D1319" s="1">
        <v>3000033944</v>
      </c>
      <c r="E1319" s="1" t="s">
        <v>300</v>
      </c>
      <c r="F1319" s="1">
        <v>1600445</v>
      </c>
      <c r="G1319" s="25">
        <v>42618</v>
      </c>
      <c r="H1319" s="25"/>
      <c r="I1319" s="25">
        <v>42622</v>
      </c>
      <c r="J1319" s="1" t="s">
        <v>61</v>
      </c>
      <c r="K1319" s="77">
        <v>19.899999999999999</v>
      </c>
      <c r="L1319" s="1">
        <v>19.79</v>
      </c>
      <c r="M1319" s="1">
        <f t="shared" si="161"/>
        <v>19.79</v>
      </c>
      <c r="N1319" s="7">
        <f>+I1319+30-1</f>
        <v>42651</v>
      </c>
      <c r="O1319" s="1">
        <v>1771100</v>
      </c>
      <c r="P1319" s="26">
        <f t="shared" si="162"/>
        <v>1761310</v>
      </c>
      <c r="Q1319" s="102" t="s">
        <v>164</v>
      </c>
      <c r="R1319" s="1"/>
      <c r="S1319" s="77"/>
    </row>
    <row r="1320" spans="1:22" s="3" customFormat="1" hidden="1" x14ac:dyDescent="0.25">
      <c r="A1320" s="30">
        <v>710</v>
      </c>
      <c r="B1320" s="24">
        <v>42626</v>
      </c>
      <c r="C1320" s="1">
        <v>103</v>
      </c>
      <c r="D1320" s="1">
        <v>3000033944</v>
      </c>
      <c r="E1320" s="1" t="s">
        <v>300</v>
      </c>
      <c r="F1320" s="1">
        <v>1600446</v>
      </c>
      <c r="G1320" s="25">
        <v>42618</v>
      </c>
      <c r="H1320" s="25"/>
      <c r="I1320" s="25">
        <v>42622</v>
      </c>
      <c r="J1320" s="1" t="s">
        <v>61</v>
      </c>
      <c r="K1320" s="77">
        <v>19.940000000000001</v>
      </c>
      <c r="L1320" s="1">
        <v>19.8</v>
      </c>
      <c r="M1320" s="1">
        <f t="shared" si="161"/>
        <v>19.8</v>
      </c>
      <c r="N1320" s="7">
        <f>+I1320+30-1</f>
        <v>42651</v>
      </c>
      <c r="O1320" s="1">
        <v>1774660</v>
      </c>
      <c r="P1320" s="26">
        <f t="shared" si="162"/>
        <v>1762200</v>
      </c>
      <c r="Q1320" s="102" t="s">
        <v>164</v>
      </c>
      <c r="R1320" s="1"/>
      <c r="S1320" s="77"/>
    </row>
    <row r="1321" spans="1:22" s="3" customFormat="1" hidden="1" x14ac:dyDescent="0.25">
      <c r="A1321" s="30">
        <v>873</v>
      </c>
      <c r="B1321" s="24">
        <v>42657</v>
      </c>
      <c r="C1321" s="1">
        <v>103</v>
      </c>
      <c r="D1321" s="1">
        <v>3000034558</v>
      </c>
      <c r="E1321" s="1" t="s">
        <v>300</v>
      </c>
      <c r="F1321" s="1">
        <v>1600488</v>
      </c>
      <c r="G1321" s="25">
        <v>42634</v>
      </c>
      <c r="H1321" s="25"/>
      <c r="I1321" s="25">
        <v>42638</v>
      </c>
      <c r="J1321" s="1" t="s">
        <v>61</v>
      </c>
      <c r="K1321" s="77">
        <v>16.489999999999998</v>
      </c>
      <c r="L1321" s="1">
        <v>16.45</v>
      </c>
      <c r="M1321" s="1">
        <f t="shared" si="161"/>
        <v>16.45</v>
      </c>
      <c r="N1321" s="7">
        <f>+I1321+20-1</f>
        <v>42657</v>
      </c>
      <c r="O1321" s="1">
        <v>1409895</v>
      </c>
      <c r="P1321" s="26">
        <f t="shared" si="162"/>
        <v>1406475.0000000002</v>
      </c>
      <c r="Q1321" s="86" t="s">
        <v>164</v>
      </c>
      <c r="R1321" s="1"/>
    </row>
    <row r="1322" spans="1:22" s="3" customFormat="1" hidden="1" x14ac:dyDescent="0.25">
      <c r="A1322" s="30">
        <v>874</v>
      </c>
      <c r="B1322" s="24">
        <v>42657</v>
      </c>
      <c r="C1322" s="1">
        <v>103</v>
      </c>
      <c r="D1322" s="1">
        <v>3000034558</v>
      </c>
      <c r="E1322" s="1" t="s">
        <v>300</v>
      </c>
      <c r="F1322" s="1">
        <v>1600489</v>
      </c>
      <c r="G1322" s="25">
        <v>42634</v>
      </c>
      <c r="H1322" s="25"/>
      <c r="I1322" s="25">
        <v>42638</v>
      </c>
      <c r="J1322" s="1" t="s">
        <v>61</v>
      </c>
      <c r="K1322" s="77">
        <v>22.7</v>
      </c>
      <c r="L1322" s="1">
        <v>22.65</v>
      </c>
      <c r="M1322" s="1">
        <f t="shared" si="161"/>
        <v>22.65</v>
      </c>
      <c r="N1322" s="7">
        <f>+I1322+20-1</f>
        <v>42657</v>
      </c>
      <c r="O1322" s="1">
        <v>1940850</v>
      </c>
      <c r="P1322" s="26">
        <f t="shared" si="162"/>
        <v>1936574.9999999998</v>
      </c>
      <c r="Q1322" s="86" t="s">
        <v>164</v>
      </c>
      <c r="R1322" s="1"/>
    </row>
    <row r="1323" spans="1:22" hidden="1" x14ac:dyDescent="0.25">
      <c r="A1323" s="122">
        <v>273</v>
      </c>
      <c r="B1323" s="51">
        <v>42571</v>
      </c>
      <c r="C1323" s="21">
        <v>103</v>
      </c>
      <c r="D1323" s="21"/>
      <c r="E1323" s="21" t="s">
        <v>26</v>
      </c>
      <c r="F1323" s="21" t="s">
        <v>237</v>
      </c>
      <c r="G1323" s="52">
        <v>42427</v>
      </c>
      <c r="H1323" s="52"/>
      <c r="I1323" s="52">
        <v>42427</v>
      </c>
      <c r="J1323" s="21" t="s">
        <v>235</v>
      </c>
      <c r="K1323" s="124"/>
      <c r="L1323" s="21"/>
      <c r="M1323" s="21">
        <v>0</v>
      </c>
      <c r="N1323" s="22">
        <v>42441</v>
      </c>
      <c r="O1323" s="21">
        <v>705009</v>
      </c>
      <c r="P1323" s="108">
        <v>634508.1</v>
      </c>
      <c r="Q1323" s="182">
        <v>42628</v>
      </c>
      <c r="R1323" s="66">
        <v>42629</v>
      </c>
      <c r="S1323" s="191">
        <f t="shared" ref="S1323:S1386" si="167">R1323-N1323</f>
        <v>188</v>
      </c>
    </row>
    <row r="1324" spans="1:22" hidden="1" x14ac:dyDescent="0.25">
      <c r="A1324" s="122">
        <v>276</v>
      </c>
      <c r="B1324" s="51">
        <v>42571</v>
      </c>
      <c r="C1324" s="21">
        <v>103</v>
      </c>
      <c r="D1324" s="21"/>
      <c r="E1324" s="21" t="s">
        <v>26</v>
      </c>
      <c r="F1324" s="21" t="s">
        <v>240</v>
      </c>
      <c r="G1324" s="52">
        <v>42427</v>
      </c>
      <c r="H1324" s="52"/>
      <c r="I1324" s="52">
        <v>42427</v>
      </c>
      <c r="J1324" s="21" t="s">
        <v>235</v>
      </c>
      <c r="K1324" s="124"/>
      <c r="L1324" s="21"/>
      <c r="M1324" s="21">
        <v>0</v>
      </c>
      <c r="N1324" s="22">
        <v>42441</v>
      </c>
      <c r="O1324" s="21">
        <v>505793</v>
      </c>
      <c r="P1324" s="108">
        <v>455213.7</v>
      </c>
      <c r="Q1324" s="178">
        <v>42628</v>
      </c>
      <c r="R1324" s="66">
        <v>42629</v>
      </c>
      <c r="S1324" s="191">
        <f t="shared" si="167"/>
        <v>188</v>
      </c>
    </row>
    <row r="1325" spans="1:22" hidden="1" x14ac:dyDescent="0.25">
      <c r="A1325" s="122">
        <v>279</v>
      </c>
      <c r="B1325" s="51">
        <v>42572</v>
      </c>
      <c r="C1325" s="21">
        <v>103</v>
      </c>
      <c r="D1325" s="21"/>
      <c r="E1325" s="21" t="s">
        <v>26</v>
      </c>
      <c r="F1325" s="21" t="s">
        <v>242</v>
      </c>
      <c r="G1325" s="52">
        <v>42492</v>
      </c>
      <c r="H1325" s="52"/>
      <c r="I1325" s="52">
        <v>42492</v>
      </c>
      <c r="J1325" s="21" t="s">
        <v>235</v>
      </c>
      <c r="K1325" s="124"/>
      <c r="L1325" s="21"/>
      <c r="M1325" s="21">
        <v>0</v>
      </c>
      <c r="N1325" s="22">
        <v>42506</v>
      </c>
      <c r="O1325" s="21">
        <v>53971</v>
      </c>
      <c r="P1325" s="108">
        <v>48573.9</v>
      </c>
      <c r="Q1325" s="178">
        <v>42628</v>
      </c>
      <c r="R1325" s="66">
        <v>42629</v>
      </c>
      <c r="S1325" s="191">
        <f t="shared" si="167"/>
        <v>123</v>
      </c>
    </row>
    <row r="1326" spans="1:22" hidden="1" x14ac:dyDescent="0.25">
      <c r="A1326" s="122">
        <v>280</v>
      </c>
      <c r="B1326" s="51">
        <v>42572</v>
      </c>
      <c r="C1326" s="21">
        <v>103</v>
      </c>
      <c r="D1326" s="21"/>
      <c r="E1326" s="21" t="s">
        <v>26</v>
      </c>
      <c r="F1326" s="21" t="s">
        <v>243</v>
      </c>
      <c r="G1326" s="52">
        <v>42492</v>
      </c>
      <c r="H1326" s="52"/>
      <c r="I1326" s="52">
        <v>42492</v>
      </c>
      <c r="J1326" s="21" t="s">
        <v>235</v>
      </c>
      <c r="K1326" s="124"/>
      <c r="L1326" s="21"/>
      <c r="M1326" s="21">
        <v>0</v>
      </c>
      <c r="N1326" s="22">
        <v>42506</v>
      </c>
      <c r="O1326" s="21">
        <v>257795</v>
      </c>
      <c r="P1326" s="108">
        <v>232015.5</v>
      </c>
      <c r="Q1326" s="178">
        <v>42628</v>
      </c>
      <c r="R1326" s="66">
        <v>42629</v>
      </c>
      <c r="S1326" s="191">
        <f t="shared" si="167"/>
        <v>123</v>
      </c>
    </row>
    <row r="1327" spans="1:22" hidden="1" x14ac:dyDescent="0.25">
      <c r="A1327" s="122">
        <v>281</v>
      </c>
      <c r="B1327" s="51">
        <v>42572</v>
      </c>
      <c r="C1327" s="21">
        <v>103</v>
      </c>
      <c r="D1327" s="21"/>
      <c r="E1327" s="21" t="s">
        <v>26</v>
      </c>
      <c r="F1327" s="21" t="s">
        <v>244</v>
      </c>
      <c r="G1327" s="52">
        <v>42492</v>
      </c>
      <c r="H1327" s="52"/>
      <c r="I1327" s="52">
        <v>42492</v>
      </c>
      <c r="J1327" s="21" t="s">
        <v>235</v>
      </c>
      <c r="K1327" s="124"/>
      <c r="L1327" s="21"/>
      <c r="M1327" s="21">
        <v>0</v>
      </c>
      <c r="N1327" s="22">
        <v>42506</v>
      </c>
      <c r="O1327" s="21">
        <v>326583</v>
      </c>
      <c r="P1327" s="108">
        <v>293924.7</v>
      </c>
      <c r="Q1327" s="178">
        <v>42628</v>
      </c>
      <c r="R1327" s="66">
        <v>42629</v>
      </c>
      <c r="S1327" s="191">
        <f t="shared" si="167"/>
        <v>123</v>
      </c>
    </row>
    <row r="1328" spans="1:22" hidden="1" x14ac:dyDescent="0.25">
      <c r="A1328" s="122">
        <v>282</v>
      </c>
      <c r="B1328" s="51">
        <v>42572</v>
      </c>
      <c r="C1328" s="21">
        <v>103</v>
      </c>
      <c r="D1328" s="21"/>
      <c r="E1328" s="21" t="s">
        <v>26</v>
      </c>
      <c r="F1328" s="21" t="s">
        <v>245</v>
      </c>
      <c r="G1328" s="52">
        <v>42492</v>
      </c>
      <c r="H1328" s="52"/>
      <c r="I1328" s="52">
        <v>42492</v>
      </c>
      <c r="J1328" s="21" t="s">
        <v>235</v>
      </c>
      <c r="K1328" s="124"/>
      <c r="L1328" s="21"/>
      <c r="M1328" s="21">
        <v>0</v>
      </c>
      <c r="N1328" s="22">
        <v>42506</v>
      </c>
      <c r="O1328" s="21">
        <v>78009</v>
      </c>
      <c r="P1328" s="108">
        <v>70208.100000000006</v>
      </c>
      <c r="Q1328" s="178">
        <v>42628</v>
      </c>
      <c r="R1328" s="66">
        <v>42629</v>
      </c>
      <c r="S1328" s="191">
        <f t="shared" si="167"/>
        <v>123</v>
      </c>
    </row>
    <row r="1329" spans="1:21" hidden="1" x14ac:dyDescent="0.25">
      <c r="A1329" s="122">
        <v>283</v>
      </c>
      <c r="B1329" s="51">
        <v>42572</v>
      </c>
      <c r="C1329" s="21">
        <v>103</v>
      </c>
      <c r="D1329" s="21"/>
      <c r="E1329" s="21" t="s">
        <v>26</v>
      </c>
      <c r="F1329" s="21" t="s">
        <v>259</v>
      </c>
      <c r="G1329" s="52">
        <v>42492</v>
      </c>
      <c r="H1329" s="52"/>
      <c r="I1329" s="52">
        <v>42492</v>
      </c>
      <c r="J1329" s="21" t="s">
        <v>235</v>
      </c>
      <c r="K1329" s="124"/>
      <c r="L1329" s="21"/>
      <c r="M1329" s="21">
        <v>0</v>
      </c>
      <c r="N1329" s="22">
        <v>42506</v>
      </c>
      <c r="O1329" s="21">
        <v>119211</v>
      </c>
      <c r="P1329" s="108">
        <v>107289.9</v>
      </c>
      <c r="Q1329" s="178">
        <v>42628</v>
      </c>
      <c r="R1329" s="66">
        <v>42629</v>
      </c>
      <c r="S1329" s="191">
        <f t="shared" si="167"/>
        <v>123</v>
      </c>
    </row>
    <row r="1330" spans="1:21" hidden="1" x14ac:dyDescent="0.25">
      <c r="A1330" s="122">
        <v>284</v>
      </c>
      <c r="B1330" s="51">
        <v>42572</v>
      </c>
      <c r="C1330" s="21">
        <v>103</v>
      </c>
      <c r="D1330" s="21"/>
      <c r="E1330" s="21" t="s">
        <v>26</v>
      </c>
      <c r="F1330" s="21" t="s">
        <v>246</v>
      </c>
      <c r="G1330" s="52">
        <v>42492</v>
      </c>
      <c r="H1330" s="52"/>
      <c r="I1330" s="52">
        <v>42492</v>
      </c>
      <c r="J1330" s="21" t="s">
        <v>235</v>
      </c>
      <c r="K1330" s="124"/>
      <c r="L1330" s="21"/>
      <c r="M1330" s="21">
        <v>0</v>
      </c>
      <c r="N1330" s="22">
        <v>42506</v>
      </c>
      <c r="O1330" s="21">
        <v>63233</v>
      </c>
      <c r="P1330" s="108">
        <v>56909.7</v>
      </c>
      <c r="Q1330" s="178">
        <v>42628</v>
      </c>
      <c r="R1330" s="66">
        <v>42629</v>
      </c>
      <c r="S1330" s="191">
        <f t="shared" si="167"/>
        <v>123</v>
      </c>
    </row>
    <row r="1331" spans="1:21" hidden="1" x14ac:dyDescent="0.25">
      <c r="A1331" s="122">
        <v>285</v>
      </c>
      <c r="B1331" s="51">
        <v>42572</v>
      </c>
      <c r="C1331" s="21">
        <v>103</v>
      </c>
      <c r="D1331" s="21"/>
      <c r="E1331" s="21" t="s">
        <v>26</v>
      </c>
      <c r="F1331" s="21" t="s">
        <v>247</v>
      </c>
      <c r="G1331" s="52">
        <v>42492</v>
      </c>
      <c r="H1331" s="52"/>
      <c r="I1331" s="52">
        <v>42492</v>
      </c>
      <c r="J1331" s="21" t="s">
        <v>235</v>
      </c>
      <c r="K1331" s="124"/>
      <c r="L1331" s="21"/>
      <c r="M1331" s="21">
        <v>0</v>
      </c>
      <c r="N1331" s="22">
        <v>42506</v>
      </c>
      <c r="O1331" s="21">
        <v>50348</v>
      </c>
      <c r="P1331" s="108">
        <v>45313.2</v>
      </c>
      <c r="Q1331" s="178">
        <v>42628</v>
      </c>
      <c r="R1331" s="66">
        <v>42629</v>
      </c>
      <c r="S1331" s="191">
        <f t="shared" si="167"/>
        <v>123</v>
      </c>
    </row>
    <row r="1332" spans="1:21" hidden="1" x14ac:dyDescent="0.25">
      <c r="A1332" s="122">
        <v>286</v>
      </c>
      <c r="B1332" s="51">
        <v>42572</v>
      </c>
      <c r="C1332" s="21">
        <v>103</v>
      </c>
      <c r="D1332" s="21"/>
      <c r="E1332" s="21" t="s">
        <v>26</v>
      </c>
      <c r="F1332" s="21" t="s">
        <v>248</v>
      </c>
      <c r="G1332" s="52">
        <v>42492</v>
      </c>
      <c r="H1332" s="52"/>
      <c r="I1332" s="52">
        <v>42492</v>
      </c>
      <c r="J1332" s="21" t="s">
        <v>235</v>
      </c>
      <c r="K1332" s="124"/>
      <c r="L1332" s="21"/>
      <c r="M1332" s="21">
        <v>0</v>
      </c>
      <c r="N1332" s="22">
        <v>42506</v>
      </c>
      <c r="O1332" s="21">
        <v>217344</v>
      </c>
      <c r="P1332" s="108">
        <v>195609.60000000001</v>
      </c>
      <c r="Q1332" s="178">
        <v>42628</v>
      </c>
      <c r="R1332" s="66">
        <v>42629</v>
      </c>
      <c r="S1332" s="191">
        <f t="shared" si="167"/>
        <v>123</v>
      </c>
    </row>
    <row r="1333" spans="1:21" hidden="1" x14ac:dyDescent="0.25">
      <c r="A1333" s="122">
        <v>287</v>
      </c>
      <c r="B1333" s="51">
        <v>42572</v>
      </c>
      <c r="C1333" s="21">
        <v>103</v>
      </c>
      <c r="D1333" s="21"/>
      <c r="E1333" s="21" t="s">
        <v>26</v>
      </c>
      <c r="F1333" s="21" t="s">
        <v>249</v>
      </c>
      <c r="G1333" s="52">
        <v>42492</v>
      </c>
      <c r="H1333" s="52"/>
      <c r="I1333" s="52">
        <v>42492</v>
      </c>
      <c r="J1333" s="21" t="s">
        <v>235</v>
      </c>
      <c r="K1333" s="124"/>
      <c r="L1333" s="21"/>
      <c r="M1333" s="21">
        <v>0</v>
      </c>
      <c r="N1333" s="22">
        <v>42506</v>
      </c>
      <c r="O1333" s="21">
        <v>61168</v>
      </c>
      <c r="P1333" s="108">
        <v>55051.199999999997</v>
      </c>
      <c r="Q1333" s="178">
        <v>42628</v>
      </c>
      <c r="R1333" s="66">
        <v>42629</v>
      </c>
      <c r="S1333" s="191">
        <f t="shared" si="167"/>
        <v>123</v>
      </c>
    </row>
    <row r="1334" spans="1:21" hidden="1" x14ac:dyDescent="0.25">
      <c r="A1334" s="122">
        <v>288</v>
      </c>
      <c r="B1334" s="51">
        <v>42572</v>
      </c>
      <c r="C1334" s="21">
        <v>103</v>
      </c>
      <c r="D1334" s="21"/>
      <c r="E1334" s="21" t="s">
        <v>26</v>
      </c>
      <c r="F1334" s="21" t="s">
        <v>250</v>
      </c>
      <c r="G1334" s="52">
        <v>42492</v>
      </c>
      <c r="H1334" s="52"/>
      <c r="I1334" s="52">
        <v>42492</v>
      </c>
      <c r="J1334" s="21" t="s">
        <v>235</v>
      </c>
      <c r="K1334" s="124"/>
      <c r="L1334" s="21"/>
      <c r="M1334" s="21">
        <v>0</v>
      </c>
      <c r="N1334" s="22">
        <v>42506</v>
      </c>
      <c r="O1334" s="21">
        <v>126120</v>
      </c>
      <c r="P1334" s="108">
        <v>113508</v>
      </c>
      <c r="Q1334" s="178">
        <v>42628</v>
      </c>
      <c r="R1334" s="66">
        <v>42629</v>
      </c>
      <c r="S1334" s="191">
        <f t="shared" si="167"/>
        <v>123</v>
      </c>
    </row>
    <row r="1335" spans="1:21" hidden="1" x14ac:dyDescent="0.25">
      <c r="A1335" s="122">
        <v>289</v>
      </c>
      <c r="B1335" s="51">
        <v>42572</v>
      </c>
      <c r="C1335" s="21">
        <v>103</v>
      </c>
      <c r="D1335" s="21"/>
      <c r="E1335" s="21" t="s">
        <v>26</v>
      </c>
      <c r="F1335" s="21" t="s">
        <v>251</v>
      </c>
      <c r="G1335" s="52">
        <v>42492</v>
      </c>
      <c r="H1335" s="52"/>
      <c r="I1335" s="52">
        <v>42492</v>
      </c>
      <c r="J1335" s="21" t="s">
        <v>235</v>
      </c>
      <c r="K1335" s="124"/>
      <c r="L1335" s="21"/>
      <c r="M1335" s="21">
        <v>0</v>
      </c>
      <c r="N1335" s="22">
        <v>42506</v>
      </c>
      <c r="O1335" s="21">
        <v>212715</v>
      </c>
      <c r="P1335" s="108">
        <v>191443.5</v>
      </c>
      <c r="Q1335" s="178">
        <v>42628</v>
      </c>
      <c r="R1335" s="66">
        <v>42629</v>
      </c>
      <c r="S1335" s="191">
        <f t="shared" si="167"/>
        <v>123</v>
      </c>
    </row>
    <row r="1336" spans="1:21" hidden="1" x14ac:dyDescent="0.25">
      <c r="A1336" s="122">
        <v>290</v>
      </c>
      <c r="B1336" s="51">
        <v>42572</v>
      </c>
      <c r="C1336" s="21">
        <v>103</v>
      </c>
      <c r="D1336" s="21"/>
      <c r="E1336" s="21" t="s">
        <v>26</v>
      </c>
      <c r="F1336" s="21" t="s">
        <v>252</v>
      </c>
      <c r="G1336" s="52">
        <v>42492</v>
      </c>
      <c r="H1336" s="52"/>
      <c r="I1336" s="52">
        <v>42492</v>
      </c>
      <c r="J1336" s="21" t="s">
        <v>235</v>
      </c>
      <c r="K1336" s="124"/>
      <c r="L1336" s="21"/>
      <c r="M1336" s="21">
        <v>0</v>
      </c>
      <c r="N1336" s="22">
        <v>42506</v>
      </c>
      <c r="O1336" s="21">
        <v>162729</v>
      </c>
      <c r="P1336" s="108">
        <v>146456.1</v>
      </c>
      <c r="Q1336" s="178">
        <v>42628</v>
      </c>
      <c r="R1336" s="66">
        <v>42629</v>
      </c>
      <c r="S1336" s="191">
        <f t="shared" si="167"/>
        <v>123</v>
      </c>
    </row>
    <row r="1337" spans="1:21" hidden="1" x14ac:dyDescent="0.25">
      <c r="A1337" s="122">
        <v>291</v>
      </c>
      <c r="B1337" s="51">
        <v>42572</v>
      </c>
      <c r="C1337" s="21">
        <v>103</v>
      </c>
      <c r="D1337" s="21"/>
      <c r="E1337" s="21" t="s">
        <v>26</v>
      </c>
      <c r="F1337" s="21" t="s">
        <v>253</v>
      </c>
      <c r="G1337" s="52">
        <v>42492</v>
      </c>
      <c r="H1337" s="52"/>
      <c r="I1337" s="52">
        <v>42492</v>
      </c>
      <c r="J1337" s="21" t="s">
        <v>235</v>
      </c>
      <c r="K1337" s="124"/>
      <c r="L1337" s="21"/>
      <c r="M1337" s="21">
        <v>0</v>
      </c>
      <c r="N1337" s="22">
        <v>42506</v>
      </c>
      <c r="O1337" s="21">
        <v>102038</v>
      </c>
      <c r="P1337" s="108">
        <v>91834.2</v>
      </c>
      <c r="Q1337" s="178">
        <v>42628</v>
      </c>
      <c r="R1337" s="66">
        <v>42629</v>
      </c>
      <c r="S1337" s="191">
        <f t="shared" si="167"/>
        <v>123</v>
      </c>
    </row>
    <row r="1338" spans="1:21" hidden="1" x14ac:dyDescent="0.25">
      <c r="A1338" s="122">
        <v>292</v>
      </c>
      <c r="B1338" s="51">
        <v>42572</v>
      </c>
      <c r="C1338" s="21">
        <v>103</v>
      </c>
      <c r="D1338" s="21"/>
      <c r="E1338" s="21" t="s">
        <v>26</v>
      </c>
      <c r="F1338" s="21" t="s">
        <v>254</v>
      </c>
      <c r="G1338" s="52">
        <v>42492</v>
      </c>
      <c r="H1338" s="52"/>
      <c r="I1338" s="52">
        <v>42492</v>
      </c>
      <c r="J1338" s="21" t="s">
        <v>235</v>
      </c>
      <c r="K1338" s="124"/>
      <c r="L1338" s="21"/>
      <c r="M1338" s="21">
        <v>0</v>
      </c>
      <c r="N1338" s="22">
        <v>42506</v>
      </c>
      <c r="O1338" s="21">
        <v>262289</v>
      </c>
      <c r="P1338" s="108">
        <v>236060.1</v>
      </c>
      <c r="Q1338" s="178">
        <v>42628</v>
      </c>
      <c r="R1338" s="66">
        <v>42629</v>
      </c>
      <c r="S1338" s="191">
        <f t="shared" si="167"/>
        <v>123</v>
      </c>
    </row>
    <row r="1339" spans="1:21" hidden="1" x14ac:dyDescent="0.25">
      <c r="A1339" s="122">
        <v>293</v>
      </c>
      <c r="B1339" s="51">
        <v>42572</v>
      </c>
      <c r="C1339" s="21">
        <v>103</v>
      </c>
      <c r="D1339" s="21"/>
      <c r="E1339" s="21" t="s">
        <v>26</v>
      </c>
      <c r="F1339" s="21" t="s">
        <v>255</v>
      </c>
      <c r="G1339" s="52">
        <v>42492</v>
      </c>
      <c r="H1339" s="52"/>
      <c r="I1339" s="52">
        <v>42492</v>
      </c>
      <c r="J1339" s="21" t="s">
        <v>235</v>
      </c>
      <c r="K1339" s="124"/>
      <c r="L1339" s="21"/>
      <c r="M1339" s="21">
        <v>0</v>
      </c>
      <c r="N1339" s="22">
        <v>42506</v>
      </c>
      <c r="O1339" s="21">
        <v>834524</v>
      </c>
      <c r="P1339" s="108">
        <v>751071.6</v>
      </c>
      <c r="Q1339" s="178">
        <v>42628</v>
      </c>
      <c r="R1339" s="66">
        <v>42629</v>
      </c>
      <c r="S1339" s="191">
        <f t="shared" si="167"/>
        <v>123</v>
      </c>
    </row>
    <row r="1340" spans="1:21" hidden="1" x14ac:dyDescent="0.25">
      <c r="A1340" s="122">
        <v>294</v>
      </c>
      <c r="B1340" s="51">
        <v>42572</v>
      </c>
      <c r="C1340" s="21">
        <v>103</v>
      </c>
      <c r="D1340" s="21"/>
      <c r="E1340" s="21" t="s">
        <v>26</v>
      </c>
      <c r="F1340" s="21" t="s">
        <v>256</v>
      </c>
      <c r="G1340" s="52">
        <v>42492</v>
      </c>
      <c r="H1340" s="52"/>
      <c r="I1340" s="52">
        <v>42492</v>
      </c>
      <c r="J1340" s="21" t="s">
        <v>235</v>
      </c>
      <c r="K1340" s="124"/>
      <c r="L1340" s="21"/>
      <c r="M1340" s="21">
        <v>0</v>
      </c>
      <c r="N1340" s="22">
        <v>42506</v>
      </c>
      <c r="O1340" s="21">
        <v>111902</v>
      </c>
      <c r="P1340" s="108">
        <v>100711.8</v>
      </c>
      <c r="Q1340" s="178">
        <v>42628</v>
      </c>
      <c r="R1340" s="66">
        <v>42629</v>
      </c>
      <c r="S1340" s="191">
        <f t="shared" si="167"/>
        <v>123</v>
      </c>
    </row>
    <row r="1341" spans="1:21" hidden="1" x14ac:dyDescent="0.25">
      <c r="A1341" s="122">
        <v>295</v>
      </c>
      <c r="B1341" s="51">
        <v>42572</v>
      </c>
      <c r="C1341" s="21">
        <v>103</v>
      </c>
      <c r="D1341" s="21"/>
      <c r="E1341" s="21" t="s">
        <v>26</v>
      </c>
      <c r="F1341" s="21" t="s">
        <v>257</v>
      </c>
      <c r="G1341" s="52">
        <v>42492</v>
      </c>
      <c r="H1341" s="52"/>
      <c r="I1341" s="52">
        <v>42492</v>
      </c>
      <c r="J1341" s="21" t="s">
        <v>235</v>
      </c>
      <c r="K1341" s="124"/>
      <c r="L1341" s="21"/>
      <c r="M1341" s="21">
        <v>0</v>
      </c>
      <c r="N1341" s="22">
        <v>42506</v>
      </c>
      <c r="O1341" s="21">
        <v>445237</v>
      </c>
      <c r="P1341" s="108">
        <v>400713.3</v>
      </c>
      <c r="Q1341" s="178">
        <v>42628</v>
      </c>
      <c r="R1341" s="66">
        <v>42629</v>
      </c>
      <c r="S1341" s="191">
        <f t="shared" si="167"/>
        <v>123</v>
      </c>
    </row>
    <row r="1342" spans="1:21" hidden="1" x14ac:dyDescent="0.25">
      <c r="A1342" s="122">
        <v>296</v>
      </c>
      <c r="B1342" s="51">
        <v>42572</v>
      </c>
      <c r="C1342" s="21">
        <v>103</v>
      </c>
      <c r="D1342" s="21"/>
      <c r="E1342" s="21" t="s">
        <v>26</v>
      </c>
      <c r="F1342" s="21" t="s">
        <v>258</v>
      </c>
      <c r="G1342" s="52">
        <v>42492</v>
      </c>
      <c r="H1342" s="52"/>
      <c r="I1342" s="52">
        <v>42492</v>
      </c>
      <c r="J1342" s="21" t="s">
        <v>234</v>
      </c>
      <c r="K1342" s="124"/>
      <c r="L1342" s="21"/>
      <c r="M1342" s="21">
        <v>0</v>
      </c>
      <c r="N1342" s="22">
        <v>42506</v>
      </c>
      <c r="O1342" s="21">
        <v>41230</v>
      </c>
      <c r="P1342" s="36">
        <v>41230</v>
      </c>
      <c r="Q1342" s="178">
        <v>42628</v>
      </c>
      <c r="R1342" s="66">
        <v>42629</v>
      </c>
      <c r="S1342" s="191">
        <f t="shared" si="167"/>
        <v>123</v>
      </c>
    </row>
    <row r="1343" spans="1:21" hidden="1" x14ac:dyDescent="0.25">
      <c r="A1343" s="122">
        <v>696</v>
      </c>
      <c r="B1343" s="51">
        <v>42625</v>
      </c>
      <c r="C1343" s="21">
        <v>103</v>
      </c>
      <c r="D1343" s="21"/>
      <c r="E1343" s="21" t="s">
        <v>26</v>
      </c>
      <c r="F1343" s="21" t="s">
        <v>234</v>
      </c>
      <c r="G1343" s="52">
        <v>42574</v>
      </c>
      <c r="H1343" s="52"/>
      <c r="I1343" s="52">
        <v>42574</v>
      </c>
      <c r="J1343" s="21"/>
      <c r="K1343" s="124"/>
      <c r="L1343" s="21"/>
      <c r="M1343" s="21">
        <v>0</v>
      </c>
      <c r="N1343" s="22">
        <v>42588</v>
      </c>
      <c r="O1343" s="21">
        <v>32717</v>
      </c>
      <c r="P1343" s="36">
        <v>32717</v>
      </c>
      <c r="Q1343" s="178">
        <v>42628</v>
      </c>
      <c r="R1343" s="66">
        <v>42629</v>
      </c>
      <c r="S1343" s="191">
        <f t="shared" si="167"/>
        <v>41</v>
      </c>
      <c r="T1343" s="9" t="s">
        <v>304</v>
      </c>
      <c r="U1343" s="9"/>
    </row>
    <row r="1344" spans="1:21" s="3" customFormat="1" hidden="1" x14ac:dyDescent="0.25">
      <c r="A1344" s="30">
        <v>653</v>
      </c>
      <c r="B1344" s="24">
        <v>42619</v>
      </c>
      <c r="C1344" s="1">
        <v>116</v>
      </c>
      <c r="D1344" s="1">
        <v>3000033163</v>
      </c>
      <c r="E1344" s="18" t="s">
        <v>231</v>
      </c>
      <c r="F1344" s="1">
        <v>282</v>
      </c>
      <c r="G1344" s="25">
        <v>42591</v>
      </c>
      <c r="H1344" s="25"/>
      <c r="I1344" s="25">
        <v>42637</v>
      </c>
      <c r="J1344" s="1" t="s">
        <v>294</v>
      </c>
      <c r="K1344" s="77">
        <v>24.434999999999999</v>
      </c>
      <c r="L1344" s="1">
        <v>24.434999999999999</v>
      </c>
      <c r="M1344" s="1">
        <f t="shared" ref="M1344:M1407" si="168">IF(L1344&gt;K1344,K1344,L1344)</f>
        <v>24.434999999999999</v>
      </c>
      <c r="N1344" s="7">
        <f>+I1344+15-1</f>
        <v>42651</v>
      </c>
      <c r="O1344" s="1">
        <v>1944048</v>
      </c>
      <c r="P1344" s="26">
        <f>(+O1344/K1344*M1344)</f>
        <v>1944048.0000000002</v>
      </c>
      <c r="R1344" s="66">
        <v>42628</v>
      </c>
      <c r="S1344" s="191">
        <f t="shared" si="167"/>
        <v>-23</v>
      </c>
    </row>
    <row r="1345" spans="1:19" s="65" customFormat="1" hidden="1" x14ac:dyDescent="0.25">
      <c r="A1345" s="146">
        <v>694</v>
      </c>
      <c r="B1345" s="60">
        <v>42625</v>
      </c>
      <c r="C1345" s="18">
        <v>103</v>
      </c>
      <c r="D1345" s="18"/>
      <c r="E1345" s="18" t="s">
        <v>50</v>
      </c>
      <c r="F1345" s="18" t="s">
        <v>298</v>
      </c>
      <c r="G1345" s="61">
        <v>42507</v>
      </c>
      <c r="H1345" s="61"/>
      <c r="I1345" s="61">
        <v>42507</v>
      </c>
      <c r="J1345" s="18" t="s">
        <v>43</v>
      </c>
      <c r="K1345" s="149"/>
      <c r="L1345" s="18"/>
      <c r="M1345" s="18">
        <f t="shared" si="168"/>
        <v>0</v>
      </c>
      <c r="N1345" s="62">
        <f>+I1345+15-1</f>
        <v>42521</v>
      </c>
      <c r="O1345" s="18">
        <v>97801</v>
      </c>
      <c r="P1345" s="71">
        <f>(O1345- (O1345*10%))</f>
        <v>88020.9</v>
      </c>
      <c r="Q1345" s="178">
        <v>42627</v>
      </c>
      <c r="R1345" s="66">
        <v>42628</v>
      </c>
      <c r="S1345" s="191">
        <f t="shared" si="167"/>
        <v>107</v>
      </c>
    </row>
    <row r="1346" spans="1:19" s="65" customFormat="1" hidden="1" x14ac:dyDescent="0.25">
      <c r="A1346" s="146">
        <v>695</v>
      </c>
      <c r="B1346" s="60">
        <v>42625</v>
      </c>
      <c r="C1346" s="18">
        <v>103</v>
      </c>
      <c r="D1346" s="18"/>
      <c r="E1346" s="18" t="s">
        <v>50</v>
      </c>
      <c r="F1346" s="18" t="s">
        <v>298</v>
      </c>
      <c r="G1346" s="61">
        <v>42601</v>
      </c>
      <c r="H1346" s="61"/>
      <c r="I1346" s="61">
        <v>42601</v>
      </c>
      <c r="J1346" s="18" t="s">
        <v>43</v>
      </c>
      <c r="K1346" s="149"/>
      <c r="L1346" s="18"/>
      <c r="M1346" s="18">
        <f t="shared" si="168"/>
        <v>0</v>
      </c>
      <c r="N1346" s="62">
        <f>+I1346+15-1</f>
        <v>42615</v>
      </c>
      <c r="O1346" s="18">
        <v>66126</v>
      </c>
      <c r="P1346" s="71">
        <f>(O1346- (O1346*10%))</f>
        <v>59513.4</v>
      </c>
      <c r="Q1346" s="178">
        <v>42627</v>
      </c>
      <c r="R1346" s="66">
        <v>42628</v>
      </c>
      <c r="S1346" s="191">
        <f t="shared" si="167"/>
        <v>13</v>
      </c>
    </row>
    <row r="1347" spans="1:19" s="65" customFormat="1" hidden="1" x14ac:dyDescent="0.25">
      <c r="A1347" s="146">
        <v>254</v>
      </c>
      <c r="B1347" s="60">
        <v>42570</v>
      </c>
      <c r="C1347" s="18">
        <v>114</v>
      </c>
      <c r="D1347" s="18">
        <v>3000031373</v>
      </c>
      <c r="E1347" s="63" t="s">
        <v>36</v>
      </c>
      <c r="F1347" s="18">
        <v>1167</v>
      </c>
      <c r="G1347" s="61">
        <v>42558</v>
      </c>
      <c r="H1347" s="61"/>
      <c r="I1347" s="61">
        <v>42562</v>
      </c>
      <c r="J1347" s="18" t="s">
        <v>16</v>
      </c>
      <c r="K1347" s="149">
        <v>24.32</v>
      </c>
      <c r="L1347" s="18">
        <v>24.37</v>
      </c>
      <c r="M1347" s="18">
        <f t="shared" si="168"/>
        <v>24.32</v>
      </c>
      <c r="N1347" s="62">
        <f>+I1347+15-1</f>
        <v>42576</v>
      </c>
      <c r="O1347" s="18">
        <v>1191680</v>
      </c>
      <c r="P1347" s="38">
        <f t="shared" ref="P1347:P1378" si="169">(+O1347/K1347*M1347)</f>
        <v>1191680</v>
      </c>
      <c r="Q1347" s="178">
        <v>42627</v>
      </c>
      <c r="R1347" s="66">
        <v>42628</v>
      </c>
      <c r="S1347" s="191">
        <f t="shared" si="167"/>
        <v>52</v>
      </c>
    </row>
    <row r="1348" spans="1:19" s="65" customFormat="1" hidden="1" x14ac:dyDescent="0.25">
      <c r="A1348" s="146">
        <v>408</v>
      </c>
      <c r="B1348" s="60">
        <v>42583</v>
      </c>
      <c r="C1348" s="18">
        <v>114</v>
      </c>
      <c r="D1348" s="18">
        <v>3000031864</v>
      </c>
      <c r="E1348" s="18" t="s">
        <v>169</v>
      </c>
      <c r="F1348" s="18">
        <v>105</v>
      </c>
      <c r="G1348" s="61">
        <v>42557</v>
      </c>
      <c r="H1348" s="61"/>
      <c r="I1348" s="61">
        <v>42565</v>
      </c>
      <c r="J1348" s="18" t="s">
        <v>61</v>
      </c>
      <c r="K1348" s="149">
        <v>20.149999999999999</v>
      </c>
      <c r="L1348" s="18">
        <v>20.25</v>
      </c>
      <c r="M1348" s="18">
        <f t="shared" si="168"/>
        <v>20.149999999999999</v>
      </c>
      <c r="N1348" s="62">
        <f>+I1348+20-1</f>
        <v>42584</v>
      </c>
      <c r="O1348" s="18">
        <v>1692600</v>
      </c>
      <c r="P1348" s="38">
        <f t="shared" si="169"/>
        <v>1692599.9999999998</v>
      </c>
      <c r="Q1348" s="178">
        <v>42627</v>
      </c>
      <c r="R1348" s="66">
        <v>42628</v>
      </c>
      <c r="S1348" s="191">
        <f t="shared" si="167"/>
        <v>44</v>
      </c>
    </row>
    <row r="1349" spans="1:19" s="65" customFormat="1" hidden="1" x14ac:dyDescent="0.25">
      <c r="A1349" s="146">
        <v>409</v>
      </c>
      <c r="B1349" s="60">
        <v>42583</v>
      </c>
      <c r="C1349" s="18">
        <v>114</v>
      </c>
      <c r="D1349" s="18">
        <v>3000031864</v>
      </c>
      <c r="E1349" s="18" t="s">
        <v>169</v>
      </c>
      <c r="F1349" s="18">
        <v>106</v>
      </c>
      <c r="G1349" s="61">
        <v>42557</v>
      </c>
      <c r="H1349" s="61"/>
      <c r="I1349" s="61">
        <v>42575</v>
      </c>
      <c r="J1349" s="18" t="s">
        <v>61</v>
      </c>
      <c r="K1349" s="149">
        <v>20.100000000000001</v>
      </c>
      <c r="L1349" s="18">
        <v>20.04</v>
      </c>
      <c r="M1349" s="18">
        <f t="shared" si="168"/>
        <v>20.04</v>
      </c>
      <c r="N1349" s="62">
        <f>+I1349+20-1</f>
        <v>42594</v>
      </c>
      <c r="O1349" s="18">
        <v>1688400</v>
      </c>
      <c r="P1349" s="38">
        <f t="shared" si="169"/>
        <v>1683360</v>
      </c>
      <c r="Q1349" s="178">
        <v>42627</v>
      </c>
      <c r="R1349" s="66">
        <v>42628</v>
      </c>
      <c r="S1349" s="191">
        <f t="shared" si="167"/>
        <v>34</v>
      </c>
    </row>
    <row r="1350" spans="1:19" s="65" customFormat="1" hidden="1" x14ac:dyDescent="0.25">
      <c r="A1350" s="146">
        <v>441</v>
      </c>
      <c r="B1350" s="60">
        <v>42584</v>
      </c>
      <c r="C1350" s="18">
        <v>103</v>
      </c>
      <c r="D1350" s="18">
        <v>3000032318</v>
      </c>
      <c r="E1350" s="18" t="s">
        <v>169</v>
      </c>
      <c r="F1350" s="18">
        <v>132</v>
      </c>
      <c r="G1350" s="61">
        <v>42574</v>
      </c>
      <c r="H1350" s="61"/>
      <c r="I1350" s="61">
        <v>42577</v>
      </c>
      <c r="J1350" s="18" t="s">
        <v>61</v>
      </c>
      <c r="K1350" s="149">
        <v>20.010000000000002</v>
      </c>
      <c r="L1350" s="18">
        <v>19.96</v>
      </c>
      <c r="M1350" s="18">
        <f t="shared" si="168"/>
        <v>19.96</v>
      </c>
      <c r="N1350" s="62">
        <f>+I1350+20-1</f>
        <v>42596</v>
      </c>
      <c r="O1350" s="18">
        <v>1550775</v>
      </c>
      <c r="P1350" s="38">
        <f t="shared" si="169"/>
        <v>1546900</v>
      </c>
      <c r="Q1350" s="178">
        <v>42627</v>
      </c>
      <c r="R1350" s="66">
        <v>42628</v>
      </c>
      <c r="S1350" s="191">
        <f t="shared" si="167"/>
        <v>32</v>
      </c>
    </row>
    <row r="1351" spans="1:19" s="65" customFormat="1" hidden="1" x14ac:dyDescent="0.25">
      <c r="A1351" s="146">
        <v>364</v>
      </c>
      <c r="B1351" s="60">
        <v>42577</v>
      </c>
      <c r="C1351" s="18">
        <v>114</v>
      </c>
      <c r="D1351" s="18">
        <v>3000031195</v>
      </c>
      <c r="E1351" s="18" t="s">
        <v>138</v>
      </c>
      <c r="F1351" s="154">
        <v>9008</v>
      </c>
      <c r="G1351" s="61">
        <v>42566</v>
      </c>
      <c r="H1351" s="61"/>
      <c r="I1351" s="61">
        <v>42571</v>
      </c>
      <c r="J1351" s="18" t="s">
        <v>8</v>
      </c>
      <c r="K1351" s="149">
        <v>16.5</v>
      </c>
      <c r="L1351" s="18">
        <v>16.5</v>
      </c>
      <c r="M1351" s="18">
        <f t="shared" si="168"/>
        <v>16.5</v>
      </c>
      <c r="N1351" s="62">
        <f t="shared" ref="N1351:N1362" si="170">+I1351+15-1</f>
        <v>42585</v>
      </c>
      <c r="O1351" s="18">
        <v>872850</v>
      </c>
      <c r="P1351" s="38">
        <f t="shared" si="169"/>
        <v>872850</v>
      </c>
      <c r="Q1351" s="178">
        <v>42627</v>
      </c>
      <c r="R1351" s="66">
        <v>42628</v>
      </c>
      <c r="S1351" s="191">
        <f t="shared" si="167"/>
        <v>43</v>
      </c>
    </row>
    <row r="1352" spans="1:19" s="65" customFormat="1" hidden="1" x14ac:dyDescent="0.25">
      <c r="A1352" s="146">
        <v>365</v>
      </c>
      <c r="B1352" s="60">
        <v>42577</v>
      </c>
      <c r="C1352" s="18">
        <v>114</v>
      </c>
      <c r="D1352" s="18">
        <v>3000031364</v>
      </c>
      <c r="E1352" s="18" t="s">
        <v>138</v>
      </c>
      <c r="F1352" s="154">
        <v>9009</v>
      </c>
      <c r="G1352" s="61">
        <v>42566</v>
      </c>
      <c r="H1352" s="61"/>
      <c r="I1352" s="61">
        <v>42571</v>
      </c>
      <c r="J1352" s="18" t="s">
        <v>8</v>
      </c>
      <c r="K1352" s="149">
        <v>12.02</v>
      </c>
      <c r="L1352" s="18">
        <v>11.98</v>
      </c>
      <c r="M1352" s="18">
        <f t="shared" si="168"/>
        <v>11.98</v>
      </c>
      <c r="N1352" s="62">
        <f t="shared" si="170"/>
        <v>42585</v>
      </c>
      <c r="O1352" s="18">
        <v>640666</v>
      </c>
      <c r="P1352" s="38">
        <f t="shared" si="169"/>
        <v>638534</v>
      </c>
      <c r="Q1352" s="178">
        <v>42627</v>
      </c>
      <c r="R1352" s="66">
        <v>42628</v>
      </c>
      <c r="S1352" s="191">
        <f t="shared" si="167"/>
        <v>43</v>
      </c>
    </row>
    <row r="1353" spans="1:19" s="65" customFormat="1" hidden="1" x14ac:dyDescent="0.25">
      <c r="A1353" s="146">
        <v>366</v>
      </c>
      <c r="B1353" s="60">
        <v>42577</v>
      </c>
      <c r="C1353" s="18">
        <v>114</v>
      </c>
      <c r="D1353" s="18">
        <v>3000031364</v>
      </c>
      <c r="E1353" s="18" t="s">
        <v>138</v>
      </c>
      <c r="F1353" s="18">
        <v>9011</v>
      </c>
      <c r="G1353" s="61">
        <v>42568</v>
      </c>
      <c r="H1353" s="61"/>
      <c r="I1353" s="61">
        <v>42572</v>
      </c>
      <c r="J1353" s="18" t="s">
        <v>8</v>
      </c>
      <c r="K1353" s="149">
        <v>28.51</v>
      </c>
      <c r="L1353" s="18">
        <v>28.56</v>
      </c>
      <c r="M1353" s="18">
        <f t="shared" si="168"/>
        <v>28.51</v>
      </c>
      <c r="N1353" s="62">
        <f t="shared" si="170"/>
        <v>42586</v>
      </c>
      <c r="O1353" s="18">
        <v>1519583</v>
      </c>
      <c r="P1353" s="38">
        <f t="shared" si="169"/>
        <v>1519583</v>
      </c>
      <c r="Q1353" s="178">
        <v>42627</v>
      </c>
      <c r="R1353" s="66">
        <v>42628</v>
      </c>
      <c r="S1353" s="191">
        <f t="shared" si="167"/>
        <v>42</v>
      </c>
    </row>
    <row r="1354" spans="1:19" s="65" customFormat="1" hidden="1" x14ac:dyDescent="0.25">
      <c r="A1354" s="146">
        <v>369</v>
      </c>
      <c r="B1354" s="60">
        <v>42577</v>
      </c>
      <c r="C1354" s="18">
        <v>114</v>
      </c>
      <c r="D1354" s="18">
        <v>3000031580</v>
      </c>
      <c r="E1354" s="18" t="s">
        <v>55</v>
      </c>
      <c r="F1354" s="18">
        <v>19</v>
      </c>
      <c r="G1354" s="61">
        <v>42569</v>
      </c>
      <c r="H1354" s="61"/>
      <c r="I1354" s="61">
        <v>42572</v>
      </c>
      <c r="J1354" s="18" t="s">
        <v>16</v>
      </c>
      <c r="K1354" s="149">
        <v>26.65</v>
      </c>
      <c r="L1354" s="18">
        <v>26.66</v>
      </c>
      <c r="M1354" s="18">
        <f t="shared" si="168"/>
        <v>26.65</v>
      </c>
      <c r="N1354" s="62">
        <f t="shared" si="170"/>
        <v>42586</v>
      </c>
      <c r="O1354" s="18">
        <v>1305850</v>
      </c>
      <c r="P1354" s="38">
        <f t="shared" si="169"/>
        <v>1305850</v>
      </c>
      <c r="Q1354" s="178">
        <v>42627</v>
      </c>
      <c r="R1354" s="66">
        <v>42628</v>
      </c>
      <c r="S1354" s="191">
        <f t="shared" si="167"/>
        <v>42</v>
      </c>
    </row>
    <row r="1355" spans="1:19" s="65" customFormat="1" hidden="1" x14ac:dyDescent="0.25">
      <c r="A1355" s="146">
        <v>354</v>
      </c>
      <c r="B1355" s="60">
        <v>42577</v>
      </c>
      <c r="C1355" s="18">
        <v>114</v>
      </c>
      <c r="D1355" s="18">
        <v>3000030406</v>
      </c>
      <c r="E1355" s="18" t="s">
        <v>39</v>
      </c>
      <c r="F1355" s="154">
        <v>30</v>
      </c>
      <c r="G1355" s="61">
        <v>42567</v>
      </c>
      <c r="H1355" s="61"/>
      <c r="I1355" s="61">
        <v>42573</v>
      </c>
      <c r="J1355" s="18" t="s">
        <v>8</v>
      </c>
      <c r="K1355" s="149">
        <v>16.004999999999999</v>
      </c>
      <c r="L1355" s="18">
        <v>15.885</v>
      </c>
      <c r="M1355" s="18">
        <f t="shared" si="168"/>
        <v>15.885</v>
      </c>
      <c r="N1355" s="62">
        <f t="shared" si="170"/>
        <v>42587</v>
      </c>
      <c r="O1355" s="18">
        <v>883476</v>
      </c>
      <c r="P1355" s="38">
        <f t="shared" si="169"/>
        <v>876852</v>
      </c>
      <c r="Q1355" s="178">
        <v>42627</v>
      </c>
      <c r="R1355" s="66">
        <v>42628</v>
      </c>
      <c r="S1355" s="191">
        <f t="shared" si="167"/>
        <v>41</v>
      </c>
    </row>
    <row r="1356" spans="1:19" s="65" customFormat="1" hidden="1" x14ac:dyDescent="0.25">
      <c r="A1356" s="146">
        <v>355</v>
      </c>
      <c r="B1356" s="60">
        <v>42577</v>
      </c>
      <c r="C1356" s="18">
        <v>114</v>
      </c>
      <c r="D1356" s="18">
        <v>3000032728</v>
      </c>
      <c r="E1356" s="18" t="s">
        <v>39</v>
      </c>
      <c r="F1356" s="154">
        <v>30</v>
      </c>
      <c r="G1356" s="61">
        <v>42567</v>
      </c>
      <c r="H1356" s="61"/>
      <c r="I1356" s="61">
        <v>42573</v>
      </c>
      <c r="J1356" s="18" t="s">
        <v>8</v>
      </c>
      <c r="K1356" s="149">
        <v>10.994999999999999</v>
      </c>
      <c r="L1356" s="18">
        <v>10.994999999999999</v>
      </c>
      <c r="M1356" s="18">
        <f t="shared" si="168"/>
        <v>10.994999999999999</v>
      </c>
      <c r="N1356" s="62">
        <f t="shared" si="170"/>
        <v>42587</v>
      </c>
      <c r="O1356" s="18">
        <v>549750</v>
      </c>
      <c r="P1356" s="38">
        <f t="shared" si="169"/>
        <v>549750</v>
      </c>
      <c r="Q1356" s="178">
        <v>42627</v>
      </c>
      <c r="R1356" s="66">
        <v>42628</v>
      </c>
      <c r="S1356" s="191">
        <f t="shared" si="167"/>
        <v>41</v>
      </c>
    </row>
    <row r="1357" spans="1:19" s="65" customFormat="1" hidden="1" x14ac:dyDescent="0.25">
      <c r="A1357" s="146">
        <v>356</v>
      </c>
      <c r="B1357" s="60">
        <v>42577</v>
      </c>
      <c r="C1357" s="18">
        <v>114</v>
      </c>
      <c r="D1357" s="18">
        <v>3000031365</v>
      </c>
      <c r="E1357" s="18" t="s">
        <v>15</v>
      </c>
      <c r="F1357" s="18">
        <v>3109</v>
      </c>
      <c r="G1357" s="61">
        <v>42567</v>
      </c>
      <c r="H1357" s="61"/>
      <c r="I1357" s="61">
        <v>42573</v>
      </c>
      <c r="J1357" s="18" t="s">
        <v>8</v>
      </c>
      <c r="K1357" s="149">
        <v>26.86</v>
      </c>
      <c r="L1357" s="18">
        <v>26.74</v>
      </c>
      <c r="M1357" s="18">
        <f t="shared" si="168"/>
        <v>26.74</v>
      </c>
      <c r="N1357" s="62">
        <f t="shared" si="170"/>
        <v>42587</v>
      </c>
      <c r="O1357" s="18">
        <v>1431638</v>
      </c>
      <c r="P1357" s="38">
        <f t="shared" si="169"/>
        <v>1425242</v>
      </c>
      <c r="Q1357" s="178">
        <v>42627</v>
      </c>
      <c r="R1357" s="66">
        <v>42628</v>
      </c>
      <c r="S1357" s="191">
        <f t="shared" si="167"/>
        <v>41</v>
      </c>
    </row>
    <row r="1358" spans="1:19" s="65" customFormat="1" hidden="1" x14ac:dyDescent="0.25">
      <c r="A1358" s="146">
        <v>415</v>
      </c>
      <c r="B1358" s="60">
        <v>42583</v>
      </c>
      <c r="C1358" s="18">
        <v>114</v>
      </c>
      <c r="D1358" s="18">
        <v>3000031343</v>
      </c>
      <c r="E1358" s="18" t="s">
        <v>15</v>
      </c>
      <c r="F1358" s="18">
        <v>3112</v>
      </c>
      <c r="G1358" s="61">
        <v>42567</v>
      </c>
      <c r="H1358" s="61"/>
      <c r="I1358" s="61">
        <v>42575</v>
      </c>
      <c r="J1358" s="18" t="s">
        <v>8</v>
      </c>
      <c r="K1358" s="149">
        <v>27.59</v>
      </c>
      <c r="L1358" s="18">
        <v>27.42</v>
      </c>
      <c r="M1358" s="18">
        <f t="shared" si="168"/>
        <v>27.42</v>
      </c>
      <c r="N1358" s="62">
        <f t="shared" si="170"/>
        <v>42589</v>
      </c>
      <c r="O1358" s="18">
        <v>1476065</v>
      </c>
      <c r="P1358" s="38">
        <f t="shared" si="169"/>
        <v>1466970</v>
      </c>
      <c r="Q1358" s="178">
        <v>42627</v>
      </c>
      <c r="R1358" s="66">
        <v>42628</v>
      </c>
      <c r="S1358" s="191">
        <f t="shared" si="167"/>
        <v>39</v>
      </c>
    </row>
    <row r="1359" spans="1:19" s="65" customFormat="1" hidden="1" x14ac:dyDescent="0.25">
      <c r="A1359" s="146">
        <v>490</v>
      </c>
      <c r="B1359" s="60">
        <v>42586</v>
      </c>
      <c r="C1359" s="18">
        <v>114</v>
      </c>
      <c r="D1359" s="18">
        <v>3000032738</v>
      </c>
      <c r="E1359" s="18" t="s">
        <v>18</v>
      </c>
      <c r="F1359" s="18">
        <v>45</v>
      </c>
      <c r="G1359" s="61">
        <v>42571</v>
      </c>
      <c r="H1359" s="61"/>
      <c r="I1359" s="61">
        <v>42575</v>
      </c>
      <c r="J1359" s="18" t="s">
        <v>277</v>
      </c>
      <c r="K1359" s="149">
        <v>31.56</v>
      </c>
      <c r="L1359" s="18">
        <v>31.54</v>
      </c>
      <c r="M1359" s="18">
        <f t="shared" si="168"/>
        <v>31.54</v>
      </c>
      <c r="N1359" s="62">
        <f t="shared" si="170"/>
        <v>42589</v>
      </c>
      <c r="O1359" s="18">
        <v>1729488</v>
      </c>
      <c r="P1359" s="38">
        <f t="shared" si="169"/>
        <v>1728392</v>
      </c>
      <c r="Q1359" s="178">
        <v>42627</v>
      </c>
      <c r="R1359" s="66">
        <v>42628</v>
      </c>
      <c r="S1359" s="191">
        <f t="shared" si="167"/>
        <v>39</v>
      </c>
    </row>
    <row r="1360" spans="1:19" s="65" customFormat="1" hidden="1" x14ac:dyDescent="0.25">
      <c r="A1360" s="146">
        <v>491</v>
      </c>
      <c r="B1360" s="60">
        <v>42586</v>
      </c>
      <c r="C1360" s="18">
        <v>114</v>
      </c>
      <c r="D1360" s="18">
        <v>3000032738</v>
      </c>
      <c r="E1360" s="18" t="s">
        <v>18</v>
      </c>
      <c r="F1360" s="18">
        <v>46</v>
      </c>
      <c r="G1360" s="61">
        <v>42571</v>
      </c>
      <c r="H1360" s="61"/>
      <c r="I1360" s="61">
        <v>42575</v>
      </c>
      <c r="J1360" s="18" t="s">
        <v>277</v>
      </c>
      <c r="K1360" s="149">
        <v>30.34</v>
      </c>
      <c r="L1360" s="18">
        <v>30.26</v>
      </c>
      <c r="M1360" s="18">
        <f t="shared" si="168"/>
        <v>30.26</v>
      </c>
      <c r="N1360" s="62">
        <f t="shared" si="170"/>
        <v>42589</v>
      </c>
      <c r="O1360" s="18">
        <v>1662632</v>
      </c>
      <c r="P1360" s="38">
        <f t="shared" si="169"/>
        <v>1658248</v>
      </c>
      <c r="Q1360" s="178">
        <v>42627</v>
      </c>
      <c r="R1360" s="66">
        <v>42628</v>
      </c>
      <c r="S1360" s="191">
        <f t="shared" si="167"/>
        <v>39</v>
      </c>
    </row>
    <row r="1361" spans="1:19" s="65" customFormat="1" hidden="1" x14ac:dyDescent="0.25">
      <c r="A1361" s="146">
        <v>481</v>
      </c>
      <c r="B1361" s="60">
        <v>42586</v>
      </c>
      <c r="C1361" s="18">
        <v>114</v>
      </c>
      <c r="D1361" s="18">
        <v>3000031371</v>
      </c>
      <c r="E1361" s="18" t="s">
        <v>18</v>
      </c>
      <c r="F1361" s="154">
        <v>53</v>
      </c>
      <c r="G1361" s="61">
        <v>42575</v>
      </c>
      <c r="H1361" s="61"/>
      <c r="I1361" s="61">
        <v>42581</v>
      </c>
      <c r="J1361" s="18" t="s">
        <v>8</v>
      </c>
      <c r="K1361" s="149">
        <v>9</v>
      </c>
      <c r="L1361" s="18">
        <v>9</v>
      </c>
      <c r="M1361" s="18">
        <f t="shared" si="168"/>
        <v>9</v>
      </c>
      <c r="N1361" s="62">
        <f t="shared" si="170"/>
        <v>42595</v>
      </c>
      <c r="O1361" s="18">
        <v>479700</v>
      </c>
      <c r="P1361" s="38">
        <f t="shared" si="169"/>
        <v>479700</v>
      </c>
      <c r="Q1361" s="178">
        <v>42627</v>
      </c>
      <c r="R1361" s="66">
        <v>42628</v>
      </c>
      <c r="S1361" s="191">
        <f t="shared" si="167"/>
        <v>33</v>
      </c>
    </row>
    <row r="1362" spans="1:19" s="65" customFormat="1" hidden="1" x14ac:dyDescent="0.25">
      <c r="A1362" s="146">
        <v>482</v>
      </c>
      <c r="B1362" s="60">
        <v>42586</v>
      </c>
      <c r="C1362" s="18">
        <v>114</v>
      </c>
      <c r="D1362" s="18">
        <v>3000031341</v>
      </c>
      <c r="E1362" s="18" t="s">
        <v>18</v>
      </c>
      <c r="F1362" s="154">
        <v>53</v>
      </c>
      <c r="G1362" s="61">
        <v>42575</v>
      </c>
      <c r="H1362" s="61"/>
      <c r="I1362" s="61">
        <v>42581</v>
      </c>
      <c r="J1362" s="18" t="s">
        <v>8</v>
      </c>
      <c r="K1362" s="149">
        <v>25.22</v>
      </c>
      <c r="L1362" s="18">
        <v>25.24</v>
      </c>
      <c r="M1362" s="18">
        <f t="shared" si="168"/>
        <v>25.22</v>
      </c>
      <c r="N1362" s="62">
        <f t="shared" si="170"/>
        <v>42595</v>
      </c>
      <c r="O1362" s="18">
        <v>1349270</v>
      </c>
      <c r="P1362" s="38">
        <f t="shared" si="169"/>
        <v>1349270</v>
      </c>
      <c r="Q1362" s="178">
        <v>42627</v>
      </c>
      <c r="R1362" s="66">
        <v>42628</v>
      </c>
      <c r="S1362" s="191">
        <f t="shared" si="167"/>
        <v>33</v>
      </c>
    </row>
    <row r="1363" spans="1:19" s="65" customFormat="1" hidden="1" x14ac:dyDescent="0.25">
      <c r="A1363" s="146">
        <v>321</v>
      </c>
      <c r="B1363" s="60">
        <v>42576</v>
      </c>
      <c r="C1363" s="18">
        <v>103</v>
      </c>
      <c r="D1363" s="18">
        <v>3000032219</v>
      </c>
      <c r="E1363" s="18" t="s">
        <v>202</v>
      </c>
      <c r="F1363" s="18">
        <v>97</v>
      </c>
      <c r="G1363" s="61">
        <v>42565</v>
      </c>
      <c r="H1363" s="61"/>
      <c r="I1363" s="61">
        <v>42570</v>
      </c>
      <c r="J1363" s="18" t="s">
        <v>61</v>
      </c>
      <c r="K1363" s="149">
        <v>16.41</v>
      </c>
      <c r="L1363" s="18">
        <v>16.38</v>
      </c>
      <c r="M1363" s="18">
        <f t="shared" si="168"/>
        <v>16.38</v>
      </c>
      <c r="N1363" s="62">
        <f>+I1363+20-1</f>
        <v>42589</v>
      </c>
      <c r="O1363" s="18">
        <v>1288185</v>
      </c>
      <c r="P1363" s="38">
        <f t="shared" si="169"/>
        <v>1285830</v>
      </c>
      <c r="Q1363" s="178">
        <v>42627</v>
      </c>
      <c r="R1363" s="66">
        <v>42628</v>
      </c>
      <c r="S1363" s="191">
        <f t="shared" si="167"/>
        <v>39</v>
      </c>
    </row>
    <row r="1364" spans="1:19" s="65" customFormat="1" hidden="1" x14ac:dyDescent="0.25">
      <c r="A1364" s="146">
        <v>342</v>
      </c>
      <c r="B1364" s="60">
        <v>42576</v>
      </c>
      <c r="C1364" s="18">
        <v>103</v>
      </c>
      <c r="D1364" s="18">
        <v>3000031834</v>
      </c>
      <c r="E1364" s="18" t="s">
        <v>202</v>
      </c>
      <c r="F1364" s="18">
        <v>99</v>
      </c>
      <c r="G1364" s="61">
        <v>42567</v>
      </c>
      <c r="H1364" s="61"/>
      <c r="I1364" s="61">
        <v>42571</v>
      </c>
      <c r="J1364" s="18" t="s">
        <v>61</v>
      </c>
      <c r="K1364" s="149">
        <v>20.21</v>
      </c>
      <c r="L1364" s="18">
        <v>20.21</v>
      </c>
      <c r="M1364" s="18">
        <f t="shared" si="168"/>
        <v>20.21</v>
      </c>
      <c r="N1364" s="62">
        <f>+I1364+20-1</f>
        <v>42590</v>
      </c>
      <c r="O1364" s="18">
        <v>1630950</v>
      </c>
      <c r="P1364" s="38">
        <f t="shared" si="169"/>
        <v>1630950</v>
      </c>
      <c r="Q1364" s="178">
        <v>42627</v>
      </c>
      <c r="R1364" s="66">
        <v>42628</v>
      </c>
      <c r="S1364" s="191">
        <f t="shared" si="167"/>
        <v>38</v>
      </c>
    </row>
    <row r="1365" spans="1:19" s="65" customFormat="1" hidden="1" x14ac:dyDescent="0.25">
      <c r="A1365" s="146">
        <v>351</v>
      </c>
      <c r="B1365" s="60">
        <v>42576</v>
      </c>
      <c r="C1365" s="18">
        <v>103</v>
      </c>
      <c r="D1365" s="18">
        <v>3000032221</v>
      </c>
      <c r="E1365" s="18" t="s">
        <v>192</v>
      </c>
      <c r="F1365" s="18">
        <v>22</v>
      </c>
      <c r="G1365" s="61">
        <v>42566</v>
      </c>
      <c r="H1365" s="61"/>
      <c r="I1365" s="61">
        <v>42571</v>
      </c>
      <c r="J1365" s="18" t="s">
        <v>61</v>
      </c>
      <c r="K1365" s="149">
        <v>20.02</v>
      </c>
      <c r="L1365" s="18">
        <v>19.98</v>
      </c>
      <c r="M1365" s="18">
        <f t="shared" si="168"/>
        <v>19.98</v>
      </c>
      <c r="N1365" s="62">
        <f>+I1365+20-1</f>
        <v>42590</v>
      </c>
      <c r="O1365" s="18">
        <v>1571570</v>
      </c>
      <c r="P1365" s="38">
        <f t="shared" si="169"/>
        <v>1568430</v>
      </c>
      <c r="Q1365" s="178">
        <v>42627</v>
      </c>
      <c r="R1365" s="66">
        <v>42628</v>
      </c>
      <c r="S1365" s="191">
        <f t="shared" si="167"/>
        <v>38</v>
      </c>
    </row>
    <row r="1366" spans="1:19" s="65" customFormat="1" hidden="1" x14ac:dyDescent="0.25">
      <c r="A1366" s="146">
        <v>393</v>
      </c>
      <c r="B1366" s="60">
        <v>42578</v>
      </c>
      <c r="C1366" s="18">
        <v>103</v>
      </c>
      <c r="D1366" s="18">
        <v>3000032221</v>
      </c>
      <c r="E1366" s="18" t="s">
        <v>192</v>
      </c>
      <c r="F1366" s="18">
        <v>23</v>
      </c>
      <c r="G1366" s="61">
        <v>42569</v>
      </c>
      <c r="H1366" s="61"/>
      <c r="I1366" s="61">
        <v>42573</v>
      </c>
      <c r="J1366" s="18" t="s">
        <v>61</v>
      </c>
      <c r="K1366" s="149">
        <v>20.100000000000001</v>
      </c>
      <c r="L1366" s="18">
        <v>20.05</v>
      </c>
      <c r="M1366" s="18">
        <f t="shared" si="168"/>
        <v>20.05</v>
      </c>
      <c r="N1366" s="62">
        <f>+I1366+20-1</f>
        <v>42592</v>
      </c>
      <c r="O1366" s="18">
        <v>1577850</v>
      </c>
      <c r="P1366" s="38">
        <f t="shared" si="169"/>
        <v>1573925</v>
      </c>
      <c r="Q1366" s="178">
        <v>42627</v>
      </c>
      <c r="R1366" s="66">
        <v>42628</v>
      </c>
      <c r="S1366" s="191">
        <f t="shared" si="167"/>
        <v>36</v>
      </c>
    </row>
    <row r="1367" spans="1:19" s="65" customFormat="1" hidden="1" x14ac:dyDescent="0.25">
      <c r="A1367" s="146">
        <v>374</v>
      </c>
      <c r="B1367" s="60">
        <v>42578</v>
      </c>
      <c r="C1367" s="18">
        <v>103</v>
      </c>
      <c r="D1367" s="18">
        <v>3000032075</v>
      </c>
      <c r="E1367" s="18" t="s">
        <v>215</v>
      </c>
      <c r="F1367" s="18">
        <v>114</v>
      </c>
      <c r="G1367" s="61">
        <v>42567</v>
      </c>
      <c r="H1367" s="61"/>
      <c r="I1367" s="61">
        <v>42572</v>
      </c>
      <c r="J1367" s="18" t="s">
        <v>61</v>
      </c>
      <c r="K1367" s="149">
        <v>19.57</v>
      </c>
      <c r="L1367" s="18">
        <v>19.5</v>
      </c>
      <c r="M1367" s="18">
        <f t="shared" si="168"/>
        <v>19.5</v>
      </c>
      <c r="N1367" s="62">
        <f>+I1367+20-1</f>
        <v>42591</v>
      </c>
      <c r="O1367" s="18">
        <v>1553860</v>
      </c>
      <c r="P1367" s="38">
        <f t="shared" si="169"/>
        <v>1548301.9928461933</v>
      </c>
      <c r="Q1367" s="178">
        <v>42627</v>
      </c>
      <c r="R1367" s="66">
        <v>42628</v>
      </c>
      <c r="S1367" s="191">
        <f t="shared" si="167"/>
        <v>37</v>
      </c>
    </row>
    <row r="1368" spans="1:19" s="65" customFormat="1" hidden="1" x14ac:dyDescent="0.25">
      <c r="A1368" s="146">
        <v>473</v>
      </c>
      <c r="B1368" s="60">
        <v>42586</v>
      </c>
      <c r="C1368" s="18">
        <v>114</v>
      </c>
      <c r="D1368" s="18">
        <v>3000030986</v>
      </c>
      <c r="E1368" s="18" t="s">
        <v>29</v>
      </c>
      <c r="F1368" s="18">
        <v>137</v>
      </c>
      <c r="G1368" s="61">
        <v>42574</v>
      </c>
      <c r="H1368" s="61"/>
      <c r="I1368" s="61">
        <v>42578</v>
      </c>
      <c r="J1368" s="18" t="s">
        <v>8</v>
      </c>
      <c r="K1368" s="149">
        <v>30.95</v>
      </c>
      <c r="L1368" s="18">
        <v>30.95</v>
      </c>
      <c r="M1368" s="18">
        <f t="shared" si="168"/>
        <v>30.95</v>
      </c>
      <c r="N1368" s="62">
        <f>+I1368+15-1</f>
        <v>42592</v>
      </c>
      <c r="O1368" s="18">
        <v>1516550</v>
      </c>
      <c r="P1368" s="38">
        <f t="shared" si="169"/>
        <v>1516550</v>
      </c>
      <c r="Q1368" s="178">
        <v>42627</v>
      </c>
      <c r="R1368" s="66">
        <v>42628</v>
      </c>
      <c r="S1368" s="191">
        <f t="shared" si="167"/>
        <v>36</v>
      </c>
    </row>
    <row r="1369" spans="1:19" s="65" customFormat="1" hidden="1" x14ac:dyDescent="0.25">
      <c r="A1369" s="146">
        <v>475</v>
      </c>
      <c r="B1369" s="60">
        <v>42586</v>
      </c>
      <c r="C1369" s="18">
        <v>114</v>
      </c>
      <c r="D1369" s="18">
        <v>3000030986</v>
      </c>
      <c r="E1369" s="18" t="s">
        <v>29</v>
      </c>
      <c r="F1369" s="154">
        <v>141</v>
      </c>
      <c r="G1369" s="61">
        <v>42577</v>
      </c>
      <c r="H1369" s="61"/>
      <c r="I1369" s="61">
        <v>42579</v>
      </c>
      <c r="J1369" s="18" t="s">
        <v>16</v>
      </c>
      <c r="K1369" s="149">
        <v>4.13</v>
      </c>
      <c r="L1369" s="18">
        <v>4.24</v>
      </c>
      <c r="M1369" s="18">
        <f t="shared" si="168"/>
        <v>4.13</v>
      </c>
      <c r="N1369" s="62">
        <f>+I1369+15-1</f>
        <v>42593</v>
      </c>
      <c r="O1369" s="18">
        <v>202370</v>
      </c>
      <c r="P1369" s="38">
        <f t="shared" si="169"/>
        <v>202370</v>
      </c>
      <c r="Q1369" s="178">
        <v>42627</v>
      </c>
      <c r="R1369" s="66">
        <v>42628</v>
      </c>
      <c r="S1369" s="191">
        <f t="shared" si="167"/>
        <v>35</v>
      </c>
    </row>
    <row r="1370" spans="1:19" s="65" customFormat="1" hidden="1" x14ac:dyDescent="0.25">
      <c r="A1370" s="146">
        <v>474</v>
      </c>
      <c r="B1370" s="60">
        <v>42586</v>
      </c>
      <c r="C1370" s="18">
        <v>114</v>
      </c>
      <c r="D1370" s="18">
        <v>3000031770</v>
      </c>
      <c r="E1370" s="18" t="s">
        <v>29</v>
      </c>
      <c r="F1370" s="154">
        <v>142</v>
      </c>
      <c r="G1370" s="61">
        <v>42577</v>
      </c>
      <c r="H1370" s="61"/>
      <c r="I1370" s="61">
        <v>42579</v>
      </c>
      <c r="J1370" s="18" t="s">
        <v>16</v>
      </c>
      <c r="K1370" s="149">
        <v>23.4</v>
      </c>
      <c r="L1370" s="18">
        <v>23.4</v>
      </c>
      <c r="M1370" s="18">
        <f t="shared" si="168"/>
        <v>23.4</v>
      </c>
      <c r="N1370" s="62">
        <f>+I1370+15-1</f>
        <v>42593</v>
      </c>
      <c r="O1370" s="18">
        <v>1162980</v>
      </c>
      <c r="P1370" s="38">
        <f t="shared" si="169"/>
        <v>1162980</v>
      </c>
      <c r="Q1370" s="178">
        <v>42627</v>
      </c>
      <c r="R1370" s="66">
        <v>42628</v>
      </c>
      <c r="S1370" s="191">
        <f t="shared" si="167"/>
        <v>35</v>
      </c>
    </row>
    <row r="1371" spans="1:19" s="65" customFormat="1" hidden="1" x14ac:dyDescent="0.25">
      <c r="A1371" s="146">
        <v>476</v>
      </c>
      <c r="B1371" s="60">
        <v>42586</v>
      </c>
      <c r="C1371" s="18">
        <v>114</v>
      </c>
      <c r="D1371" s="18">
        <v>3000031336</v>
      </c>
      <c r="E1371" s="18" t="s">
        <v>29</v>
      </c>
      <c r="F1371" s="154">
        <v>145</v>
      </c>
      <c r="G1371" s="61">
        <v>42580</v>
      </c>
      <c r="H1371" s="61"/>
      <c r="I1371" s="61">
        <v>42584</v>
      </c>
      <c r="J1371" s="18" t="s">
        <v>8</v>
      </c>
      <c r="K1371" s="149">
        <v>5.79</v>
      </c>
      <c r="L1371" s="18">
        <v>5.79</v>
      </c>
      <c r="M1371" s="18">
        <f t="shared" si="168"/>
        <v>5.79</v>
      </c>
      <c r="N1371" s="62">
        <f>+I1371+15-1</f>
        <v>42598</v>
      </c>
      <c r="O1371" s="18">
        <v>309765</v>
      </c>
      <c r="P1371" s="38">
        <f t="shared" si="169"/>
        <v>309765</v>
      </c>
      <c r="Q1371" s="178">
        <v>42627</v>
      </c>
      <c r="R1371" s="66">
        <v>42628</v>
      </c>
      <c r="S1371" s="191">
        <f t="shared" si="167"/>
        <v>30</v>
      </c>
    </row>
    <row r="1372" spans="1:19" s="65" customFormat="1" hidden="1" x14ac:dyDescent="0.25">
      <c r="A1372" s="146">
        <v>388</v>
      </c>
      <c r="B1372" s="60">
        <v>42578</v>
      </c>
      <c r="C1372" s="18">
        <v>103</v>
      </c>
      <c r="D1372" s="18">
        <v>3000032637</v>
      </c>
      <c r="E1372" s="18" t="s">
        <v>227</v>
      </c>
      <c r="F1372" s="18">
        <v>29</v>
      </c>
      <c r="G1372" s="61">
        <v>42569</v>
      </c>
      <c r="H1372" s="61"/>
      <c r="I1372" s="61">
        <v>42573</v>
      </c>
      <c r="J1372" s="18" t="s">
        <v>61</v>
      </c>
      <c r="K1372" s="149">
        <v>20.53</v>
      </c>
      <c r="L1372" s="18">
        <v>20.47</v>
      </c>
      <c r="M1372" s="18">
        <f t="shared" si="168"/>
        <v>20.47</v>
      </c>
      <c r="N1372" s="62">
        <f>+I1372+20-1</f>
        <v>42592</v>
      </c>
      <c r="O1372" s="18">
        <v>1597240</v>
      </c>
      <c r="P1372" s="38">
        <f t="shared" si="169"/>
        <v>1592571.9824646856</v>
      </c>
      <c r="Q1372" s="178">
        <v>42627</v>
      </c>
      <c r="R1372" s="66">
        <v>42628</v>
      </c>
      <c r="S1372" s="191">
        <f t="shared" si="167"/>
        <v>36</v>
      </c>
    </row>
    <row r="1373" spans="1:19" s="65" customFormat="1" hidden="1" x14ac:dyDescent="0.25">
      <c r="A1373" s="146">
        <v>449</v>
      </c>
      <c r="B1373" s="60">
        <v>42584</v>
      </c>
      <c r="C1373" s="18">
        <v>103</v>
      </c>
      <c r="D1373" s="18">
        <v>300032637</v>
      </c>
      <c r="E1373" s="18" t="s">
        <v>227</v>
      </c>
      <c r="F1373" s="18">
        <v>30</v>
      </c>
      <c r="G1373" s="61">
        <v>42571</v>
      </c>
      <c r="H1373" s="61"/>
      <c r="I1373" s="61">
        <v>42577</v>
      </c>
      <c r="J1373" s="18" t="s">
        <v>61</v>
      </c>
      <c r="K1373" s="149">
        <v>20.36</v>
      </c>
      <c r="L1373" s="18">
        <v>20.350000000000001</v>
      </c>
      <c r="M1373" s="18">
        <f t="shared" si="168"/>
        <v>20.350000000000001</v>
      </c>
      <c r="N1373" s="62">
        <f>+I1373+20-1</f>
        <v>42596</v>
      </c>
      <c r="O1373" s="18">
        <v>1584010</v>
      </c>
      <c r="P1373" s="38">
        <f t="shared" si="169"/>
        <v>1583231.9990176819</v>
      </c>
      <c r="Q1373" s="178">
        <v>42627</v>
      </c>
      <c r="R1373" s="66">
        <v>42628</v>
      </c>
      <c r="S1373" s="191">
        <f t="shared" si="167"/>
        <v>32</v>
      </c>
    </row>
    <row r="1374" spans="1:19" s="65" customFormat="1" hidden="1" x14ac:dyDescent="0.25">
      <c r="A1374" s="146">
        <v>352</v>
      </c>
      <c r="B1374" s="60">
        <v>42577</v>
      </c>
      <c r="C1374" s="18">
        <v>114</v>
      </c>
      <c r="D1374" s="18">
        <v>3000032349</v>
      </c>
      <c r="E1374" s="18" t="s">
        <v>146</v>
      </c>
      <c r="F1374" s="18">
        <v>1140</v>
      </c>
      <c r="G1374" s="61">
        <v>42562</v>
      </c>
      <c r="H1374" s="61"/>
      <c r="I1374" s="61">
        <v>42574</v>
      </c>
      <c r="J1374" s="18" t="s">
        <v>61</v>
      </c>
      <c r="K1374" s="149">
        <v>20.38</v>
      </c>
      <c r="L1374" s="18">
        <v>20.440000000000001</v>
      </c>
      <c r="M1374" s="18">
        <f t="shared" si="168"/>
        <v>20.38</v>
      </c>
      <c r="N1374" s="62">
        <f>+I1374+20-1</f>
        <v>42593</v>
      </c>
      <c r="O1374" s="18">
        <v>1650780</v>
      </c>
      <c r="P1374" s="38">
        <f t="shared" si="169"/>
        <v>1650780</v>
      </c>
      <c r="Q1374" s="178">
        <v>42627</v>
      </c>
      <c r="R1374" s="66">
        <v>42628</v>
      </c>
      <c r="S1374" s="191">
        <f t="shared" si="167"/>
        <v>35</v>
      </c>
    </row>
    <row r="1375" spans="1:19" s="65" customFormat="1" hidden="1" x14ac:dyDescent="0.25">
      <c r="A1375" s="146">
        <v>410</v>
      </c>
      <c r="B1375" s="60">
        <v>42583</v>
      </c>
      <c r="C1375" s="18">
        <v>114</v>
      </c>
      <c r="D1375" s="18">
        <v>3000032349</v>
      </c>
      <c r="E1375" s="18" t="s">
        <v>146</v>
      </c>
      <c r="F1375" s="18">
        <v>1145</v>
      </c>
      <c r="G1375" s="61">
        <v>42564</v>
      </c>
      <c r="H1375" s="61"/>
      <c r="I1375" s="61">
        <v>42575</v>
      </c>
      <c r="J1375" s="18" t="s">
        <v>61</v>
      </c>
      <c r="K1375" s="149">
        <v>19.899999999999999</v>
      </c>
      <c r="L1375" s="18">
        <v>19.88</v>
      </c>
      <c r="M1375" s="18">
        <f t="shared" si="168"/>
        <v>19.88</v>
      </c>
      <c r="N1375" s="62">
        <f>+I1375+20-1</f>
        <v>42594</v>
      </c>
      <c r="O1375" s="18">
        <v>1611900</v>
      </c>
      <c r="P1375" s="38">
        <f t="shared" si="169"/>
        <v>1610280</v>
      </c>
      <c r="Q1375" s="178">
        <v>42627</v>
      </c>
      <c r="R1375" s="66">
        <v>42628</v>
      </c>
      <c r="S1375" s="191">
        <f t="shared" si="167"/>
        <v>34</v>
      </c>
    </row>
    <row r="1376" spans="1:19" s="65" customFormat="1" hidden="1" x14ac:dyDescent="0.25">
      <c r="A1376" s="146">
        <v>390</v>
      </c>
      <c r="B1376" s="60">
        <v>42578</v>
      </c>
      <c r="C1376" s="18">
        <v>103</v>
      </c>
      <c r="D1376" s="18" t="s">
        <v>268</v>
      </c>
      <c r="E1376" s="18" t="s">
        <v>262</v>
      </c>
      <c r="F1376" s="18">
        <v>43</v>
      </c>
      <c r="G1376" s="61">
        <v>42569</v>
      </c>
      <c r="H1376" s="61"/>
      <c r="I1376" s="61">
        <v>42574</v>
      </c>
      <c r="J1376" s="18" t="s">
        <v>61</v>
      </c>
      <c r="K1376" s="149">
        <v>21.09</v>
      </c>
      <c r="L1376" s="18">
        <v>21.05</v>
      </c>
      <c r="M1376" s="18">
        <f t="shared" si="168"/>
        <v>21.05</v>
      </c>
      <c r="N1376" s="62">
        <f>+I1376+20-1</f>
        <v>42593</v>
      </c>
      <c r="O1376" s="18">
        <v>1634470</v>
      </c>
      <c r="P1376" s="38">
        <f t="shared" si="169"/>
        <v>1631370.0094831674</v>
      </c>
      <c r="Q1376" s="178">
        <v>42627</v>
      </c>
      <c r="R1376" s="66">
        <v>42628</v>
      </c>
      <c r="S1376" s="191">
        <f t="shared" si="167"/>
        <v>35</v>
      </c>
    </row>
    <row r="1377" spans="1:19" s="65" customFormat="1" hidden="1" x14ac:dyDescent="0.25">
      <c r="A1377" s="146">
        <v>466</v>
      </c>
      <c r="B1377" s="60">
        <v>42586</v>
      </c>
      <c r="C1377" s="18">
        <v>114</v>
      </c>
      <c r="D1377" s="18">
        <v>3000031344</v>
      </c>
      <c r="E1377" s="18" t="s">
        <v>28</v>
      </c>
      <c r="F1377" s="18">
        <v>593</v>
      </c>
      <c r="G1377" s="61">
        <v>42578</v>
      </c>
      <c r="H1377" s="61"/>
      <c r="I1377" s="61">
        <v>42580</v>
      </c>
      <c r="J1377" s="18" t="s">
        <v>8</v>
      </c>
      <c r="K1377" s="149">
        <v>31</v>
      </c>
      <c r="L1377" s="18">
        <v>30.9</v>
      </c>
      <c r="M1377" s="18">
        <f t="shared" si="168"/>
        <v>30.9</v>
      </c>
      <c r="N1377" s="62">
        <f>+I1377+15-1</f>
        <v>42594</v>
      </c>
      <c r="O1377" s="18">
        <v>1658500</v>
      </c>
      <c r="P1377" s="38">
        <f t="shared" si="169"/>
        <v>1653150</v>
      </c>
      <c r="Q1377" s="178">
        <v>42627</v>
      </c>
      <c r="R1377" s="66">
        <v>42628</v>
      </c>
      <c r="S1377" s="191">
        <f t="shared" si="167"/>
        <v>34</v>
      </c>
    </row>
    <row r="1378" spans="1:19" s="65" customFormat="1" hidden="1" x14ac:dyDescent="0.25">
      <c r="A1378" s="146">
        <v>376</v>
      </c>
      <c r="B1378" s="60">
        <v>42578</v>
      </c>
      <c r="C1378" s="18">
        <v>103</v>
      </c>
      <c r="D1378" s="18">
        <v>3000032078</v>
      </c>
      <c r="E1378" s="18" t="s">
        <v>158</v>
      </c>
      <c r="F1378" s="18">
        <v>53</v>
      </c>
      <c r="G1378" s="61">
        <v>42571</v>
      </c>
      <c r="H1378" s="61"/>
      <c r="I1378" s="61">
        <v>42575</v>
      </c>
      <c r="J1378" s="18" t="s">
        <v>61</v>
      </c>
      <c r="K1378" s="149">
        <v>15.97</v>
      </c>
      <c r="L1378" s="18">
        <v>15.96</v>
      </c>
      <c r="M1378" s="18">
        <f t="shared" si="168"/>
        <v>15.96</v>
      </c>
      <c r="N1378" s="62">
        <f t="shared" ref="N1378:N1400" si="171">+I1378+20-1</f>
        <v>42594</v>
      </c>
      <c r="O1378" s="18">
        <v>1268018</v>
      </c>
      <c r="P1378" s="38">
        <f t="shared" si="169"/>
        <v>1267224</v>
      </c>
      <c r="Q1378" s="178">
        <v>42627</v>
      </c>
      <c r="R1378" s="66">
        <v>42628</v>
      </c>
      <c r="S1378" s="191">
        <f t="shared" si="167"/>
        <v>34</v>
      </c>
    </row>
    <row r="1379" spans="1:19" s="65" customFormat="1" hidden="1" x14ac:dyDescent="0.25">
      <c r="A1379" s="146">
        <v>432</v>
      </c>
      <c r="B1379" s="60">
        <v>42584</v>
      </c>
      <c r="C1379" s="18">
        <v>103</v>
      </c>
      <c r="D1379" s="18">
        <v>3000032078</v>
      </c>
      <c r="E1379" s="18" t="s">
        <v>158</v>
      </c>
      <c r="F1379" s="18">
        <v>52</v>
      </c>
      <c r="G1379" s="61">
        <v>42571</v>
      </c>
      <c r="H1379" s="61"/>
      <c r="I1379" s="61">
        <v>42576</v>
      </c>
      <c r="J1379" s="18" t="s">
        <v>61</v>
      </c>
      <c r="K1379" s="149">
        <v>20.190000000000001</v>
      </c>
      <c r="L1379" s="18">
        <v>20.13</v>
      </c>
      <c r="M1379" s="18">
        <f t="shared" si="168"/>
        <v>20.13</v>
      </c>
      <c r="N1379" s="62">
        <f t="shared" si="171"/>
        <v>42595</v>
      </c>
      <c r="O1379" s="18">
        <v>1603086</v>
      </c>
      <c r="P1379" s="38">
        <f t="shared" ref="P1379:P1410" si="172">(+O1379/K1379*M1379)</f>
        <v>1598322</v>
      </c>
      <c r="Q1379" s="178">
        <v>42627</v>
      </c>
      <c r="R1379" s="66">
        <v>42628</v>
      </c>
      <c r="S1379" s="191">
        <f t="shared" si="167"/>
        <v>33</v>
      </c>
    </row>
    <row r="1380" spans="1:19" s="65" customFormat="1" hidden="1" x14ac:dyDescent="0.25">
      <c r="A1380" s="146">
        <v>435</v>
      </c>
      <c r="B1380" s="60">
        <v>42584</v>
      </c>
      <c r="C1380" s="18">
        <v>103</v>
      </c>
      <c r="D1380" s="18">
        <v>3000032078</v>
      </c>
      <c r="E1380" s="18" t="s">
        <v>158</v>
      </c>
      <c r="F1380" s="154">
        <v>55</v>
      </c>
      <c r="G1380" s="61">
        <v>42572</v>
      </c>
      <c r="H1380" s="61"/>
      <c r="I1380" s="61">
        <v>42576</v>
      </c>
      <c r="J1380" s="18" t="s">
        <v>61</v>
      </c>
      <c r="K1380" s="149">
        <v>12.5</v>
      </c>
      <c r="L1380" s="18">
        <v>12.46</v>
      </c>
      <c r="M1380" s="18">
        <f t="shared" si="168"/>
        <v>12.46</v>
      </c>
      <c r="N1380" s="62">
        <f t="shared" si="171"/>
        <v>42595</v>
      </c>
      <c r="O1380" s="18">
        <v>992588</v>
      </c>
      <c r="P1380" s="38">
        <f t="shared" si="172"/>
        <v>989411.71840000001</v>
      </c>
      <c r="Q1380" s="178">
        <v>42627</v>
      </c>
      <c r="R1380" s="66">
        <v>42628</v>
      </c>
      <c r="S1380" s="191">
        <f t="shared" si="167"/>
        <v>33</v>
      </c>
    </row>
    <row r="1381" spans="1:19" s="65" customFormat="1" hidden="1" x14ac:dyDescent="0.25">
      <c r="A1381" s="146">
        <v>436</v>
      </c>
      <c r="B1381" s="60">
        <v>42584</v>
      </c>
      <c r="C1381" s="18">
        <v>103</v>
      </c>
      <c r="D1381" s="18">
        <v>3000032226</v>
      </c>
      <c r="E1381" s="18" t="s">
        <v>158</v>
      </c>
      <c r="F1381" s="154">
        <v>55</v>
      </c>
      <c r="G1381" s="61">
        <v>42572</v>
      </c>
      <c r="H1381" s="61"/>
      <c r="I1381" s="61">
        <v>42576</v>
      </c>
      <c r="J1381" s="18" t="s">
        <v>61</v>
      </c>
      <c r="K1381" s="149">
        <v>8.07</v>
      </c>
      <c r="L1381" s="18">
        <v>8.07</v>
      </c>
      <c r="M1381" s="18">
        <f t="shared" si="168"/>
        <v>8.07</v>
      </c>
      <c r="N1381" s="62">
        <f t="shared" si="171"/>
        <v>42595</v>
      </c>
      <c r="O1381" s="18">
        <v>629455</v>
      </c>
      <c r="P1381" s="38">
        <f t="shared" si="172"/>
        <v>629455</v>
      </c>
      <c r="Q1381" s="178">
        <v>42627</v>
      </c>
      <c r="R1381" s="66">
        <v>42628</v>
      </c>
      <c r="S1381" s="191">
        <f t="shared" si="167"/>
        <v>33</v>
      </c>
    </row>
    <row r="1382" spans="1:19" s="65" customFormat="1" hidden="1" x14ac:dyDescent="0.25">
      <c r="A1382" s="146">
        <v>455</v>
      </c>
      <c r="B1382" s="60">
        <v>42584</v>
      </c>
      <c r="C1382" s="18">
        <v>103</v>
      </c>
      <c r="D1382" s="18">
        <v>3000032226</v>
      </c>
      <c r="E1382" s="18" t="s">
        <v>158</v>
      </c>
      <c r="F1382" s="18">
        <v>56</v>
      </c>
      <c r="G1382" s="61">
        <v>42572</v>
      </c>
      <c r="H1382" s="61"/>
      <c r="I1382" s="61">
        <v>42577</v>
      </c>
      <c r="J1382" s="18" t="s">
        <v>61</v>
      </c>
      <c r="K1382" s="149">
        <v>25.2</v>
      </c>
      <c r="L1382" s="18">
        <v>25.14</v>
      </c>
      <c r="M1382" s="18">
        <f t="shared" si="168"/>
        <v>25.14</v>
      </c>
      <c r="N1382" s="62">
        <f t="shared" si="171"/>
        <v>42596</v>
      </c>
      <c r="O1382" s="18">
        <v>1965600</v>
      </c>
      <c r="P1382" s="38">
        <f t="shared" si="172"/>
        <v>1960920</v>
      </c>
      <c r="Q1382" s="178">
        <v>42627</v>
      </c>
      <c r="R1382" s="66">
        <v>42628</v>
      </c>
      <c r="S1382" s="191">
        <f t="shared" si="167"/>
        <v>32</v>
      </c>
    </row>
    <row r="1383" spans="1:19" s="65" customFormat="1" hidden="1" x14ac:dyDescent="0.25">
      <c r="A1383" s="146">
        <v>384</v>
      </c>
      <c r="B1383" s="60">
        <v>42578</v>
      </c>
      <c r="C1383" s="18">
        <v>103</v>
      </c>
      <c r="D1383" s="18">
        <v>3000032082</v>
      </c>
      <c r="E1383" s="18" t="s">
        <v>171</v>
      </c>
      <c r="F1383" s="18">
        <v>24</v>
      </c>
      <c r="G1383" s="61">
        <v>42569</v>
      </c>
      <c r="H1383" s="61"/>
      <c r="I1383" s="61">
        <v>42575</v>
      </c>
      <c r="J1383" s="18" t="s">
        <v>61</v>
      </c>
      <c r="K1383" s="149">
        <v>16.739999999999998</v>
      </c>
      <c r="L1383" s="18">
        <v>16.72</v>
      </c>
      <c r="M1383" s="18">
        <f t="shared" si="168"/>
        <v>16.72</v>
      </c>
      <c r="N1383" s="62">
        <f t="shared" si="171"/>
        <v>42594</v>
      </c>
      <c r="O1383" s="18">
        <v>1329103</v>
      </c>
      <c r="P1383" s="38">
        <f t="shared" si="172"/>
        <v>1327515.063321386</v>
      </c>
      <c r="Q1383" s="178">
        <v>42627</v>
      </c>
      <c r="R1383" s="66">
        <v>42628</v>
      </c>
      <c r="S1383" s="191">
        <f t="shared" si="167"/>
        <v>34</v>
      </c>
    </row>
    <row r="1384" spans="1:19" s="65" customFormat="1" hidden="1" x14ac:dyDescent="0.25">
      <c r="A1384" s="146">
        <v>386</v>
      </c>
      <c r="B1384" s="60">
        <v>42578</v>
      </c>
      <c r="C1384" s="18">
        <v>103</v>
      </c>
      <c r="D1384" s="18">
        <v>3000032228</v>
      </c>
      <c r="E1384" s="18" t="s">
        <v>171</v>
      </c>
      <c r="F1384" s="18">
        <v>27</v>
      </c>
      <c r="G1384" s="61">
        <v>42569</v>
      </c>
      <c r="H1384" s="61"/>
      <c r="I1384" s="61">
        <v>42575</v>
      </c>
      <c r="J1384" s="18" t="s">
        <v>61</v>
      </c>
      <c r="K1384" s="149">
        <v>7</v>
      </c>
      <c r="L1384" s="18">
        <v>6.97</v>
      </c>
      <c r="M1384" s="18">
        <f t="shared" si="168"/>
        <v>6.97</v>
      </c>
      <c r="N1384" s="62">
        <f t="shared" si="171"/>
        <v>42594</v>
      </c>
      <c r="O1384" s="18">
        <v>555778</v>
      </c>
      <c r="P1384" s="38">
        <f t="shared" si="172"/>
        <v>553396.09428571432</v>
      </c>
      <c r="Q1384" s="178">
        <v>42627</v>
      </c>
      <c r="R1384" s="66">
        <v>42628</v>
      </c>
      <c r="S1384" s="191">
        <f t="shared" si="167"/>
        <v>34</v>
      </c>
    </row>
    <row r="1385" spans="1:19" s="65" customFormat="1" hidden="1" x14ac:dyDescent="0.25">
      <c r="A1385" s="146">
        <v>387</v>
      </c>
      <c r="B1385" s="60">
        <v>42578</v>
      </c>
      <c r="C1385" s="18">
        <v>103</v>
      </c>
      <c r="D1385" s="18">
        <v>3000032228</v>
      </c>
      <c r="E1385" s="18" t="s">
        <v>171</v>
      </c>
      <c r="F1385" s="18">
        <v>28</v>
      </c>
      <c r="G1385" s="61">
        <v>42569</v>
      </c>
      <c r="H1385" s="61"/>
      <c r="I1385" s="61">
        <v>42575</v>
      </c>
      <c r="J1385" s="18" t="s">
        <v>61</v>
      </c>
      <c r="K1385" s="149">
        <v>10.18</v>
      </c>
      <c r="L1385" s="18">
        <v>10.18</v>
      </c>
      <c r="M1385" s="18">
        <f t="shared" si="168"/>
        <v>10.18</v>
      </c>
      <c r="N1385" s="62">
        <f t="shared" si="171"/>
        <v>42594</v>
      </c>
      <c r="O1385" s="18">
        <v>794034</v>
      </c>
      <c r="P1385" s="38">
        <f t="shared" si="172"/>
        <v>794033.99999999988</v>
      </c>
      <c r="Q1385" s="178">
        <v>42627</v>
      </c>
      <c r="R1385" s="66">
        <v>42628</v>
      </c>
      <c r="S1385" s="191">
        <f t="shared" si="167"/>
        <v>34</v>
      </c>
    </row>
    <row r="1386" spans="1:19" s="65" customFormat="1" hidden="1" x14ac:dyDescent="0.25">
      <c r="A1386" s="146">
        <v>445</v>
      </c>
      <c r="B1386" s="60">
        <v>42584</v>
      </c>
      <c r="C1386" s="18">
        <v>103</v>
      </c>
      <c r="D1386" s="18">
        <v>3000032228</v>
      </c>
      <c r="E1386" s="18" t="s">
        <v>171</v>
      </c>
      <c r="F1386" s="18">
        <v>29</v>
      </c>
      <c r="G1386" s="61">
        <v>42573</v>
      </c>
      <c r="H1386" s="61"/>
      <c r="I1386" s="61">
        <v>42577</v>
      </c>
      <c r="J1386" s="18" t="s">
        <v>61</v>
      </c>
      <c r="K1386" s="149">
        <v>19.989999999999998</v>
      </c>
      <c r="L1386" s="18">
        <v>19.920000000000002</v>
      </c>
      <c r="M1386" s="18">
        <f t="shared" si="168"/>
        <v>19.920000000000002</v>
      </c>
      <c r="N1386" s="62">
        <f t="shared" si="171"/>
        <v>42596</v>
      </c>
      <c r="O1386" s="18">
        <v>1559208</v>
      </c>
      <c r="P1386" s="38">
        <f t="shared" si="172"/>
        <v>1553748.0420210108</v>
      </c>
      <c r="Q1386" s="178">
        <v>42627</v>
      </c>
      <c r="R1386" s="66">
        <v>42628</v>
      </c>
      <c r="S1386" s="191">
        <f t="shared" si="167"/>
        <v>32</v>
      </c>
    </row>
    <row r="1387" spans="1:19" s="65" customFormat="1" hidden="1" x14ac:dyDescent="0.25">
      <c r="A1387" s="146">
        <v>424</v>
      </c>
      <c r="B1387" s="60">
        <v>42584</v>
      </c>
      <c r="C1387" s="18">
        <v>103</v>
      </c>
      <c r="D1387" s="18">
        <v>3000031835</v>
      </c>
      <c r="E1387" s="18" t="s">
        <v>184</v>
      </c>
      <c r="F1387" s="18">
        <v>112</v>
      </c>
      <c r="G1387" s="61">
        <v>42569</v>
      </c>
      <c r="H1387" s="61"/>
      <c r="I1387" s="61">
        <v>42575</v>
      </c>
      <c r="J1387" s="18" t="s">
        <v>61</v>
      </c>
      <c r="K1387" s="149">
        <v>20.05</v>
      </c>
      <c r="L1387" s="18">
        <v>19.95</v>
      </c>
      <c r="M1387" s="18">
        <f t="shared" si="168"/>
        <v>19.95</v>
      </c>
      <c r="N1387" s="62">
        <f t="shared" si="171"/>
        <v>42594</v>
      </c>
      <c r="O1387" s="18">
        <v>1618083</v>
      </c>
      <c r="P1387" s="38">
        <f t="shared" si="172"/>
        <v>1610012.7605985035</v>
      </c>
      <c r="Q1387" s="178">
        <v>42627</v>
      </c>
      <c r="R1387" s="66">
        <v>42628</v>
      </c>
      <c r="S1387" s="191">
        <f t="shared" ref="S1387:S1450" si="173">R1387-N1387</f>
        <v>34</v>
      </c>
    </row>
    <row r="1388" spans="1:19" s="65" customFormat="1" hidden="1" x14ac:dyDescent="0.25">
      <c r="A1388" s="146">
        <v>437</v>
      </c>
      <c r="B1388" s="60">
        <v>42584</v>
      </c>
      <c r="C1388" s="18">
        <v>103</v>
      </c>
      <c r="D1388" s="18">
        <v>3000032218</v>
      </c>
      <c r="E1388" s="18" t="s">
        <v>184</v>
      </c>
      <c r="F1388" s="18">
        <v>113</v>
      </c>
      <c r="G1388" s="61">
        <v>42569</v>
      </c>
      <c r="H1388" s="61"/>
      <c r="I1388" s="61">
        <v>42577</v>
      </c>
      <c r="J1388" s="18" t="s">
        <v>61</v>
      </c>
      <c r="K1388" s="149">
        <v>19.420000000000002</v>
      </c>
      <c r="L1388" s="18">
        <v>19.34</v>
      </c>
      <c r="M1388" s="18">
        <f t="shared" si="168"/>
        <v>19.34</v>
      </c>
      <c r="N1388" s="62">
        <f t="shared" si="171"/>
        <v>42596</v>
      </c>
      <c r="O1388" s="18">
        <v>1524652</v>
      </c>
      <c r="P1388" s="38">
        <f t="shared" si="172"/>
        <v>1518371.2502574665</v>
      </c>
      <c r="Q1388" s="178">
        <v>42627</v>
      </c>
      <c r="R1388" s="66">
        <v>42628</v>
      </c>
      <c r="S1388" s="191">
        <f t="shared" si="173"/>
        <v>32</v>
      </c>
    </row>
    <row r="1389" spans="1:19" s="65" customFormat="1" hidden="1" x14ac:dyDescent="0.25">
      <c r="A1389" s="146">
        <v>425</v>
      </c>
      <c r="B1389" s="60">
        <v>42584</v>
      </c>
      <c r="C1389" s="18">
        <v>103</v>
      </c>
      <c r="D1389" s="18">
        <v>3000032222</v>
      </c>
      <c r="E1389" s="18" t="s">
        <v>184</v>
      </c>
      <c r="F1389" s="18">
        <v>114</v>
      </c>
      <c r="G1389" s="61">
        <v>42570</v>
      </c>
      <c r="H1389" s="61"/>
      <c r="I1389" s="61">
        <v>42576</v>
      </c>
      <c r="J1389" s="18" t="s">
        <v>61</v>
      </c>
      <c r="K1389" s="149">
        <v>16.170000000000002</v>
      </c>
      <c r="L1389" s="18">
        <v>16.11</v>
      </c>
      <c r="M1389" s="18">
        <f t="shared" si="168"/>
        <v>16.11</v>
      </c>
      <c r="N1389" s="62">
        <f t="shared" si="171"/>
        <v>42595</v>
      </c>
      <c r="O1389" s="18">
        <v>1261414</v>
      </c>
      <c r="P1389" s="38">
        <f t="shared" si="172"/>
        <v>1256733.4285714284</v>
      </c>
      <c r="Q1389" s="178">
        <v>42627</v>
      </c>
      <c r="R1389" s="66">
        <v>42628</v>
      </c>
      <c r="S1389" s="191">
        <f t="shared" si="173"/>
        <v>33</v>
      </c>
    </row>
    <row r="1390" spans="1:19" s="65" customFormat="1" hidden="1" x14ac:dyDescent="0.25">
      <c r="A1390" s="146">
        <v>426</v>
      </c>
      <c r="B1390" s="60">
        <v>42584</v>
      </c>
      <c r="C1390" s="18">
        <v>103</v>
      </c>
      <c r="D1390" s="18">
        <v>3000032218</v>
      </c>
      <c r="E1390" s="18" t="s">
        <v>184</v>
      </c>
      <c r="F1390" s="18">
        <v>115</v>
      </c>
      <c r="G1390" s="61">
        <v>42571</v>
      </c>
      <c r="H1390" s="61"/>
      <c r="I1390" s="61">
        <v>42576</v>
      </c>
      <c r="J1390" s="18" t="s">
        <v>61</v>
      </c>
      <c r="K1390" s="149">
        <v>20.05</v>
      </c>
      <c r="L1390" s="18">
        <v>20.03</v>
      </c>
      <c r="M1390" s="18">
        <f t="shared" si="168"/>
        <v>20.03</v>
      </c>
      <c r="N1390" s="62">
        <f t="shared" si="171"/>
        <v>42595</v>
      </c>
      <c r="O1390" s="18">
        <v>1574112</v>
      </c>
      <c r="P1390" s="38">
        <f t="shared" si="172"/>
        <v>1572541.8134663342</v>
      </c>
      <c r="Q1390" s="178">
        <v>42627</v>
      </c>
      <c r="R1390" s="66">
        <v>42628</v>
      </c>
      <c r="S1390" s="191">
        <f t="shared" si="173"/>
        <v>33</v>
      </c>
    </row>
    <row r="1391" spans="1:19" s="65" customFormat="1" hidden="1" x14ac:dyDescent="0.25">
      <c r="A1391" s="146">
        <v>439</v>
      </c>
      <c r="B1391" s="60">
        <v>42584</v>
      </c>
      <c r="C1391" s="18">
        <v>103</v>
      </c>
      <c r="D1391" s="18">
        <v>3000032222</v>
      </c>
      <c r="E1391" s="18" t="s">
        <v>184</v>
      </c>
      <c r="F1391" s="18">
        <v>116</v>
      </c>
      <c r="G1391" s="61">
        <v>42572</v>
      </c>
      <c r="H1391" s="61"/>
      <c r="I1391" s="61">
        <v>42577</v>
      </c>
      <c r="J1391" s="18" t="s">
        <v>61</v>
      </c>
      <c r="K1391" s="149">
        <v>16.07</v>
      </c>
      <c r="L1391" s="18">
        <v>16.079999999999998</v>
      </c>
      <c r="M1391" s="18">
        <f t="shared" si="168"/>
        <v>16.07</v>
      </c>
      <c r="N1391" s="62">
        <f t="shared" si="171"/>
        <v>42596</v>
      </c>
      <c r="O1391" s="18">
        <v>1253613</v>
      </c>
      <c r="P1391" s="38">
        <f t="shared" si="172"/>
        <v>1253613</v>
      </c>
      <c r="Q1391" s="178">
        <v>42627</v>
      </c>
      <c r="R1391" s="66">
        <v>42628</v>
      </c>
      <c r="S1391" s="191">
        <f t="shared" si="173"/>
        <v>32</v>
      </c>
    </row>
    <row r="1392" spans="1:19" s="65" customFormat="1" hidden="1" x14ac:dyDescent="0.25">
      <c r="A1392" s="146">
        <v>398</v>
      </c>
      <c r="B1392" s="60">
        <v>42578</v>
      </c>
      <c r="C1392" s="18">
        <v>103</v>
      </c>
      <c r="D1392" s="18">
        <v>3000032442</v>
      </c>
      <c r="E1392" s="18" t="s">
        <v>261</v>
      </c>
      <c r="F1392" s="18">
        <v>29</v>
      </c>
      <c r="G1392" s="61">
        <v>42571</v>
      </c>
      <c r="H1392" s="61"/>
      <c r="I1392" s="61">
        <v>42575</v>
      </c>
      <c r="J1392" s="18" t="s">
        <v>61</v>
      </c>
      <c r="K1392" s="149">
        <v>20.059999999999999</v>
      </c>
      <c r="L1392" s="18">
        <v>20.02</v>
      </c>
      <c r="M1392" s="18">
        <f t="shared" si="168"/>
        <v>20.02</v>
      </c>
      <c r="N1392" s="62">
        <f t="shared" si="171"/>
        <v>42594</v>
      </c>
      <c r="O1392" s="18">
        <v>1554650</v>
      </c>
      <c r="P1392" s="38">
        <f t="shared" si="172"/>
        <v>1551550</v>
      </c>
      <c r="Q1392" s="178">
        <v>42627</v>
      </c>
      <c r="R1392" s="66">
        <v>42628</v>
      </c>
      <c r="S1392" s="191">
        <f t="shared" si="173"/>
        <v>34</v>
      </c>
    </row>
    <row r="1393" spans="1:19" s="65" customFormat="1" hidden="1" x14ac:dyDescent="0.25">
      <c r="A1393" s="146">
        <v>429</v>
      </c>
      <c r="B1393" s="60">
        <v>42584</v>
      </c>
      <c r="C1393" s="18">
        <v>103</v>
      </c>
      <c r="D1393" s="18">
        <v>3000032776</v>
      </c>
      <c r="E1393" s="18" t="s">
        <v>180</v>
      </c>
      <c r="F1393" s="18">
        <v>175</v>
      </c>
      <c r="G1393" s="61">
        <v>42571</v>
      </c>
      <c r="H1393" s="61"/>
      <c r="I1393" s="61">
        <v>42576</v>
      </c>
      <c r="J1393" s="18" t="s">
        <v>61</v>
      </c>
      <c r="K1393" s="149">
        <v>16.47</v>
      </c>
      <c r="L1393" s="18">
        <v>16.47</v>
      </c>
      <c r="M1393" s="18">
        <f t="shared" si="168"/>
        <v>16.47</v>
      </c>
      <c r="N1393" s="62">
        <f t="shared" si="171"/>
        <v>42595</v>
      </c>
      <c r="O1393" s="18">
        <v>1291300</v>
      </c>
      <c r="P1393" s="38">
        <f t="shared" si="172"/>
        <v>1291300</v>
      </c>
      <c r="Q1393" s="178">
        <v>42627</v>
      </c>
      <c r="R1393" s="66">
        <v>42628</v>
      </c>
      <c r="S1393" s="191">
        <f t="shared" si="173"/>
        <v>33</v>
      </c>
    </row>
    <row r="1394" spans="1:19" s="65" customFormat="1" hidden="1" x14ac:dyDescent="0.25">
      <c r="A1394" s="146">
        <v>430</v>
      </c>
      <c r="B1394" s="60">
        <v>42584</v>
      </c>
      <c r="C1394" s="18">
        <v>103</v>
      </c>
      <c r="D1394" s="18">
        <v>3000032776</v>
      </c>
      <c r="E1394" s="18" t="s">
        <v>180</v>
      </c>
      <c r="F1394" s="18">
        <v>176</v>
      </c>
      <c r="G1394" s="61">
        <v>42571</v>
      </c>
      <c r="H1394" s="61"/>
      <c r="I1394" s="61">
        <v>42576</v>
      </c>
      <c r="J1394" s="18" t="s">
        <v>61</v>
      </c>
      <c r="K1394" s="149">
        <v>16.559999999999999</v>
      </c>
      <c r="L1394" s="18">
        <v>16.54</v>
      </c>
      <c r="M1394" s="18">
        <f t="shared" si="168"/>
        <v>16.54</v>
      </c>
      <c r="N1394" s="62">
        <f t="shared" si="171"/>
        <v>42595</v>
      </c>
      <c r="O1394" s="18">
        <v>1298300</v>
      </c>
      <c r="P1394" s="38">
        <f t="shared" si="172"/>
        <v>1296732.0048309178</v>
      </c>
      <c r="Q1394" s="178">
        <v>42627</v>
      </c>
      <c r="R1394" s="66">
        <v>42628</v>
      </c>
      <c r="S1394" s="191">
        <f t="shared" si="173"/>
        <v>33</v>
      </c>
    </row>
    <row r="1395" spans="1:19" s="65" customFormat="1" hidden="1" x14ac:dyDescent="0.25">
      <c r="A1395" s="146">
        <v>443</v>
      </c>
      <c r="B1395" s="60">
        <v>42584</v>
      </c>
      <c r="C1395" s="18">
        <v>103</v>
      </c>
      <c r="D1395" s="18">
        <v>3000032776</v>
      </c>
      <c r="E1395" s="18" t="s">
        <v>180</v>
      </c>
      <c r="F1395" s="18">
        <v>184</v>
      </c>
      <c r="G1395" s="61">
        <v>42573</v>
      </c>
      <c r="H1395" s="61"/>
      <c r="I1395" s="61">
        <v>42577</v>
      </c>
      <c r="J1395" s="18" t="s">
        <v>61</v>
      </c>
      <c r="K1395" s="149">
        <v>19.97</v>
      </c>
      <c r="L1395" s="18">
        <v>19.940000000000001</v>
      </c>
      <c r="M1395" s="18">
        <f t="shared" si="168"/>
        <v>19.940000000000001</v>
      </c>
      <c r="N1395" s="62">
        <f t="shared" si="171"/>
        <v>42596</v>
      </c>
      <c r="O1395" s="18">
        <v>1565650</v>
      </c>
      <c r="P1395" s="38">
        <f t="shared" si="172"/>
        <v>1563297.9969954935</v>
      </c>
      <c r="Q1395" s="178">
        <v>42627</v>
      </c>
      <c r="R1395" s="66">
        <v>42628</v>
      </c>
      <c r="S1395" s="191">
        <f t="shared" si="173"/>
        <v>32</v>
      </c>
    </row>
    <row r="1396" spans="1:19" s="65" customFormat="1" hidden="1" x14ac:dyDescent="0.25">
      <c r="A1396" s="146">
        <v>431</v>
      </c>
      <c r="B1396" s="60">
        <v>42584</v>
      </c>
      <c r="C1396" s="18">
        <v>103</v>
      </c>
      <c r="D1396" s="18">
        <v>3000032639</v>
      </c>
      <c r="E1396" s="18" t="s">
        <v>213</v>
      </c>
      <c r="F1396" s="18">
        <v>98</v>
      </c>
      <c r="G1396" s="61">
        <v>42572</v>
      </c>
      <c r="H1396" s="61"/>
      <c r="I1396" s="61">
        <v>42576</v>
      </c>
      <c r="J1396" s="18" t="s">
        <v>61</v>
      </c>
      <c r="K1396" s="149">
        <v>20.18</v>
      </c>
      <c r="L1396" s="18">
        <v>20.09</v>
      </c>
      <c r="M1396" s="18">
        <f t="shared" si="168"/>
        <v>20.09</v>
      </c>
      <c r="N1396" s="62">
        <f t="shared" si="171"/>
        <v>42595</v>
      </c>
      <c r="O1396" s="18">
        <v>1569912</v>
      </c>
      <c r="P1396" s="38">
        <f t="shared" si="172"/>
        <v>1562910.4103072351</v>
      </c>
      <c r="Q1396" s="178">
        <v>42627</v>
      </c>
      <c r="R1396" s="66">
        <v>42628</v>
      </c>
      <c r="S1396" s="191">
        <f t="shared" si="173"/>
        <v>33</v>
      </c>
    </row>
    <row r="1397" spans="1:19" s="65" customFormat="1" hidden="1" x14ac:dyDescent="0.25">
      <c r="A1397" s="146">
        <v>446</v>
      </c>
      <c r="B1397" s="60">
        <v>42584</v>
      </c>
      <c r="C1397" s="18">
        <v>103</v>
      </c>
      <c r="D1397" s="18">
        <v>3000032081</v>
      </c>
      <c r="E1397" s="18" t="s">
        <v>201</v>
      </c>
      <c r="F1397" s="18">
        <v>111</v>
      </c>
      <c r="G1397" s="61">
        <v>42571</v>
      </c>
      <c r="H1397" s="61"/>
      <c r="I1397" s="61">
        <v>42577</v>
      </c>
      <c r="J1397" s="18" t="s">
        <v>61</v>
      </c>
      <c r="K1397" s="149">
        <v>20.58</v>
      </c>
      <c r="L1397" s="18">
        <v>20.51</v>
      </c>
      <c r="M1397" s="18">
        <f t="shared" si="168"/>
        <v>20.51</v>
      </c>
      <c r="N1397" s="62">
        <f t="shared" si="171"/>
        <v>42596</v>
      </c>
      <c r="O1397" s="18">
        <v>1634051</v>
      </c>
      <c r="P1397" s="38">
        <f t="shared" si="172"/>
        <v>1628493.0034013607</v>
      </c>
      <c r="Q1397" s="178">
        <v>42627</v>
      </c>
      <c r="R1397" s="66">
        <v>42628</v>
      </c>
      <c r="S1397" s="191">
        <f t="shared" si="173"/>
        <v>32</v>
      </c>
    </row>
    <row r="1398" spans="1:19" s="65" customFormat="1" hidden="1" x14ac:dyDescent="0.25">
      <c r="A1398" s="146">
        <v>434</v>
      </c>
      <c r="B1398" s="60">
        <v>42584</v>
      </c>
      <c r="C1398" s="18">
        <v>103</v>
      </c>
      <c r="D1398" s="18">
        <v>3000031794</v>
      </c>
      <c r="E1398" s="18" t="s">
        <v>159</v>
      </c>
      <c r="F1398" s="18">
        <v>361</v>
      </c>
      <c r="G1398" s="61">
        <v>42568</v>
      </c>
      <c r="H1398" s="61"/>
      <c r="I1398" s="61">
        <v>42577</v>
      </c>
      <c r="J1398" s="18" t="s">
        <v>61</v>
      </c>
      <c r="K1398" s="149">
        <v>16.09</v>
      </c>
      <c r="L1398" s="18">
        <v>16.010000000000002</v>
      </c>
      <c r="M1398" s="18">
        <f t="shared" si="168"/>
        <v>16.010000000000002</v>
      </c>
      <c r="N1398" s="62">
        <f t="shared" si="171"/>
        <v>42596</v>
      </c>
      <c r="O1398" s="18">
        <v>1311336</v>
      </c>
      <c r="P1398" s="38">
        <f t="shared" si="172"/>
        <v>1304815.9950279677</v>
      </c>
      <c r="Q1398" s="178">
        <v>42627</v>
      </c>
      <c r="R1398" s="66">
        <v>42628</v>
      </c>
      <c r="S1398" s="191">
        <f t="shared" si="173"/>
        <v>32</v>
      </c>
    </row>
    <row r="1399" spans="1:19" s="65" customFormat="1" hidden="1" x14ac:dyDescent="0.25">
      <c r="A1399" s="146">
        <v>452</v>
      </c>
      <c r="B1399" s="60">
        <v>42584</v>
      </c>
      <c r="C1399" s="18">
        <v>103</v>
      </c>
      <c r="D1399" s="18">
        <v>3000032211</v>
      </c>
      <c r="E1399" s="18" t="s">
        <v>170</v>
      </c>
      <c r="F1399" s="18">
        <v>38</v>
      </c>
      <c r="G1399" s="61">
        <v>42572</v>
      </c>
      <c r="H1399" s="61"/>
      <c r="I1399" s="61">
        <v>42577</v>
      </c>
      <c r="J1399" s="18" t="s">
        <v>61</v>
      </c>
      <c r="K1399" s="149">
        <v>20.11</v>
      </c>
      <c r="L1399" s="18">
        <v>20.05</v>
      </c>
      <c r="M1399" s="18">
        <f t="shared" si="168"/>
        <v>20.05</v>
      </c>
      <c r="N1399" s="62">
        <f t="shared" si="171"/>
        <v>42596</v>
      </c>
      <c r="O1399" s="18">
        <v>1568580</v>
      </c>
      <c r="P1399" s="38">
        <f t="shared" si="172"/>
        <v>1563900</v>
      </c>
      <c r="Q1399" s="178">
        <v>42627</v>
      </c>
      <c r="R1399" s="66">
        <v>42628</v>
      </c>
      <c r="S1399" s="191">
        <f t="shared" si="173"/>
        <v>32</v>
      </c>
    </row>
    <row r="1400" spans="1:19" s="65" customFormat="1" hidden="1" x14ac:dyDescent="0.25">
      <c r="A1400" s="146">
        <v>447</v>
      </c>
      <c r="B1400" s="60">
        <v>42584</v>
      </c>
      <c r="C1400" s="18">
        <v>103</v>
      </c>
      <c r="D1400" s="18">
        <v>3000032647</v>
      </c>
      <c r="E1400" s="18" t="s">
        <v>267</v>
      </c>
      <c r="F1400" s="18">
        <v>10</v>
      </c>
      <c r="G1400" s="61">
        <v>42572</v>
      </c>
      <c r="H1400" s="61"/>
      <c r="I1400" s="61">
        <v>42577</v>
      </c>
      <c r="J1400" s="18" t="s">
        <v>61</v>
      </c>
      <c r="K1400" s="149">
        <v>20.260000000000002</v>
      </c>
      <c r="L1400" s="18">
        <v>20.21</v>
      </c>
      <c r="M1400" s="18">
        <f t="shared" si="168"/>
        <v>20.21</v>
      </c>
      <c r="N1400" s="62">
        <f t="shared" si="171"/>
        <v>42596</v>
      </c>
      <c r="O1400" s="18">
        <v>1576200</v>
      </c>
      <c r="P1400" s="38">
        <f t="shared" si="172"/>
        <v>1572310.069101678</v>
      </c>
      <c r="Q1400" s="178">
        <v>42627</v>
      </c>
      <c r="R1400" s="66">
        <v>42628</v>
      </c>
      <c r="S1400" s="191">
        <f t="shared" si="173"/>
        <v>32</v>
      </c>
    </row>
    <row r="1401" spans="1:19" s="65" customFormat="1" hidden="1" x14ac:dyDescent="0.25">
      <c r="A1401" s="146">
        <v>574</v>
      </c>
      <c r="B1401" s="60">
        <v>42591</v>
      </c>
      <c r="C1401" s="18">
        <v>103</v>
      </c>
      <c r="D1401" s="18">
        <v>3000032061</v>
      </c>
      <c r="E1401" s="18" t="s">
        <v>225</v>
      </c>
      <c r="F1401" s="18">
        <v>76</v>
      </c>
      <c r="G1401" s="61">
        <v>42576</v>
      </c>
      <c r="H1401" s="61"/>
      <c r="I1401" s="61">
        <v>42588</v>
      </c>
      <c r="J1401" s="18" t="s">
        <v>61</v>
      </c>
      <c r="K1401" s="149">
        <v>20.22</v>
      </c>
      <c r="L1401" s="18">
        <v>20.14</v>
      </c>
      <c r="M1401" s="18">
        <f t="shared" si="168"/>
        <v>20.14</v>
      </c>
      <c r="N1401" s="62">
        <f>+I1401+10-1</f>
        <v>42597</v>
      </c>
      <c r="O1401" s="18">
        <v>1563006</v>
      </c>
      <c r="P1401" s="38">
        <f t="shared" si="172"/>
        <v>1556822</v>
      </c>
      <c r="Q1401" s="178">
        <v>42627</v>
      </c>
      <c r="R1401" s="66">
        <v>42628</v>
      </c>
      <c r="S1401" s="191">
        <f t="shared" si="173"/>
        <v>31</v>
      </c>
    </row>
    <row r="1402" spans="1:19" s="65" customFormat="1" hidden="1" x14ac:dyDescent="0.25">
      <c r="A1402" s="146">
        <v>507</v>
      </c>
      <c r="B1402" s="60">
        <v>42587</v>
      </c>
      <c r="C1402" s="18">
        <v>103</v>
      </c>
      <c r="D1402" s="18">
        <v>3000031813</v>
      </c>
      <c r="E1402" s="18" t="s">
        <v>60</v>
      </c>
      <c r="F1402" s="18">
        <v>413</v>
      </c>
      <c r="G1402" s="61">
        <v>42574</v>
      </c>
      <c r="H1402" s="61"/>
      <c r="I1402" s="61">
        <v>42578</v>
      </c>
      <c r="J1402" s="18" t="s">
        <v>61</v>
      </c>
      <c r="K1402" s="149">
        <v>15.59</v>
      </c>
      <c r="L1402" s="18">
        <v>15.58</v>
      </c>
      <c r="M1402" s="18">
        <f t="shared" si="168"/>
        <v>15.58</v>
      </c>
      <c r="N1402" s="62">
        <f t="shared" ref="N1402:N1411" si="174">+I1402+20-1</f>
        <v>42597</v>
      </c>
      <c r="O1402" s="18">
        <v>1181663</v>
      </c>
      <c r="P1402" s="157">
        <f t="shared" si="172"/>
        <v>1180905.0378447722</v>
      </c>
      <c r="Q1402" s="178">
        <v>42627</v>
      </c>
      <c r="R1402" s="66">
        <v>42628</v>
      </c>
      <c r="S1402" s="191">
        <f t="shared" si="173"/>
        <v>31</v>
      </c>
    </row>
    <row r="1403" spans="1:19" s="65" customFormat="1" hidden="1" x14ac:dyDescent="0.25">
      <c r="A1403" s="146">
        <v>508</v>
      </c>
      <c r="B1403" s="60">
        <v>42587</v>
      </c>
      <c r="C1403" s="18">
        <v>103</v>
      </c>
      <c r="D1403" s="18">
        <v>3000031837</v>
      </c>
      <c r="E1403" s="18" t="s">
        <v>60</v>
      </c>
      <c r="F1403" s="18">
        <v>418</v>
      </c>
      <c r="G1403" s="61">
        <v>42576</v>
      </c>
      <c r="H1403" s="61"/>
      <c r="I1403" s="61">
        <v>42580</v>
      </c>
      <c r="J1403" s="18" t="s">
        <v>61</v>
      </c>
      <c r="K1403" s="149">
        <v>16.18</v>
      </c>
      <c r="L1403" s="18">
        <v>16.149999999999999</v>
      </c>
      <c r="M1403" s="18">
        <f t="shared" si="168"/>
        <v>16.149999999999999</v>
      </c>
      <c r="N1403" s="62">
        <f t="shared" si="174"/>
        <v>42599</v>
      </c>
      <c r="O1403" s="18">
        <v>1226383</v>
      </c>
      <c r="P1403" s="157">
        <f t="shared" si="172"/>
        <v>1224109.1131025956</v>
      </c>
      <c r="Q1403" s="178">
        <v>42627</v>
      </c>
      <c r="R1403" s="66">
        <v>42628</v>
      </c>
      <c r="S1403" s="191">
        <f t="shared" si="173"/>
        <v>29</v>
      </c>
    </row>
    <row r="1404" spans="1:19" s="65" customFormat="1" hidden="1" x14ac:dyDescent="0.25">
      <c r="A1404" s="146">
        <v>509</v>
      </c>
      <c r="B1404" s="60">
        <v>42587</v>
      </c>
      <c r="C1404" s="18">
        <v>103</v>
      </c>
      <c r="D1404" s="18">
        <v>3000031837</v>
      </c>
      <c r="E1404" s="18" t="s">
        <v>60</v>
      </c>
      <c r="F1404" s="18">
        <v>419</v>
      </c>
      <c r="G1404" s="61">
        <v>42576</v>
      </c>
      <c r="H1404" s="61"/>
      <c r="I1404" s="61">
        <v>42581</v>
      </c>
      <c r="J1404" s="18" t="s">
        <v>61</v>
      </c>
      <c r="K1404" s="149">
        <v>16.05</v>
      </c>
      <c r="L1404" s="18">
        <v>16.03</v>
      </c>
      <c r="M1404" s="18">
        <f t="shared" si="168"/>
        <v>16.03</v>
      </c>
      <c r="N1404" s="62">
        <f t="shared" si="174"/>
        <v>42600</v>
      </c>
      <c r="O1404" s="18">
        <v>1216530</v>
      </c>
      <c r="P1404" s="157">
        <f t="shared" si="172"/>
        <v>1215014.0747663551</v>
      </c>
      <c r="Q1404" s="178">
        <v>42627</v>
      </c>
      <c r="R1404" s="66">
        <v>42628</v>
      </c>
      <c r="S1404" s="191">
        <f t="shared" si="173"/>
        <v>28</v>
      </c>
    </row>
    <row r="1405" spans="1:19" s="65" customFormat="1" hidden="1" x14ac:dyDescent="0.25">
      <c r="A1405" s="146">
        <v>510</v>
      </c>
      <c r="B1405" s="60">
        <v>42587</v>
      </c>
      <c r="C1405" s="18">
        <v>103</v>
      </c>
      <c r="D1405" s="18">
        <v>3000031622</v>
      </c>
      <c r="E1405" s="18" t="s">
        <v>60</v>
      </c>
      <c r="F1405" s="18">
        <v>424</v>
      </c>
      <c r="G1405" s="61">
        <v>42578</v>
      </c>
      <c r="H1405" s="61"/>
      <c r="I1405" s="61">
        <v>42582</v>
      </c>
      <c r="J1405" s="18" t="s">
        <v>61</v>
      </c>
      <c r="K1405" s="149">
        <v>15.98</v>
      </c>
      <c r="L1405" s="18">
        <v>15.93</v>
      </c>
      <c r="M1405" s="18">
        <f t="shared" si="168"/>
        <v>15.93</v>
      </c>
      <c r="N1405" s="62">
        <f t="shared" si="174"/>
        <v>42601</v>
      </c>
      <c r="O1405" s="18">
        <v>1294351</v>
      </c>
      <c r="P1405" s="157">
        <f t="shared" si="172"/>
        <v>1290301.0907384229</v>
      </c>
      <c r="Q1405" s="178">
        <v>42627</v>
      </c>
      <c r="R1405" s="66">
        <v>42628</v>
      </c>
      <c r="S1405" s="191">
        <f t="shared" si="173"/>
        <v>27</v>
      </c>
    </row>
    <row r="1406" spans="1:19" s="65" customFormat="1" hidden="1" x14ac:dyDescent="0.25">
      <c r="A1406" s="146">
        <v>511</v>
      </c>
      <c r="B1406" s="60">
        <v>42587</v>
      </c>
      <c r="C1406" s="18">
        <v>103</v>
      </c>
      <c r="D1406" s="18">
        <v>3000031622</v>
      </c>
      <c r="E1406" s="18" t="s">
        <v>60</v>
      </c>
      <c r="F1406" s="18">
        <v>427</v>
      </c>
      <c r="G1406" s="61">
        <v>42579</v>
      </c>
      <c r="H1406" s="61"/>
      <c r="I1406" s="61">
        <v>42583</v>
      </c>
      <c r="J1406" s="18" t="s">
        <v>61</v>
      </c>
      <c r="K1406" s="149">
        <v>20.07</v>
      </c>
      <c r="L1406" s="18">
        <v>20.02</v>
      </c>
      <c r="M1406" s="18">
        <f t="shared" si="168"/>
        <v>20.02</v>
      </c>
      <c r="N1406" s="62">
        <f t="shared" si="174"/>
        <v>42602</v>
      </c>
      <c r="O1406" s="18">
        <v>1625634</v>
      </c>
      <c r="P1406" s="157">
        <f t="shared" si="172"/>
        <v>1621584.0896860985</v>
      </c>
      <c r="Q1406" s="178">
        <v>42627</v>
      </c>
      <c r="R1406" s="66">
        <v>42628</v>
      </c>
      <c r="S1406" s="191">
        <f t="shared" si="173"/>
        <v>26</v>
      </c>
    </row>
    <row r="1407" spans="1:19" s="65" customFormat="1" hidden="1" x14ac:dyDescent="0.25">
      <c r="A1407" s="146">
        <v>512</v>
      </c>
      <c r="B1407" s="60">
        <v>42587</v>
      </c>
      <c r="C1407" s="18">
        <v>103</v>
      </c>
      <c r="D1407" s="18">
        <v>3000031622</v>
      </c>
      <c r="E1407" s="18" t="s">
        <v>60</v>
      </c>
      <c r="F1407" s="18">
        <v>428</v>
      </c>
      <c r="G1407" s="61">
        <v>42579</v>
      </c>
      <c r="H1407" s="61"/>
      <c r="I1407" s="61">
        <v>42583</v>
      </c>
      <c r="J1407" s="18" t="s">
        <v>61</v>
      </c>
      <c r="K1407" s="149">
        <v>19.920000000000002</v>
      </c>
      <c r="L1407" s="18">
        <v>19.86</v>
      </c>
      <c r="M1407" s="18">
        <f t="shared" si="168"/>
        <v>19.86</v>
      </c>
      <c r="N1407" s="62">
        <f t="shared" si="174"/>
        <v>42602</v>
      </c>
      <c r="O1407" s="18">
        <v>1613484</v>
      </c>
      <c r="P1407" s="157">
        <f t="shared" si="172"/>
        <v>1608624.1084337349</v>
      </c>
      <c r="Q1407" s="178">
        <v>42627</v>
      </c>
      <c r="R1407" s="66">
        <v>42628</v>
      </c>
      <c r="S1407" s="191">
        <f t="shared" si="173"/>
        <v>26</v>
      </c>
    </row>
    <row r="1408" spans="1:19" s="65" customFormat="1" hidden="1" x14ac:dyDescent="0.25">
      <c r="A1408" s="146">
        <v>513</v>
      </c>
      <c r="B1408" s="60">
        <v>42587</v>
      </c>
      <c r="C1408" s="18">
        <v>103</v>
      </c>
      <c r="D1408" s="18">
        <v>3000031622</v>
      </c>
      <c r="E1408" s="18" t="s">
        <v>60</v>
      </c>
      <c r="F1408" s="18">
        <v>429</v>
      </c>
      <c r="G1408" s="61">
        <v>42580</v>
      </c>
      <c r="H1408" s="61"/>
      <c r="I1408" s="61">
        <v>42585</v>
      </c>
      <c r="J1408" s="18" t="s">
        <v>61</v>
      </c>
      <c r="K1408" s="149">
        <v>16.05</v>
      </c>
      <c r="L1408" s="18">
        <v>16.010000000000002</v>
      </c>
      <c r="M1408" s="18">
        <f t="shared" ref="M1408:M1471" si="175">IF(L1408&gt;K1408,K1408,L1408)</f>
        <v>16.010000000000002</v>
      </c>
      <c r="N1408" s="62">
        <f t="shared" si="174"/>
        <v>42604</v>
      </c>
      <c r="O1408" s="18">
        <v>1300022</v>
      </c>
      <c r="P1408" s="157">
        <f t="shared" si="172"/>
        <v>1296782.0697819316</v>
      </c>
      <c r="Q1408" s="178">
        <v>42627</v>
      </c>
      <c r="R1408" s="66">
        <v>42628</v>
      </c>
      <c r="S1408" s="191">
        <f t="shared" si="173"/>
        <v>24</v>
      </c>
    </row>
    <row r="1409" spans="1:19" s="65" customFormat="1" hidden="1" x14ac:dyDescent="0.25">
      <c r="A1409" s="146">
        <v>562</v>
      </c>
      <c r="B1409" s="60">
        <v>42591</v>
      </c>
      <c r="C1409" s="18">
        <v>103</v>
      </c>
      <c r="D1409" s="18">
        <v>3000031709</v>
      </c>
      <c r="E1409" s="18" t="s">
        <v>60</v>
      </c>
      <c r="F1409" s="18">
        <v>441</v>
      </c>
      <c r="G1409" s="61">
        <v>42581</v>
      </c>
      <c r="H1409" s="61"/>
      <c r="I1409" s="61">
        <v>42586</v>
      </c>
      <c r="J1409" s="18" t="s">
        <v>61</v>
      </c>
      <c r="K1409" s="149">
        <v>16.079999999999998</v>
      </c>
      <c r="L1409" s="18">
        <v>16.04</v>
      </c>
      <c r="M1409" s="18">
        <f t="shared" si="175"/>
        <v>16.04</v>
      </c>
      <c r="N1409" s="62">
        <f t="shared" si="174"/>
        <v>42605</v>
      </c>
      <c r="O1409" s="18">
        <v>1276700</v>
      </c>
      <c r="P1409" s="157">
        <f t="shared" si="172"/>
        <v>1273524.1293532338</v>
      </c>
      <c r="Q1409" s="178">
        <v>42627</v>
      </c>
      <c r="R1409" s="66">
        <v>42628</v>
      </c>
      <c r="S1409" s="191">
        <f t="shared" si="173"/>
        <v>23</v>
      </c>
    </row>
    <row r="1410" spans="1:19" s="65" customFormat="1" hidden="1" x14ac:dyDescent="0.25">
      <c r="A1410" s="146">
        <v>563</v>
      </c>
      <c r="B1410" s="60">
        <v>42591</v>
      </c>
      <c r="C1410" s="18">
        <v>103</v>
      </c>
      <c r="D1410" s="18">
        <v>3000031837</v>
      </c>
      <c r="E1410" s="18" t="s">
        <v>60</v>
      </c>
      <c r="F1410" s="18">
        <v>451</v>
      </c>
      <c r="G1410" s="61">
        <v>42584</v>
      </c>
      <c r="H1410" s="61"/>
      <c r="I1410" s="61">
        <v>42588</v>
      </c>
      <c r="J1410" s="18" t="s">
        <v>61</v>
      </c>
      <c r="K1410" s="149">
        <v>20.25</v>
      </c>
      <c r="L1410" s="18">
        <v>20.2</v>
      </c>
      <c r="M1410" s="18">
        <f t="shared" si="175"/>
        <v>20.2</v>
      </c>
      <c r="N1410" s="62">
        <f t="shared" si="174"/>
        <v>42607</v>
      </c>
      <c r="O1410" s="18">
        <v>1534874</v>
      </c>
      <c r="P1410" s="157">
        <f t="shared" si="172"/>
        <v>1531084.1876543211</v>
      </c>
      <c r="Q1410" s="178">
        <v>42627</v>
      </c>
      <c r="R1410" s="66">
        <v>42628</v>
      </c>
      <c r="S1410" s="191">
        <f t="shared" si="173"/>
        <v>21</v>
      </c>
    </row>
    <row r="1411" spans="1:19" s="65" customFormat="1" hidden="1" x14ac:dyDescent="0.25">
      <c r="A1411" s="146">
        <v>565</v>
      </c>
      <c r="B1411" s="60">
        <v>42591</v>
      </c>
      <c r="C1411" s="18">
        <v>103</v>
      </c>
      <c r="D1411" s="18">
        <v>3000031709</v>
      </c>
      <c r="E1411" s="18" t="s">
        <v>60</v>
      </c>
      <c r="F1411" s="18">
        <v>453</v>
      </c>
      <c r="G1411" s="61">
        <v>42584</v>
      </c>
      <c r="H1411" s="61"/>
      <c r="I1411" s="61">
        <v>42587</v>
      </c>
      <c r="J1411" s="18" t="s">
        <v>61</v>
      </c>
      <c r="K1411" s="149">
        <v>16.11</v>
      </c>
      <c r="L1411" s="18">
        <v>16.100000000000001</v>
      </c>
      <c r="M1411" s="18">
        <f t="shared" si="175"/>
        <v>16.100000000000001</v>
      </c>
      <c r="N1411" s="62">
        <f t="shared" si="174"/>
        <v>42606</v>
      </c>
      <c r="O1411" s="18">
        <v>1279082</v>
      </c>
      <c r="P1411" s="157">
        <f t="shared" ref="P1411:P1424" si="176">(+O1411/K1411*M1411)</f>
        <v>1278288.0322780884</v>
      </c>
      <c r="Q1411" s="178">
        <v>42627</v>
      </c>
      <c r="R1411" s="66">
        <v>42628</v>
      </c>
      <c r="S1411" s="191">
        <f t="shared" si="173"/>
        <v>22</v>
      </c>
    </row>
    <row r="1412" spans="1:19" s="65" customFormat="1" hidden="1" x14ac:dyDescent="0.25">
      <c r="A1412" s="146">
        <v>464</v>
      </c>
      <c r="B1412" s="60">
        <v>42586</v>
      </c>
      <c r="C1412" s="18">
        <v>114</v>
      </c>
      <c r="D1412" s="18">
        <v>300003136</v>
      </c>
      <c r="E1412" s="18" t="s">
        <v>27</v>
      </c>
      <c r="F1412" s="18">
        <v>142</v>
      </c>
      <c r="G1412" s="61">
        <v>42580</v>
      </c>
      <c r="H1412" s="61"/>
      <c r="I1412" s="61">
        <v>42584</v>
      </c>
      <c r="J1412" s="18" t="s">
        <v>16</v>
      </c>
      <c r="K1412" s="149">
        <v>10</v>
      </c>
      <c r="L1412" s="18">
        <v>8.4</v>
      </c>
      <c r="M1412" s="18">
        <f t="shared" si="175"/>
        <v>8.4</v>
      </c>
      <c r="N1412" s="62">
        <f>+I1412+15-1</f>
        <v>42598</v>
      </c>
      <c r="O1412" s="18">
        <v>50000</v>
      </c>
      <c r="P1412" s="38">
        <f t="shared" si="176"/>
        <v>42000</v>
      </c>
      <c r="Q1412" s="178">
        <v>42627</v>
      </c>
      <c r="R1412" s="66">
        <v>42628</v>
      </c>
      <c r="S1412" s="191">
        <f t="shared" si="173"/>
        <v>30</v>
      </c>
    </row>
    <row r="1413" spans="1:19" s="65" customFormat="1" hidden="1" x14ac:dyDescent="0.25">
      <c r="A1413" s="146">
        <v>465</v>
      </c>
      <c r="B1413" s="60">
        <v>42586</v>
      </c>
      <c r="C1413" s="18">
        <v>114</v>
      </c>
      <c r="D1413" s="18">
        <v>3000031774</v>
      </c>
      <c r="E1413" s="18" t="s">
        <v>27</v>
      </c>
      <c r="F1413" s="18">
        <v>142</v>
      </c>
      <c r="G1413" s="61">
        <v>42580</v>
      </c>
      <c r="H1413" s="61"/>
      <c r="I1413" s="61">
        <v>42584</v>
      </c>
      <c r="J1413" s="18" t="s">
        <v>16</v>
      </c>
      <c r="K1413" s="149">
        <v>19.93</v>
      </c>
      <c r="L1413" s="18">
        <v>19.93</v>
      </c>
      <c r="M1413" s="18">
        <f t="shared" si="175"/>
        <v>19.93</v>
      </c>
      <c r="N1413" s="62">
        <f>+I1413+15-1</f>
        <v>42598</v>
      </c>
      <c r="O1413" s="18">
        <v>990521</v>
      </c>
      <c r="P1413" s="38">
        <f t="shared" si="176"/>
        <v>990521</v>
      </c>
      <c r="Q1413" s="178">
        <v>42627</v>
      </c>
      <c r="R1413" s="66">
        <v>42628</v>
      </c>
      <c r="S1413" s="191">
        <f t="shared" si="173"/>
        <v>30</v>
      </c>
    </row>
    <row r="1414" spans="1:19" s="65" customFormat="1" hidden="1" x14ac:dyDescent="0.25">
      <c r="A1414" s="146">
        <v>495</v>
      </c>
      <c r="B1414" s="60">
        <v>42587</v>
      </c>
      <c r="C1414" s="18">
        <v>103</v>
      </c>
      <c r="D1414" s="18">
        <v>3000032204</v>
      </c>
      <c r="E1414" s="18" t="s">
        <v>199</v>
      </c>
      <c r="F1414" s="18">
        <v>5736</v>
      </c>
      <c r="G1414" s="61">
        <v>42609</v>
      </c>
      <c r="H1414" s="61"/>
      <c r="I1414" s="61">
        <v>42580</v>
      </c>
      <c r="J1414" s="18" t="s">
        <v>61</v>
      </c>
      <c r="K1414" s="149">
        <v>20.204999999999998</v>
      </c>
      <c r="L1414" s="18">
        <v>20.09</v>
      </c>
      <c r="M1414" s="18">
        <f t="shared" si="175"/>
        <v>20.09</v>
      </c>
      <c r="N1414" s="62">
        <f>+I1414+20-1</f>
        <v>42599</v>
      </c>
      <c r="O1414" s="18">
        <v>1673328</v>
      </c>
      <c r="P1414" s="38">
        <f t="shared" si="176"/>
        <v>1663803.9851521903</v>
      </c>
      <c r="Q1414" s="178">
        <v>42627</v>
      </c>
      <c r="R1414" s="66">
        <v>42628</v>
      </c>
      <c r="S1414" s="191">
        <f t="shared" si="173"/>
        <v>29</v>
      </c>
    </row>
    <row r="1415" spans="1:19" s="65" customFormat="1" hidden="1" x14ac:dyDescent="0.25">
      <c r="A1415" s="146">
        <v>632</v>
      </c>
      <c r="B1415" s="60">
        <v>42607</v>
      </c>
      <c r="C1415" s="18">
        <v>103</v>
      </c>
      <c r="D1415" s="18">
        <v>3000032312</v>
      </c>
      <c r="E1415" s="18" t="s">
        <v>199</v>
      </c>
      <c r="F1415" s="18">
        <v>5757</v>
      </c>
      <c r="G1415" s="61">
        <v>42600</v>
      </c>
      <c r="H1415" s="61"/>
      <c r="I1415" s="61">
        <v>42604</v>
      </c>
      <c r="J1415" s="18" t="s">
        <v>61</v>
      </c>
      <c r="K1415" s="149">
        <v>19.635000000000002</v>
      </c>
      <c r="L1415" s="18">
        <v>19.48</v>
      </c>
      <c r="M1415" s="18">
        <f t="shared" si="175"/>
        <v>19.48</v>
      </c>
      <c r="N1415" s="62">
        <f>+I1415+20-1</f>
        <v>42623</v>
      </c>
      <c r="O1415" s="18">
        <v>1605407</v>
      </c>
      <c r="P1415" s="38">
        <f t="shared" si="176"/>
        <v>1592733.8100331041</v>
      </c>
      <c r="Q1415" s="178">
        <v>42627</v>
      </c>
      <c r="R1415" s="66">
        <v>42628</v>
      </c>
      <c r="S1415" s="191">
        <f t="shared" si="173"/>
        <v>5</v>
      </c>
    </row>
    <row r="1416" spans="1:19" s="65" customFormat="1" hidden="1" x14ac:dyDescent="0.25">
      <c r="A1416" s="146">
        <v>559</v>
      </c>
      <c r="B1416" s="60">
        <v>42591</v>
      </c>
      <c r="C1416" s="18">
        <v>114</v>
      </c>
      <c r="D1416" s="18">
        <v>3000031339</v>
      </c>
      <c r="E1416" s="18" t="s">
        <v>44</v>
      </c>
      <c r="F1416" s="154">
        <v>36</v>
      </c>
      <c r="G1416" s="61">
        <v>42579</v>
      </c>
      <c r="H1416" s="61"/>
      <c r="I1416" s="61">
        <v>42586</v>
      </c>
      <c r="J1416" s="18" t="s">
        <v>8</v>
      </c>
      <c r="K1416" s="149">
        <v>14.65</v>
      </c>
      <c r="L1416" s="18">
        <v>14.58</v>
      </c>
      <c r="M1416" s="18">
        <f t="shared" si="175"/>
        <v>14.58</v>
      </c>
      <c r="N1416" s="62">
        <f>+I1416+15-1</f>
        <v>42600</v>
      </c>
      <c r="O1416" s="18">
        <v>783775</v>
      </c>
      <c r="P1416" s="38">
        <f t="shared" si="176"/>
        <v>780030</v>
      </c>
      <c r="Q1416" s="178">
        <v>42627</v>
      </c>
      <c r="R1416" s="66">
        <v>42628</v>
      </c>
      <c r="S1416" s="191">
        <f t="shared" si="173"/>
        <v>28</v>
      </c>
    </row>
    <row r="1417" spans="1:19" s="65" customFormat="1" hidden="1" x14ac:dyDescent="0.25">
      <c r="A1417" s="146">
        <v>560</v>
      </c>
      <c r="B1417" s="60">
        <v>42591</v>
      </c>
      <c r="C1417" s="18">
        <v>114</v>
      </c>
      <c r="D1417" s="18">
        <v>3000032978</v>
      </c>
      <c r="E1417" s="18" t="s">
        <v>44</v>
      </c>
      <c r="F1417" s="154">
        <v>36</v>
      </c>
      <c r="G1417" s="61">
        <v>42579</v>
      </c>
      <c r="H1417" s="61"/>
      <c r="I1417" s="61">
        <v>42586</v>
      </c>
      <c r="J1417" s="18" t="s">
        <v>8</v>
      </c>
      <c r="K1417" s="149">
        <v>6</v>
      </c>
      <c r="L1417" s="18">
        <v>6</v>
      </c>
      <c r="M1417" s="18">
        <f t="shared" si="175"/>
        <v>6</v>
      </c>
      <c r="N1417" s="62">
        <f>+I1417+15-1</f>
        <v>42600</v>
      </c>
      <c r="O1417" s="18">
        <v>300000</v>
      </c>
      <c r="P1417" s="38">
        <f t="shared" si="176"/>
        <v>300000</v>
      </c>
      <c r="Q1417" s="178">
        <v>42627</v>
      </c>
      <c r="R1417" s="66">
        <v>42628</v>
      </c>
      <c r="S1417" s="191">
        <f t="shared" si="173"/>
        <v>28</v>
      </c>
    </row>
    <row r="1418" spans="1:19" s="65" customFormat="1" hidden="1" x14ac:dyDescent="0.25">
      <c r="A1418" s="146">
        <v>561</v>
      </c>
      <c r="B1418" s="60">
        <v>42591</v>
      </c>
      <c r="C1418" s="18">
        <v>114</v>
      </c>
      <c r="D1418" s="18">
        <v>3000032988</v>
      </c>
      <c r="E1418" s="18" t="s">
        <v>44</v>
      </c>
      <c r="F1418" s="154">
        <v>36</v>
      </c>
      <c r="G1418" s="61">
        <v>42579</v>
      </c>
      <c r="H1418" s="61"/>
      <c r="I1418" s="61">
        <v>42586</v>
      </c>
      <c r="J1418" s="18" t="s">
        <v>8</v>
      </c>
      <c r="K1418" s="149">
        <v>9.33</v>
      </c>
      <c r="L1418" s="18">
        <v>9.33</v>
      </c>
      <c r="M1418" s="18">
        <f t="shared" si="175"/>
        <v>9.33</v>
      </c>
      <c r="N1418" s="62">
        <f>+I1418+15-1</f>
        <v>42600</v>
      </c>
      <c r="O1418" s="18">
        <v>473031</v>
      </c>
      <c r="P1418" s="38">
        <f t="shared" si="176"/>
        <v>473031</v>
      </c>
      <c r="Q1418" s="178">
        <v>42627</v>
      </c>
      <c r="R1418" s="66">
        <v>42628</v>
      </c>
      <c r="S1418" s="191">
        <f t="shared" si="173"/>
        <v>28</v>
      </c>
    </row>
    <row r="1419" spans="1:19" s="65" customFormat="1" hidden="1" x14ac:dyDescent="0.25">
      <c r="A1419" s="146">
        <v>558</v>
      </c>
      <c r="B1419" s="60">
        <v>42591</v>
      </c>
      <c r="C1419" s="18">
        <v>114</v>
      </c>
      <c r="D1419" s="18">
        <v>3000032524</v>
      </c>
      <c r="E1419" s="18" t="s">
        <v>30</v>
      </c>
      <c r="F1419" s="18">
        <v>181</v>
      </c>
      <c r="G1419" s="61">
        <v>42583</v>
      </c>
      <c r="H1419" s="61"/>
      <c r="I1419" s="61">
        <v>42585</v>
      </c>
      <c r="J1419" s="18" t="s">
        <v>229</v>
      </c>
      <c r="K1419" s="149">
        <v>27.72</v>
      </c>
      <c r="L1419" s="18">
        <v>27.65</v>
      </c>
      <c r="M1419" s="18">
        <f t="shared" si="175"/>
        <v>27.65</v>
      </c>
      <c r="N1419" s="62">
        <f>+I1419+15-1</f>
        <v>42599</v>
      </c>
      <c r="O1419" s="18">
        <v>1510741</v>
      </c>
      <c r="P1419" s="38">
        <f t="shared" si="176"/>
        <v>1506925.9974747475</v>
      </c>
      <c r="Q1419" s="178">
        <v>42627</v>
      </c>
      <c r="R1419" s="66">
        <v>42628</v>
      </c>
      <c r="S1419" s="191">
        <f t="shared" si="173"/>
        <v>29</v>
      </c>
    </row>
    <row r="1420" spans="1:19" s="65" customFormat="1" hidden="1" x14ac:dyDescent="0.25">
      <c r="A1420" s="146">
        <v>521</v>
      </c>
      <c r="B1420" s="60">
        <v>42587</v>
      </c>
      <c r="C1420" s="18">
        <v>103</v>
      </c>
      <c r="D1420" s="18">
        <v>3000031818</v>
      </c>
      <c r="E1420" s="18" t="s">
        <v>183</v>
      </c>
      <c r="F1420" s="18">
        <v>26</v>
      </c>
      <c r="G1420" s="61">
        <v>42576</v>
      </c>
      <c r="H1420" s="61"/>
      <c r="I1420" s="61">
        <v>42580</v>
      </c>
      <c r="J1420" s="18" t="s">
        <v>61</v>
      </c>
      <c r="K1420" s="149">
        <v>19.72</v>
      </c>
      <c r="L1420" s="18">
        <v>19.72</v>
      </c>
      <c r="M1420" s="18">
        <f t="shared" si="175"/>
        <v>19.72</v>
      </c>
      <c r="N1420" s="62">
        <f t="shared" ref="N1420:N1429" si="177">+I1420+20-1</f>
        <v>42599</v>
      </c>
      <c r="O1420" s="18">
        <v>1591404</v>
      </c>
      <c r="P1420" s="38">
        <f t="shared" si="176"/>
        <v>1591404</v>
      </c>
      <c r="Q1420" s="178">
        <v>42627</v>
      </c>
      <c r="R1420" s="66">
        <v>42628</v>
      </c>
      <c r="S1420" s="191">
        <f t="shared" si="173"/>
        <v>29</v>
      </c>
    </row>
    <row r="1421" spans="1:19" s="65" customFormat="1" hidden="1" x14ac:dyDescent="0.25">
      <c r="A1421" s="146">
        <v>570</v>
      </c>
      <c r="B1421" s="60">
        <v>42591</v>
      </c>
      <c r="C1421" s="18">
        <v>103</v>
      </c>
      <c r="D1421" s="18">
        <v>3000031310</v>
      </c>
      <c r="E1421" s="18" t="s">
        <v>145</v>
      </c>
      <c r="F1421" s="18">
        <v>47</v>
      </c>
      <c r="G1421" s="61">
        <v>42544</v>
      </c>
      <c r="H1421" s="61"/>
      <c r="I1421" s="61">
        <v>42585</v>
      </c>
      <c r="J1421" s="18" t="s">
        <v>61</v>
      </c>
      <c r="K1421" s="149">
        <v>19.690000000000001</v>
      </c>
      <c r="L1421" s="18">
        <v>19.649999999999999</v>
      </c>
      <c r="M1421" s="18">
        <f t="shared" si="175"/>
        <v>19.649999999999999</v>
      </c>
      <c r="N1421" s="62">
        <f t="shared" si="177"/>
        <v>42604</v>
      </c>
      <c r="O1421" s="18">
        <v>1565533</v>
      </c>
      <c r="P1421" s="38">
        <f t="shared" si="176"/>
        <v>1562352.6383951243</v>
      </c>
      <c r="Q1421" s="178">
        <v>42627</v>
      </c>
      <c r="R1421" s="66">
        <v>42628</v>
      </c>
      <c r="S1421" s="191">
        <f t="shared" si="173"/>
        <v>24</v>
      </c>
    </row>
    <row r="1422" spans="1:19" s="65" customFormat="1" hidden="1" x14ac:dyDescent="0.25">
      <c r="A1422" s="146">
        <v>525</v>
      </c>
      <c r="B1422" s="60">
        <v>42587</v>
      </c>
      <c r="C1422" s="18">
        <v>103</v>
      </c>
      <c r="D1422" s="18">
        <v>3000033126</v>
      </c>
      <c r="E1422" s="18" t="s">
        <v>145</v>
      </c>
      <c r="F1422" s="18">
        <v>48</v>
      </c>
      <c r="G1422" s="61">
        <v>42574</v>
      </c>
      <c r="H1422" s="61"/>
      <c r="I1422" s="61">
        <v>42584</v>
      </c>
      <c r="J1422" s="18" t="s">
        <v>61</v>
      </c>
      <c r="K1422" s="149">
        <v>20.100000000000001</v>
      </c>
      <c r="L1422" s="18">
        <v>20.05</v>
      </c>
      <c r="M1422" s="18">
        <f t="shared" si="175"/>
        <v>20.05</v>
      </c>
      <c r="N1422" s="62">
        <f t="shared" si="177"/>
        <v>42603</v>
      </c>
      <c r="O1422" s="18">
        <v>1628064</v>
      </c>
      <c r="P1422" s="38">
        <f t="shared" si="176"/>
        <v>1624014.0895522388</v>
      </c>
      <c r="Q1422" s="178">
        <v>42627</v>
      </c>
      <c r="R1422" s="66">
        <v>42628</v>
      </c>
      <c r="S1422" s="191">
        <f t="shared" si="173"/>
        <v>25</v>
      </c>
    </row>
    <row r="1423" spans="1:19" s="65" customFormat="1" hidden="1" x14ac:dyDescent="0.25">
      <c r="A1423" s="146">
        <v>631</v>
      </c>
      <c r="B1423" s="60">
        <v>42607</v>
      </c>
      <c r="C1423" s="18">
        <v>103</v>
      </c>
      <c r="D1423" s="18">
        <v>3000032993</v>
      </c>
      <c r="E1423" s="18" t="s">
        <v>260</v>
      </c>
      <c r="F1423" s="18">
        <v>44</v>
      </c>
      <c r="G1423" s="61">
        <v>42601</v>
      </c>
      <c r="H1423" s="61"/>
      <c r="I1423" s="61">
        <v>42603</v>
      </c>
      <c r="J1423" s="18" t="s">
        <v>61</v>
      </c>
      <c r="K1423" s="149">
        <v>19.96</v>
      </c>
      <c r="L1423" s="18">
        <v>19.940000000000001</v>
      </c>
      <c r="M1423" s="18">
        <f t="shared" si="175"/>
        <v>19.940000000000001</v>
      </c>
      <c r="N1423" s="62">
        <f t="shared" si="177"/>
        <v>42622</v>
      </c>
      <c r="O1423" s="18">
        <v>1600393</v>
      </c>
      <c r="P1423" s="38">
        <f t="shared" si="176"/>
        <v>1598789.3997995993</v>
      </c>
      <c r="Q1423" s="178">
        <v>42627</v>
      </c>
      <c r="R1423" s="66">
        <v>42628</v>
      </c>
      <c r="S1423" s="191">
        <f t="shared" si="173"/>
        <v>6</v>
      </c>
    </row>
    <row r="1424" spans="1:19" s="65" customFormat="1" hidden="1" x14ac:dyDescent="0.25">
      <c r="A1424" s="146">
        <v>519</v>
      </c>
      <c r="B1424" s="60">
        <v>42587</v>
      </c>
      <c r="C1424" s="18">
        <v>103</v>
      </c>
      <c r="D1424" s="18">
        <v>3000032995</v>
      </c>
      <c r="E1424" s="18" t="s">
        <v>260</v>
      </c>
      <c r="F1424" s="18">
        <v>34</v>
      </c>
      <c r="G1424" s="61">
        <v>42583</v>
      </c>
      <c r="H1424" s="61"/>
      <c r="I1424" s="61">
        <v>42585</v>
      </c>
      <c r="J1424" s="18" t="s">
        <v>61</v>
      </c>
      <c r="K1424" s="149">
        <v>19.690000000000001</v>
      </c>
      <c r="L1424" s="18">
        <v>19.61</v>
      </c>
      <c r="M1424" s="18">
        <f t="shared" si="175"/>
        <v>19.61</v>
      </c>
      <c r="N1424" s="62">
        <f t="shared" si="177"/>
        <v>42604</v>
      </c>
      <c r="O1424" s="18">
        <v>1630677</v>
      </c>
      <c r="P1424" s="38">
        <f t="shared" si="176"/>
        <v>1624051.5982732351</v>
      </c>
      <c r="Q1424" s="178">
        <v>42627</v>
      </c>
      <c r="R1424" s="66">
        <v>42628</v>
      </c>
      <c r="S1424" s="191">
        <f t="shared" si="173"/>
        <v>24</v>
      </c>
    </row>
    <row r="1425" spans="1:22" s="65" customFormat="1" hidden="1" x14ac:dyDescent="0.25">
      <c r="A1425" s="146">
        <v>635</v>
      </c>
      <c r="B1425" s="60">
        <v>42607</v>
      </c>
      <c r="C1425" s="18">
        <v>103</v>
      </c>
      <c r="D1425" s="18">
        <v>3000031933</v>
      </c>
      <c r="E1425" s="18" t="s">
        <v>198</v>
      </c>
      <c r="F1425" s="154" t="s">
        <v>286</v>
      </c>
      <c r="G1425" s="61">
        <v>42604</v>
      </c>
      <c r="H1425" s="61"/>
      <c r="I1425" s="61">
        <v>42595</v>
      </c>
      <c r="J1425" s="18" t="s">
        <v>61</v>
      </c>
      <c r="K1425" s="149"/>
      <c r="L1425" s="18"/>
      <c r="M1425" s="18">
        <f t="shared" si="175"/>
        <v>0</v>
      </c>
      <c r="N1425" s="62">
        <f t="shared" si="177"/>
        <v>42614</v>
      </c>
      <c r="O1425" s="18">
        <v>29610</v>
      </c>
      <c r="P1425" s="38"/>
      <c r="Q1425" s="178">
        <v>42627</v>
      </c>
      <c r="R1425" s="66">
        <v>42628</v>
      </c>
      <c r="S1425" s="191">
        <f t="shared" si="173"/>
        <v>14</v>
      </c>
    </row>
    <row r="1426" spans="1:22" s="65" customFormat="1" hidden="1" x14ac:dyDescent="0.25">
      <c r="A1426" s="146">
        <v>636</v>
      </c>
      <c r="B1426" s="60">
        <v>42607</v>
      </c>
      <c r="C1426" s="18">
        <v>103</v>
      </c>
      <c r="D1426" s="18">
        <v>3000031933</v>
      </c>
      <c r="E1426" s="18" t="s">
        <v>198</v>
      </c>
      <c r="F1426" s="154">
        <v>508</v>
      </c>
      <c r="G1426" s="61">
        <v>42587</v>
      </c>
      <c r="H1426" s="61"/>
      <c r="I1426" s="61">
        <v>42595</v>
      </c>
      <c r="J1426" s="18" t="s">
        <v>61</v>
      </c>
      <c r="K1426" s="149">
        <v>19.739999999999998</v>
      </c>
      <c r="L1426" s="18">
        <v>19.739999999999998</v>
      </c>
      <c r="M1426" s="18">
        <f t="shared" si="175"/>
        <v>19.739999999999998</v>
      </c>
      <c r="N1426" s="62">
        <f t="shared" si="177"/>
        <v>42614</v>
      </c>
      <c r="O1426" s="18">
        <v>1608810</v>
      </c>
      <c r="P1426" s="38">
        <f>(+O1426/K1426*M1426)-29610</f>
        <v>1579199.9999999998</v>
      </c>
      <c r="Q1426" s="178">
        <v>42627</v>
      </c>
      <c r="R1426" s="66">
        <v>42628</v>
      </c>
      <c r="S1426" s="191">
        <f t="shared" si="173"/>
        <v>14</v>
      </c>
    </row>
    <row r="1427" spans="1:22" s="65" customFormat="1" hidden="1" x14ac:dyDescent="0.25">
      <c r="A1427" s="146">
        <v>637</v>
      </c>
      <c r="B1427" s="60">
        <v>1138334</v>
      </c>
      <c r="C1427" s="18">
        <v>103</v>
      </c>
      <c r="D1427" s="18">
        <v>3000032868</v>
      </c>
      <c r="E1427" s="18" t="s">
        <v>198</v>
      </c>
      <c r="F1427" s="154" t="s">
        <v>287</v>
      </c>
      <c r="G1427" s="61">
        <v>42604</v>
      </c>
      <c r="H1427" s="61"/>
      <c r="I1427" s="61">
        <v>42595</v>
      </c>
      <c r="J1427" s="18" t="s">
        <v>61</v>
      </c>
      <c r="K1427" s="149"/>
      <c r="L1427" s="18"/>
      <c r="M1427" s="18">
        <f t="shared" si="175"/>
        <v>0</v>
      </c>
      <c r="N1427" s="62">
        <f t="shared" si="177"/>
        <v>42614</v>
      </c>
      <c r="O1427" s="18">
        <v>29535</v>
      </c>
      <c r="P1427" s="38"/>
      <c r="Q1427" s="178">
        <v>42627</v>
      </c>
      <c r="R1427" s="66">
        <v>42628</v>
      </c>
      <c r="S1427" s="191">
        <f t="shared" si="173"/>
        <v>14</v>
      </c>
    </row>
    <row r="1428" spans="1:22" s="65" customFormat="1" hidden="1" x14ac:dyDescent="0.25">
      <c r="A1428" s="146">
        <v>638</v>
      </c>
      <c r="B1428" s="60">
        <v>42607</v>
      </c>
      <c r="C1428" s="18">
        <v>103</v>
      </c>
      <c r="D1428" s="18">
        <v>3000032868</v>
      </c>
      <c r="E1428" s="18" t="s">
        <v>198</v>
      </c>
      <c r="F1428" s="154">
        <v>516</v>
      </c>
      <c r="G1428" s="61">
        <v>42589</v>
      </c>
      <c r="H1428" s="61"/>
      <c r="I1428" s="61">
        <v>42595</v>
      </c>
      <c r="J1428" s="18" t="s">
        <v>61</v>
      </c>
      <c r="K1428" s="149">
        <v>19.7</v>
      </c>
      <c r="L1428" s="18">
        <v>19.690000000000001</v>
      </c>
      <c r="M1428" s="18">
        <f t="shared" si="175"/>
        <v>19.690000000000001</v>
      </c>
      <c r="N1428" s="62">
        <f t="shared" si="177"/>
        <v>42614</v>
      </c>
      <c r="O1428" s="18">
        <v>1546450</v>
      </c>
      <c r="P1428" s="38">
        <f>(+O1428/K1428*M1428)-29535</f>
        <v>1516130</v>
      </c>
      <c r="Q1428" s="178">
        <v>42627</v>
      </c>
      <c r="R1428" s="66">
        <v>42628</v>
      </c>
      <c r="S1428" s="191">
        <f t="shared" si="173"/>
        <v>14</v>
      </c>
    </row>
    <row r="1429" spans="1:22" s="65" customFormat="1" x14ac:dyDescent="0.25">
      <c r="A1429" s="146">
        <v>622</v>
      </c>
      <c r="B1429" s="60">
        <v>42605</v>
      </c>
      <c r="C1429" s="18">
        <v>103</v>
      </c>
      <c r="D1429" s="18">
        <v>3000031884</v>
      </c>
      <c r="E1429" s="18" t="s">
        <v>144</v>
      </c>
      <c r="F1429" s="18">
        <v>774</v>
      </c>
      <c r="G1429" s="61">
        <v>42594</v>
      </c>
      <c r="H1429" s="61"/>
      <c r="I1429" s="61">
        <v>42599</v>
      </c>
      <c r="J1429" s="18" t="s">
        <v>61</v>
      </c>
      <c r="K1429" s="149">
        <v>20.07</v>
      </c>
      <c r="L1429" s="18">
        <v>19.95</v>
      </c>
      <c r="M1429" s="18">
        <f t="shared" si="175"/>
        <v>19.95</v>
      </c>
      <c r="N1429" s="62">
        <f t="shared" si="177"/>
        <v>42618</v>
      </c>
      <c r="O1429" s="18">
        <v>1545386</v>
      </c>
      <c r="P1429" s="38">
        <f t="shared" ref="P1429:P1447" si="178">(+O1429/K1429*M1429)</f>
        <v>1536146.0239162929</v>
      </c>
      <c r="Q1429" s="178">
        <v>42627</v>
      </c>
      <c r="R1429" s="66">
        <v>42628</v>
      </c>
      <c r="S1429" s="191">
        <f t="shared" si="173"/>
        <v>10</v>
      </c>
      <c r="T1429" s="158" t="s">
        <v>305</v>
      </c>
      <c r="U1429" s="158"/>
      <c r="V1429" s="158"/>
    </row>
    <row r="1430" spans="1:22" s="15" customFormat="1" hidden="1" x14ac:dyDescent="0.25">
      <c r="A1430" s="102">
        <v>652</v>
      </c>
      <c r="B1430" s="103">
        <v>42619</v>
      </c>
      <c r="C1430" s="8">
        <v>116</v>
      </c>
      <c r="D1430" s="8">
        <v>3000033167</v>
      </c>
      <c r="E1430" s="8" t="s">
        <v>282</v>
      </c>
      <c r="F1430" s="8">
        <v>62861488</v>
      </c>
      <c r="G1430" s="104">
        <v>42612</v>
      </c>
      <c r="H1430" s="104"/>
      <c r="I1430" s="104">
        <v>42612</v>
      </c>
      <c r="J1430" s="8" t="s">
        <v>16</v>
      </c>
      <c r="K1430" s="106">
        <v>18.88</v>
      </c>
      <c r="L1430" s="8">
        <v>18.88</v>
      </c>
      <c r="M1430" s="8">
        <f t="shared" si="175"/>
        <v>18.88</v>
      </c>
      <c r="N1430" s="11">
        <f>+I1430+4-1</f>
        <v>42615</v>
      </c>
      <c r="O1430" s="8">
        <v>914382</v>
      </c>
      <c r="P1430" s="57">
        <f t="shared" si="178"/>
        <v>914382</v>
      </c>
      <c r="Q1430" s="180">
        <v>42620</v>
      </c>
      <c r="R1430" s="23">
        <v>42622</v>
      </c>
      <c r="S1430" s="192">
        <f t="shared" si="173"/>
        <v>7</v>
      </c>
    </row>
    <row r="1431" spans="1:22" s="15" customFormat="1" hidden="1" x14ac:dyDescent="0.25">
      <c r="A1431" s="159">
        <v>654</v>
      </c>
      <c r="B1431" s="160">
        <v>42620</v>
      </c>
      <c r="C1431" s="161">
        <v>116</v>
      </c>
      <c r="D1431" s="161">
        <v>3000033167</v>
      </c>
      <c r="E1431" s="161" t="s">
        <v>282</v>
      </c>
      <c r="F1431" s="161">
        <v>62861538</v>
      </c>
      <c r="G1431" s="162">
        <v>42613</v>
      </c>
      <c r="H1431" s="162"/>
      <c r="I1431" s="162">
        <v>42613</v>
      </c>
      <c r="J1431" s="161" t="s">
        <v>16</v>
      </c>
      <c r="K1431" s="163">
        <v>13.83</v>
      </c>
      <c r="L1431" s="161">
        <v>13.83</v>
      </c>
      <c r="M1431" s="161">
        <f t="shared" si="175"/>
        <v>13.83</v>
      </c>
      <c r="N1431" s="164">
        <f>+I1431+4-1</f>
        <v>42616</v>
      </c>
      <c r="O1431" s="161">
        <v>669804</v>
      </c>
      <c r="P1431" s="165">
        <f t="shared" si="178"/>
        <v>669804</v>
      </c>
      <c r="Q1431" s="180">
        <v>42620</v>
      </c>
      <c r="R1431" s="23">
        <v>42634</v>
      </c>
      <c r="S1431" s="192">
        <f t="shared" si="173"/>
        <v>18</v>
      </c>
    </row>
    <row r="1432" spans="1:22" s="8" customFormat="1" hidden="1" x14ac:dyDescent="0.25">
      <c r="A1432" s="8">
        <v>711</v>
      </c>
      <c r="B1432" s="103">
        <v>42626</v>
      </c>
      <c r="C1432" s="8">
        <v>116</v>
      </c>
      <c r="D1432" s="8">
        <v>3000033167</v>
      </c>
      <c r="E1432" s="8" t="s">
        <v>282</v>
      </c>
      <c r="F1432" s="8">
        <v>62861613</v>
      </c>
      <c r="G1432" s="104">
        <v>42616</v>
      </c>
      <c r="H1432" s="104"/>
      <c r="I1432" s="104">
        <v>42616</v>
      </c>
      <c r="J1432" s="8" t="s">
        <v>16</v>
      </c>
      <c r="K1432" s="8">
        <v>18.75</v>
      </c>
      <c r="L1432" s="8">
        <v>18.75</v>
      </c>
      <c r="M1432" s="8">
        <f t="shared" si="175"/>
        <v>18.75</v>
      </c>
      <c r="N1432" s="11">
        <f>+I1432+4-1</f>
        <v>42619</v>
      </c>
      <c r="O1432" s="8">
        <v>908086</v>
      </c>
      <c r="P1432" s="57">
        <f t="shared" si="178"/>
        <v>908086</v>
      </c>
      <c r="Q1432" s="174"/>
      <c r="R1432" s="23">
        <v>42628</v>
      </c>
      <c r="S1432" s="192">
        <f t="shared" si="173"/>
        <v>9</v>
      </c>
    </row>
    <row r="1433" spans="1:22" s="15" customFormat="1" hidden="1" x14ac:dyDescent="0.25">
      <c r="A1433" s="102">
        <v>685</v>
      </c>
      <c r="B1433" s="103">
        <v>42621</v>
      </c>
      <c r="C1433" s="8">
        <v>116</v>
      </c>
      <c r="D1433" s="8">
        <v>3000033167</v>
      </c>
      <c r="E1433" s="8" t="s">
        <v>282</v>
      </c>
      <c r="F1433" s="8">
        <v>62861618</v>
      </c>
      <c r="G1433" s="104">
        <v>42616</v>
      </c>
      <c r="H1433" s="104"/>
      <c r="I1433" s="104">
        <v>42616</v>
      </c>
      <c r="J1433" s="8" t="s">
        <v>16</v>
      </c>
      <c r="K1433" s="106">
        <v>18.760000000000002</v>
      </c>
      <c r="L1433" s="8">
        <v>18.760000000000002</v>
      </c>
      <c r="M1433" s="8">
        <f t="shared" si="175"/>
        <v>18.760000000000002</v>
      </c>
      <c r="N1433" s="11">
        <f>+I1433+4-1</f>
        <v>42619</v>
      </c>
      <c r="O1433" s="8">
        <v>908570</v>
      </c>
      <c r="P1433" s="57">
        <f t="shared" si="178"/>
        <v>908570.00000000012</v>
      </c>
      <c r="R1433" s="23">
        <v>42634</v>
      </c>
      <c r="S1433" s="192">
        <f t="shared" si="173"/>
        <v>15</v>
      </c>
    </row>
    <row r="1434" spans="1:22" s="3" customFormat="1" hidden="1" x14ac:dyDescent="0.25">
      <c r="A1434" s="30">
        <v>609</v>
      </c>
      <c r="B1434" s="24">
        <v>42604</v>
      </c>
      <c r="C1434" s="1">
        <v>114</v>
      </c>
      <c r="D1434" s="1">
        <v>3000032524</v>
      </c>
      <c r="E1434" s="1" t="s">
        <v>30</v>
      </c>
      <c r="F1434" s="1">
        <v>197</v>
      </c>
      <c r="G1434" s="25">
        <v>42589</v>
      </c>
      <c r="H1434" s="25"/>
      <c r="I1434" s="25">
        <v>42592</v>
      </c>
      <c r="J1434" s="1" t="s">
        <v>229</v>
      </c>
      <c r="K1434" s="77">
        <v>25.18</v>
      </c>
      <c r="L1434" s="1">
        <v>25.04</v>
      </c>
      <c r="M1434" s="1">
        <f t="shared" si="175"/>
        <v>25.04</v>
      </c>
      <c r="N1434" s="7">
        <f t="shared" ref="N1434:N1462" si="179">+I1434+15-1</f>
        <v>42606</v>
      </c>
      <c r="O1434" s="1">
        <v>1372311</v>
      </c>
      <c r="P1434" s="26">
        <f t="shared" si="178"/>
        <v>1364680.9944400317</v>
      </c>
      <c r="Q1434" s="178">
        <v>42636</v>
      </c>
      <c r="R1434" s="66">
        <v>42636</v>
      </c>
      <c r="S1434" s="191">
        <f t="shared" si="173"/>
        <v>30</v>
      </c>
    </row>
    <row r="1435" spans="1:22" s="3" customFormat="1" hidden="1" x14ac:dyDescent="0.25">
      <c r="A1435" s="30">
        <v>610</v>
      </c>
      <c r="B1435" s="24">
        <v>42604</v>
      </c>
      <c r="C1435" s="1">
        <v>114</v>
      </c>
      <c r="D1435" s="1">
        <v>3000032524</v>
      </c>
      <c r="E1435" s="1" t="s">
        <v>30</v>
      </c>
      <c r="F1435" s="1">
        <v>204</v>
      </c>
      <c r="G1435" s="25">
        <v>42592</v>
      </c>
      <c r="H1435" s="25"/>
      <c r="I1435" s="25">
        <v>42594</v>
      </c>
      <c r="J1435" s="1" t="s">
        <v>229</v>
      </c>
      <c r="K1435" s="77">
        <v>27.85</v>
      </c>
      <c r="L1435" s="1">
        <v>27.71</v>
      </c>
      <c r="M1435" s="1">
        <f t="shared" si="175"/>
        <v>27.71</v>
      </c>
      <c r="N1435" s="7">
        <f t="shared" si="179"/>
        <v>42608</v>
      </c>
      <c r="O1435" s="1">
        <v>1517826</v>
      </c>
      <c r="P1435" s="26">
        <f t="shared" si="178"/>
        <v>1510195.99497307</v>
      </c>
      <c r="Q1435" s="170">
        <v>42636</v>
      </c>
      <c r="R1435" s="66">
        <v>42636</v>
      </c>
      <c r="S1435" s="113">
        <f t="shared" si="173"/>
        <v>28</v>
      </c>
      <c r="T1435" s="15" t="s">
        <v>319</v>
      </c>
      <c r="U1435" s="15"/>
      <c r="V1435" s="15"/>
    </row>
    <row r="1436" spans="1:22" s="3" customFormat="1" hidden="1" x14ac:dyDescent="0.25">
      <c r="A1436" s="30">
        <v>359</v>
      </c>
      <c r="B1436" s="24">
        <v>42577</v>
      </c>
      <c r="C1436" s="1">
        <v>114</v>
      </c>
      <c r="D1436" s="1">
        <v>3000031365</v>
      </c>
      <c r="E1436" s="1" t="s">
        <v>15</v>
      </c>
      <c r="F1436" s="16">
        <v>3113</v>
      </c>
      <c r="G1436" s="25">
        <v>42567</v>
      </c>
      <c r="H1436" s="25"/>
      <c r="I1436" s="25">
        <v>42573</v>
      </c>
      <c r="J1436" s="1" t="s">
        <v>8</v>
      </c>
      <c r="K1436" s="77">
        <v>21.89</v>
      </c>
      <c r="L1436" s="1">
        <v>21.89</v>
      </c>
      <c r="M1436" s="1">
        <f t="shared" si="175"/>
        <v>21.89</v>
      </c>
      <c r="N1436" s="7">
        <f t="shared" si="179"/>
        <v>42587</v>
      </c>
      <c r="O1436" s="1">
        <v>1166737</v>
      </c>
      <c r="P1436" s="36">
        <f t="shared" si="178"/>
        <v>1166737</v>
      </c>
      <c r="Q1436" s="170">
        <v>42642</v>
      </c>
      <c r="R1436" s="66">
        <v>42643</v>
      </c>
      <c r="S1436" s="113">
        <f t="shared" si="173"/>
        <v>56</v>
      </c>
    </row>
    <row r="1437" spans="1:22" s="3" customFormat="1" hidden="1" x14ac:dyDescent="0.25">
      <c r="A1437" s="30">
        <v>360</v>
      </c>
      <c r="B1437" s="24">
        <v>42577</v>
      </c>
      <c r="C1437" s="1">
        <v>114</v>
      </c>
      <c r="D1437" s="1">
        <v>3000031343</v>
      </c>
      <c r="E1437" s="1" t="s">
        <v>15</v>
      </c>
      <c r="F1437" s="16">
        <v>3113</v>
      </c>
      <c r="G1437" s="25">
        <v>42567</v>
      </c>
      <c r="H1437" s="25"/>
      <c r="I1437" s="25">
        <v>42573</v>
      </c>
      <c r="J1437" s="1" t="s">
        <v>8</v>
      </c>
      <c r="K1437" s="77">
        <v>2</v>
      </c>
      <c r="L1437" s="1">
        <v>1.83</v>
      </c>
      <c r="M1437" s="1">
        <f t="shared" si="175"/>
        <v>1.83</v>
      </c>
      <c r="N1437" s="7">
        <f t="shared" si="179"/>
        <v>42587</v>
      </c>
      <c r="O1437" s="1">
        <v>107000</v>
      </c>
      <c r="P1437" s="36">
        <f t="shared" si="178"/>
        <v>97905</v>
      </c>
      <c r="Q1437" s="170">
        <v>42642</v>
      </c>
      <c r="R1437" s="66">
        <v>42643</v>
      </c>
      <c r="S1437" s="113">
        <f t="shared" si="173"/>
        <v>56</v>
      </c>
    </row>
    <row r="1438" spans="1:22" s="65" customFormat="1" hidden="1" x14ac:dyDescent="0.25">
      <c r="A1438" s="30">
        <v>416</v>
      </c>
      <c r="B1438" s="24">
        <v>42583</v>
      </c>
      <c r="C1438" s="1">
        <v>114</v>
      </c>
      <c r="D1438" s="1">
        <v>3000031343</v>
      </c>
      <c r="E1438" s="1" t="s">
        <v>15</v>
      </c>
      <c r="F1438" s="1">
        <v>3118</v>
      </c>
      <c r="G1438" s="25">
        <v>42572</v>
      </c>
      <c r="H1438" s="25"/>
      <c r="I1438" s="25">
        <v>42576</v>
      </c>
      <c r="J1438" s="1" t="s">
        <v>8</v>
      </c>
      <c r="K1438" s="77">
        <v>27.13</v>
      </c>
      <c r="L1438" s="1">
        <v>26.99</v>
      </c>
      <c r="M1438" s="1">
        <f t="shared" si="175"/>
        <v>26.99</v>
      </c>
      <c r="N1438" s="7">
        <f t="shared" si="179"/>
        <v>42590</v>
      </c>
      <c r="O1438" s="1">
        <v>1451455</v>
      </c>
      <c r="P1438" s="36">
        <f t="shared" si="178"/>
        <v>1443965</v>
      </c>
      <c r="Q1438" s="170">
        <v>42642</v>
      </c>
      <c r="R1438" s="66">
        <v>42643</v>
      </c>
      <c r="S1438" s="113">
        <f t="shared" si="173"/>
        <v>53</v>
      </c>
    </row>
    <row r="1439" spans="1:22" s="3" customFormat="1" hidden="1" x14ac:dyDescent="0.25">
      <c r="A1439" s="30">
        <v>478</v>
      </c>
      <c r="B1439" s="24">
        <v>42586</v>
      </c>
      <c r="C1439" s="1">
        <v>114</v>
      </c>
      <c r="D1439" s="1">
        <v>3000031364</v>
      </c>
      <c r="E1439" s="1" t="s">
        <v>138</v>
      </c>
      <c r="F1439" s="16">
        <v>9013</v>
      </c>
      <c r="G1439" s="25">
        <v>42573</v>
      </c>
      <c r="H1439" s="25"/>
      <c r="I1439" s="25">
        <v>42578</v>
      </c>
      <c r="J1439" s="1" t="s">
        <v>8</v>
      </c>
      <c r="K1439" s="77">
        <v>19.399999999999999</v>
      </c>
      <c r="L1439" s="1">
        <v>19.32</v>
      </c>
      <c r="M1439" s="1">
        <f t="shared" si="175"/>
        <v>19.32</v>
      </c>
      <c r="N1439" s="7">
        <f t="shared" si="179"/>
        <v>42592</v>
      </c>
      <c r="O1439" s="1">
        <v>1034020</v>
      </c>
      <c r="P1439" s="36">
        <f t="shared" si="178"/>
        <v>1029756.0000000001</v>
      </c>
      <c r="Q1439" s="170">
        <v>42642</v>
      </c>
      <c r="R1439" s="66">
        <v>42643</v>
      </c>
      <c r="S1439" s="113">
        <f t="shared" si="173"/>
        <v>51</v>
      </c>
    </row>
    <row r="1440" spans="1:22" s="3" customFormat="1" hidden="1" x14ac:dyDescent="0.25">
      <c r="A1440" s="30">
        <v>479</v>
      </c>
      <c r="B1440" s="24">
        <v>42586</v>
      </c>
      <c r="C1440" s="1">
        <v>114</v>
      </c>
      <c r="D1440" s="1">
        <v>3000031329</v>
      </c>
      <c r="E1440" s="1" t="s">
        <v>138</v>
      </c>
      <c r="F1440" s="16">
        <v>9014</v>
      </c>
      <c r="G1440" s="25">
        <v>42573</v>
      </c>
      <c r="H1440" s="25"/>
      <c r="I1440" s="25">
        <v>42578</v>
      </c>
      <c r="J1440" s="1" t="s">
        <v>8</v>
      </c>
      <c r="K1440" s="77">
        <v>7.47</v>
      </c>
      <c r="L1440" s="1">
        <v>7.47</v>
      </c>
      <c r="M1440" s="1">
        <f t="shared" si="175"/>
        <v>7.47</v>
      </c>
      <c r="N1440" s="7">
        <f t="shared" si="179"/>
        <v>42592</v>
      </c>
      <c r="O1440" s="1">
        <v>395910</v>
      </c>
      <c r="P1440" s="36">
        <f t="shared" si="178"/>
        <v>395910</v>
      </c>
      <c r="Q1440" s="170">
        <v>42642</v>
      </c>
      <c r="R1440" s="66">
        <v>42643</v>
      </c>
      <c r="S1440" s="113">
        <f t="shared" si="173"/>
        <v>51</v>
      </c>
    </row>
    <row r="1441" spans="1:19" s="3" customFormat="1" hidden="1" x14ac:dyDescent="0.25">
      <c r="A1441" s="30">
        <v>417</v>
      </c>
      <c r="B1441" s="24">
        <v>42583</v>
      </c>
      <c r="C1441" s="1">
        <v>114</v>
      </c>
      <c r="D1441" s="1">
        <v>3000031329</v>
      </c>
      <c r="E1441" s="1" t="s">
        <v>138</v>
      </c>
      <c r="F1441" s="1">
        <v>9015</v>
      </c>
      <c r="G1441" s="25">
        <v>42573</v>
      </c>
      <c r="H1441" s="25"/>
      <c r="I1441" s="25">
        <v>42577</v>
      </c>
      <c r="J1441" s="1" t="s">
        <v>8</v>
      </c>
      <c r="K1441" s="77">
        <v>26.93</v>
      </c>
      <c r="L1441" s="1">
        <v>26.77</v>
      </c>
      <c r="M1441" s="1">
        <f t="shared" si="175"/>
        <v>26.77</v>
      </c>
      <c r="N1441" s="7">
        <f t="shared" si="179"/>
        <v>42591</v>
      </c>
      <c r="O1441" s="1">
        <v>1427290</v>
      </c>
      <c r="P1441" s="36">
        <f t="shared" si="178"/>
        <v>1418810</v>
      </c>
      <c r="Q1441" s="170">
        <v>42642</v>
      </c>
      <c r="R1441" s="66">
        <v>42643</v>
      </c>
      <c r="S1441" s="113">
        <f t="shared" si="173"/>
        <v>52</v>
      </c>
    </row>
    <row r="1442" spans="1:19" s="3" customFormat="1" hidden="1" x14ac:dyDescent="0.25">
      <c r="A1442" s="30">
        <v>480</v>
      </c>
      <c r="B1442" s="24">
        <v>42586</v>
      </c>
      <c r="C1442" s="1">
        <v>114</v>
      </c>
      <c r="D1442" s="1">
        <v>3000031329</v>
      </c>
      <c r="E1442" s="1" t="s">
        <v>138</v>
      </c>
      <c r="F1442" s="1">
        <v>9017</v>
      </c>
      <c r="G1442" s="25">
        <v>42574</v>
      </c>
      <c r="H1442" s="25"/>
      <c r="I1442" s="25">
        <v>42578</v>
      </c>
      <c r="J1442" s="1" t="s">
        <v>8</v>
      </c>
      <c r="K1442" s="77">
        <v>20.05</v>
      </c>
      <c r="L1442" s="1">
        <v>20</v>
      </c>
      <c r="M1442" s="1">
        <f t="shared" si="175"/>
        <v>20</v>
      </c>
      <c r="N1442" s="7">
        <f t="shared" si="179"/>
        <v>42592</v>
      </c>
      <c r="O1442" s="1">
        <v>1062650</v>
      </c>
      <c r="P1442" s="36">
        <f t="shared" si="178"/>
        <v>1060000</v>
      </c>
      <c r="Q1442" s="170">
        <v>42642</v>
      </c>
      <c r="R1442" s="66">
        <v>42643</v>
      </c>
      <c r="S1442" s="113">
        <f t="shared" si="173"/>
        <v>51</v>
      </c>
    </row>
    <row r="1443" spans="1:19" s="3" customFormat="1" hidden="1" x14ac:dyDescent="0.25">
      <c r="A1443" s="30">
        <v>484</v>
      </c>
      <c r="B1443" s="24">
        <v>42586</v>
      </c>
      <c r="C1443" s="1">
        <v>114</v>
      </c>
      <c r="D1443" s="1">
        <v>3000032977</v>
      </c>
      <c r="E1443" s="1" t="s">
        <v>18</v>
      </c>
      <c r="F1443" s="16">
        <v>54</v>
      </c>
      <c r="G1443" s="25">
        <v>42576</v>
      </c>
      <c r="H1443" s="25"/>
      <c r="I1443" s="25">
        <v>42583</v>
      </c>
      <c r="J1443" s="1" t="s">
        <v>8</v>
      </c>
      <c r="K1443" s="77">
        <v>0.48499999999999999</v>
      </c>
      <c r="L1443" s="1">
        <v>0.48499999999999999</v>
      </c>
      <c r="M1443" s="1">
        <f t="shared" si="175"/>
        <v>0.48499999999999999</v>
      </c>
      <c r="N1443" s="7">
        <f t="shared" si="179"/>
        <v>42597</v>
      </c>
      <c r="O1443" s="1">
        <v>24250</v>
      </c>
      <c r="P1443" s="36">
        <f t="shared" si="178"/>
        <v>24250</v>
      </c>
      <c r="Q1443" s="170">
        <v>42642</v>
      </c>
      <c r="R1443" s="66">
        <v>42643</v>
      </c>
      <c r="S1443" s="113">
        <f t="shared" si="173"/>
        <v>46</v>
      </c>
    </row>
    <row r="1444" spans="1:19" s="3" customFormat="1" hidden="1" x14ac:dyDescent="0.25">
      <c r="A1444" s="30">
        <v>483</v>
      </c>
      <c r="B1444" s="24">
        <v>42586</v>
      </c>
      <c r="C1444" s="1">
        <v>114</v>
      </c>
      <c r="D1444" s="1">
        <v>3000031341</v>
      </c>
      <c r="E1444" s="1" t="s">
        <v>18</v>
      </c>
      <c r="F1444" s="16">
        <v>54</v>
      </c>
      <c r="G1444" s="25">
        <v>42576</v>
      </c>
      <c r="H1444" s="25"/>
      <c r="I1444" s="25">
        <v>42583</v>
      </c>
      <c r="J1444" s="1" t="s">
        <v>8</v>
      </c>
      <c r="K1444" s="77">
        <v>19.78</v>
      </c>
      <c r="L1444" s="1">
        <v>19.614999999999998</v>
      </c>
      <c r="M1444" s="1">
        <f t="shared" si="175"/>
        <v>19.614999999999998</v>
      </c>
      <c r="N1444" s="7">
        <f t="shared" si="179"/>
        <v>42597</v>
      </c>
      <c r="O1444" s="1">
        <v>1058230</v>
      </c>
      <c r="P1444" s="36">
        <f t="shared" si="178"/>
        <v>1049402.5</v>
      </c>
      <c r="Q1444" s="170">
        <v>42642</v>
      </c>
      <c r="R1444" s="66">
        <v>42643</v>
      </c>
      <c r="S1444" s="113">
        <f t="shared" si="173"/>
        <v>46</v>
      </c>
    </row>
    <row r="1445" spans="1:19" s="3" customFormat="1" hidden="1" x14ac:dyDescent="0.25">
      <c r="A1445" s="30">
        <v>599</v>
      </c>
      <c r="B1445" s="24">
        <v>42598</v>
      </c>
      <c r="C1445" s="1">
        <v>114</v>
      </c>
      <c r="D1445" s="1">
        <v>3000030992</v>
      </c>
      <c r="E1445" s="1" t="s">
        <v>18</v>
      </c>
      <c r="F1445" s="1">
        <v>57</v>
      </c>
      <c r="G1445" s="25">
        <v>42583</v>
      </c>
      <c r="H1445" s="25"/>
      <c r="I1445" s="25">
        <v>42589</v>
      </c>
      <c r="J1445" s="1" t="s">
        <v>16</v>
      </c>
      <c r="K1445" s="77">
        <v>28.33</v>
      </c>
      <c r="L1445" s="1">
        <v>28.27</v>
      </c>
      <c r="M1445" s="1">
        <f t="shared" si="175"/>
        <v>28.27</v>
      </c>
      <c r="N1445" s="7">
        <f t="shared" si="179"/>
        <v>42603</v>
      </c>
      <c r="O1445" s="1">
        <v>1388170</v>
      </c>
      <c r="P1445" s="36">
        <f t="shared" si="178"/>
        <v>1385230</v>
      </c>
      <c r="Q1445" s="170">
        <v>42642</v>
      </c>
      <c r="R1445" s="66">
        <v>42643</v>
      </c>
      <c r="S1445" s="113">
        <f t="shared" si="173"/>
        <v>40</v>
      </c>
    </row>
    <row r="1446" spans="1:19" s="3" customFormat="1" hidden="1" x14ac:dyDescent="0.25">
      <c r="A1446" s="30">
        <v>477</v>
      </c>
      <c r="B1446" s="24">
        <v>42586</v>
      </c>
      <c r="C1446" s="1">
        <v>114</v>
      </c>
      <c r="D1446" s="1">
        <v>3000032156</v>
      </c>
      <c r="E1446" s="1" t="s">
        <v>29</v>
      </c>
      <c r="F1446" s="16">
        <v>146</v>
      </c>
      <c r="G1446" s="25">
        <v>42580</v>
      </c>
      <c r="H1446" s="25"/>
      <c r="I1446" s="25">
        <v>42584</v>
      </c>
      <c r="J1446" s="1" t="s">
        <v>8</v>
      </c>
      <c r="K1446" s="77">
        <v>21.64</v>
      </c>
      <c r="L1446" s="1">
        <v>21.66</v>
      </c>
      <c r="M1446" s="1">
        <f t="shared" si="175"/>
        <v>21.64</v>
      </c>
      <c r="N1446" s="7">
        <f t="shared" si="179"/>
        <v>42598</v>
      </c>
      <c r="O1446" s="1">
        <v>1101476</v>
      </c>
      <c r="P1446" s="36">
        <f t="shared" si="178"/>
        <v>1101476</v>
      </c>
      <c r="Q1446" s="170">
        <v>42642</v>
      </c>
      <c r="R1446" s="66">
        <v>42643</v>
      </c>
      <c r="S1446" s="113">
        <f t="shared" si="173"/>
        <v>45</v>
      </c>
    </row>
    <row r="1447" spans="1:19" s="3" customFormat="1" hidden="1" x14ac:dyDescent="0.25">
      <c r="A1447" s="30">
        <v>660</v>
      </c>
      <c r="B1447" s="24">
        <v>42621</v>
      </c>
      <c r="C1447" s="1">
        <v>114</v>
      </c>
      <c r="D1447" s="1">
        <v>3000032156</v>
      </c>
      <c r="E1447" s="1" t="s">
        <v>29</v>
      </c>
      <c r="F1447" s="1">
        <v>161</v>
      </c>
      <c r="G1447" s="25">
        <v>42610</v>
      </c>
      <c r="H1447" s="25"/>
      <c r="I1447" s="25">
        <v>42614</v>
      </c>
      <c r="J1447" s="1" t="s">
        <v>8</v>
      </c>
      <c r="K1447" s="77">
        <v>29.04</v>
      </c>
      <c r="L1447" s="1">
        <v>28.86</v>
      </c>
      <c r="M1447" s="1">
        <f t="shared" si="175"/>
        <v>28.86</v>
      </c>
      <c r="N1447" s="7">
        <f t="shared" si="179"/>
        <v>42628</v>
      </c>
      <c r="O1447" s="1">
        <v>1478136</v>
      </c>
      <c r="P1447" s="36">
        <f t="shared" si="178"/>
        <v>1468974</v>
      </c>
      <c r="Q1447" s="170">
        <v>42642</v>
      </c>
      <c r="R1447" s="66">
        <v>42643</v>
      </c>
      <c r="S1447" s="113">
        <f t="shared" si="173"/>
        <v>15</v>
      </c>
    </row>
    <row r="1448" spans="1:19" s="3" customFormat="1" hidden="1" x14ac:dyDescent="0.25">
      <c r="A1448" s="30">
        <v>641</v>
      </c>
      <c r="B1448" s="24">
        <v>42611</v>
      </c>
      <c r="C1448" s="1">
        <v>114</v>
      </c>
      <c r="D1448" s="1">
        <v>3000032950</v>
      </c>
      <c r="E1448" s="1" t="s">
        <v>29</v>
      </c>
      <c r="F1448" s="20" t="s">
        <v>290</v>
      </c>
      <c r="G1448" s="25">
        <v>42608</v>
      </c>
      <c r="H1448" s="25"/>
      <c r="I1448" s="25">
        <v>42588</v>
      </c>
      <c r="J1448" s="1" t="s">
        <v>16</v>
      </c>
      <c r="K1448" s="77"/>
      <c r="L1448" s="1"/>
      <c r="M1448" s="1">
        <f t="shared" si="175"/>
        <v>0</v>
      </c>
      <c r="N1448" s="7">
        <f t="shared" si="179"/>
        <v>42602</v>
      </c>
      <c r="O1448" s="1">
        <v>29915</v>
      </c>
      <c r="P1448" s="36"/>
      <c r="Q1448" s="170">
        <v>42642</v>
      </c>
      <c r="R1448" s="66">
        <v>42643</v>
      </c>
      <c r="S1448" s="113">
        <f t="shared" si="173"/>
        <v>41</v>
      </c>
    </row>
    <row r="1449" spans="1:19" s="3" customFormat="1" hidden="1" x14ac:dyDescent="0.25">
      <c r="A1449" s="30">
        <v>640</v>
      </c>
      <c r="B1449" s="24">
        <v>42611</v>
      </c>
      <c r="C1449" s="1">
        <v>114</v>
      </c>
      <c r="D1449" s="1">
        <v>3000032950</v>
      </c>
      <c r="E1449" s="1" t="s">
        <v>29</v>
      </c>
      <c r="F1449" s="16">
        <v>16</v>
      </c>
      <c r="G1449" s="25">
        <v>42567</v>
      </c>
      <c r="H1449" s="25"/>
      <c r="I1449" s="25">
        <v>42588</v>
      </c>
      <c r="J1449" s="1" t="s">
        <v>16</v>
      </c>
      <c r="K1449" s="77">
        <v>20.56</v>
      </c>
      <c r="L1449" s="1">
        <v>20.56</v>
      </c>
      <c r="M1449" s="1">
        <f t="shared" si="175"/>
        <v>20.56</v>
      </c>
      <c r="N1449" s="7">
        <f t="shared" si="179"/>
        <v>42602</v>
      </c>
      <c r="O1449" s="1">
        <v>1028000</v>
      </c>
      <c r="P1449" s="36">
        <f>(+O1449/K1449*M1449)-29915</f>
        <v>998084.99999999988</v>
      </c>
      <c r="Q1449" s="170">
        <v>42642</v>
      </c>
      <c r="R1449" s="66">
        <v>42643</v>
      </c>
      <c r="S1449" s="113">
        <f t="shared" si="173"/>
        <v>41</v>
      </c>
    </row>
    <row r="1450" spans="1:19" s="3" customFormat="1" hidden="1" x14ac:dyDescent="0.25">
      <c r="A1450" s="30">
        <v>556</v>
      </c>
      <c r="B1450" s="24">
        <v>42591</v>
      </c>
      <c r="C1450" s="1">
        <v>114</v>
      </c>
      <c r="D1450" s="1">
        <v>3000032950</v>
      </c>
      <c r="E1450" s="1" t="s">
        <v>29</v>
      </c>
      <c r="F1450" s="1">
        <v>17</v>
      </c>
      <c r="G1450" s="25">
        <v>42570</v>
      </c>
      <c r="H1450" s="25"/>
      <c r="I1450" s="25">
        <v>42586</v>
      </c>
      <c r="J1450" s="1" t="s">
        <v>16</v>
      </c>
      <c r="K1450" s="77">
        <v>33.04</v>
      </c>
      <c r="L1450" s="1">
        <v>32.92</v>
      </c>
      <c r="M1450" s="1">
        <f t="shared" si="175"/>
        <v>32.92</v>
      </c>
      <c r="N1450" s="7">
        <f t="shared" si="179"/>
        <v>42600</v>
      </c>
      <c r="O1450" s="1">
        <v>1652000</v>
      </c>
      <c r="P1450" s="36">
        <f t="shared" ref="P1450:P1481" si="180">(+O1450/K1450*M1450)</f>
        <v>1646000</v>
      </c>
      <c r="Q1450" s="170">
        <v>42642</v>
      </c>
      <c r="R1450" s="66">
        <v>42643</v>
      </c>
      <c r="S1450" s="113">
        <f t="shared" si="173"/>
        <v>43</v>
      </c>
    </row>
    <row r="1451" spans="1:19" s="3" customFormat="1" hidden="1" x14ac:dyDescent="0.25">
      <c r="A1451" s="30">
        <v>598</v>
      </c>
      <c r="B1451" s="24">
        <v>42598</v>
      </c>
      <c r="C1451" s="1">
        <v>114</v>
      </c>
      <c r="D1451" s="1">
        <v>3000030989</v>
      </c>
      <c r="E1451" s="1" t="s">
        <v>28</v>
      </c>
      <c r="F1451" s="1">
        <v>592</v>
      </c>
      <c r="G1451" s="25">
        <v>42578</v>
      </c>
      <c r="H1451" s="25"/>
      <c r="I1451" s="25">
        <v>42588</v>
      </c>
      <c r="J1451" s="1" t="s">
        <v>16</v>
      </c>
      <c r="K1451" s="77">
        <v>25.43</v>
      </c>
      <c r="L1451" s="1">
        <v>25.38</v>
      </c>
      <c r="M1451" s="1">
        <f t="shared" si="175"/>
        <v>25.38</v>
      </c>
      <c r="N1451" s="7">
        <f t="shared" si="179"/>
        <v>42602</v>
      </c>
      <c r="O1451" s="1">
        <v>1246070</v>
      </c>
      <c r="P1451" s="36">
        <f t="shared" si="180"/>
        <v>1243620</v>
      </c>
      <c r="Q1451" s="170">
        <v>42642</v>
      </c>
      <c r="R1451" s="66">
        <v>42643</v>
      </c>
      <c r="S1451" s="113">
        <f t="shared" ref="S1451:S1514" si="181">R1451-N1451</f>
        <v>41</v>
      </c>
    </row>
    <row r="1452" spans="1:19" s="3" customFormat="1" hidden="1" x14ac:dyDescent="0.25">
      <c r="A1452" s="30">
        <v>555</v>
      </c>
      <c r="B1452" s="24">
        <v>42591</v>
      </c>
      <c r="C1452" s="1">
        <v>114</v>
      </c>
      <c r="D1452" s="1">
        <v>3000031344</v>
      </c>
      <c r="E1452" s="1" t="s">
        <v>28</v>
      </c>
      <c r="F1452" s="1">
        <v>594</v>
      </c>
      <c r="G1452" s="25">
        <v>42578</v>
      </c>
      <c r="H1452" s="25"/>
      <c r="I1452" s="25">
        <v>42585</v>
      </c>
      <c r="J1452" s="1" t="s">
        <v>8</v>
      </c>
      <c r="K1452" s="77">
        <v>28.71</v>
      </c>
      <c r="L1452" s="1">
        <v>28.6</v>
      </c>
      <c r="M1452" s="1">
        <f t="shared" si="175"/>
        <v>28.6</v>
      </c>
      <c r="N1452" s="7">
        <f t="shared" si="179"/>
        <v>42599</v>
      </c>
      <c r="O1452" s="1">
        <v>1535985</v>
      </c>
      <c r="P1452" s="36">
        <f t="shared" si="180"/>
        <v>1530100</v>
      </c>
      <c r="Q1452" s="170">
        <v>42642</v>
      </c>
      <c r="R1452" s="66">
        <v>42643</v>
      </c>
      <c r="S1452" s="113">
        <f t="shared" si="181"/>
        <v>44</v>
      </c>
    </row>
    <row r="1453" spans="1:19" s="3" customFormat="1" hidden="1" x14ac:dyDescent="0.25">
      <c r="A1453" s="30">
        <v>595</v>
      </c>
      <c r="B1453" s="24">
        <v>42598</v>
      </c>
      <c r="C1453" s="1">
        <v>114</v>
      </c>
      <c r="D1453" s="1">
        <v>3000032158</v>
      </c>
      <c r="E1453" s="1" t="s">
        <v>37</v>
      </c>
      <c r="F1453" s="1">
        <v>88</v>
      </c>
      <c r="G1453" s="25">
        <v>42583</v>
      </c>
      <c r="H1453" s="25"/>
      <c r="I1453" s="25">
        <v>42586</v>
      </c>
      <c r="J1453" s="1" t="s">
        <v>8</v>
      </c>
      <c r="K1453" s="77">
        <v>20.95</v>
      </c>
      <c r="L1453" s="1">
        <v>20.85</v>
      </c>
      <c r="M1453" s="1">
        <f t="shared" si="175"/>
        <v>20.85</v>
      </c>
      <c r="N1453" s="7">
        <f t="shared" si="179"/>
        <v>42600</v>
      </c>
      <c r="O1453" s="1">
        <v>1066355</v>
      </c>
      <c r="P1453" s="36">
        <f t="shared" si="180"/>
        <v>1061265</v>
      </c>
      <c r="Q1453" s="170">
        <v>42642</v>
      </c>
      <c r="R1453" s="66">
        <v>42643</v>
      </c>
      <c r="S1453" s="113">
        <f t="shared" si="181"/>
        <v>43</v>
      </c>
    </row>
    <row r="1454" spans="1:19" s="3" customFormat="1" hidden="1" x14ac:dyDescent="0.25">
      <c r="A1454" s="30">
        <v>596</v>
      </c>
      <c r="B1454" s="24">
        <v>42598</v>
      </c>
      <c r="C1454" s="1">
        <v>114</v>
      </c>
      <c r="D1454" s="1">
        <v>3000032158</v>
      </c>
      <c r="E1454" s="1" t="s">
        <v>37</v>
      </c>
      <c r="F1454" s="1">
        <v>89</v>
      </c>
      <c r="G1454" s="25">
        <v>42583</v>
      </c>
      <c r="H1454" s="25"/>
      <c r="I1454" s="25">
        <v>42587</v>
      </c>
      <c r="J1454" s="1" t="s">
        <v>8</v>
      </c>
      <c r="K1454" s="77">
        <v>21</v>
      </c>
      <c r="L1454" s="1">
        <v>20.94</v>
      </c>
      <c r="M1454" s="1">
        <f t="shared" si="175"/>
        <v>20.94</v>
      </c>
      <c r="N1454" s="7">
        <f t="shared" si="179"/>
        <v>42601</v>
      </c>
      <c r="O1454" s="1">
        <v>1068900</v>
      </c>
      <c r="P1454" s="36">
        <f t="shared" si="180"/>
        <v>1065846</v>
      </c>
      <c r="Q1454" s="170">
        <v>42642</v>
      </c>
      <c r="R1454" s="66">
        <v>42643</v>
      </c>
      <c r="S1454" s="113">
        <f t="shared" si="181"/>
        <v>42</v>
      </c>
    </row>
    <row r="1455" spans="1:19" s="3" customFormat="1" hidden="1" x14ac:dyDescent="0.25">
      <c r="A1455" s="30">
        <v>607</v>
      </c>
      <c r="B1455" s="24">
        <v>42604</v>
      </c>
      <c r="C1455" s="1">
        <v>114</v>
      </c>
      <c r="D1455" s="1">
        <v>3000032158</v>
      </c>
      <c r="E1455" s="1" t="s">
        <v>37</v>
      </c>
      <c r="F1455" s="16">
        <v>92</v>
      </c>
      <c r="G1455" s="25">
        <v>42591</v>
      </c>
      <c r="H1455" s="25"/>
      <c r="I1455" s="25">
        <v>42594</v>
      </c>
      <c r="J1455" s="1" t="s">
        <v>8</v>
      </c>
      <c r="K1455" s="77">
        <v>15.25</v>
      </c>
      <c r="L1455" s="1">
        <v>15.24</v>
      </c>
      <c r="M1455" s="1">
        <f t="shared" si="175"/>
        <v>15.24</v>
      </c>
      <c r="N1455" s="7">
        <f t="shared" si="179"/>
        <v>42608</v>
      </c>
      <c r="O1455" s="1">
        <v>776225</v>
      </c>
      <c r="P1455" s="36">
        <f t="shared" si="180"/>
        <v>775716</v>
      </c>
      <c r="Q1455" s="170">
        <v>42642</v>
      </c>
      <c r="R1455" s="66">
        <v>42643</v>
      </c>
      <c r="S1455" s="113">
        <f t="shared" si="181"/>
        <v>35</v>
      </c>
    </row>
    <row r="1456" spans="1:19" s="3" customFormat="1" hidden="1" x14ac:dyDescent="0.25">
      <c r="A1456" s="30">
        <v>608</v>
      </c>
      <c r="B1456" s="24">
        <v>42604</v>
      </c>
      <c r="C1456" s="1">
        <v>114</v>
      </c>
      <c r="D1456" s="1">
        <v>3000032987</v>
      </c>
      <c r="E1456" s="1" t="s">
        <v>37</v>
      </c>
      <c r="F1456" s="16">
        <v>92</v>
      </c>
      <c r="G1456" s="25">
        <v>42591</v>
      </c>
      <c r="H1456" s="25"/>
      <c r="I1456" s="25">
        <v>42594</v>
      </c>
      <c r="J1456" s="1" t="s">
        <v>8</v>
      </c>
      <c r="K1456" s="77">
        <v>4.4000000000000004</v>
      </c>
      <c r="L1456" s="1">
        <v>4.4000000000000004</v>
      </c>
      <c r="M1456" s="1">
        <f t="shared" si="175"/>
        <v>4.4000000000000004</v>
      </c>
      <c r="N1456" s="7">
        <f t="shared" si="179"/>
        <v>42608</v>
      </c>
      <c r="O1456" s="1">
        <v>223080</v>
      </c>
      <c r="P1456" s="36">
        <f t="shared" si="180"/>
        <v>223080</v>
      </c>
      <c r="Q1456" s="170">
        <v>42642</v>
      </c>
      <c r="R1456" s="66">
        <v>42643</v>
      </c>
      <c r="S1456" s="113">
        <f t="shared" si="181"/>
        <v>35</v>
      </c>
    </row>
    <row r="1457" spans="1:19" s="3" customFormat="1" hidden="1" x14ac:dyDescent="0.25">
      <c r="A1457" s="30">
        <v>590</v>
      </c>
      <c r="B1457" s="24">
        <v>42598</v>
      </c>
      <c r="C1457" s="1">
        <v>114</v>
      </c>
      <c r="D1457" s="1">
        <v>3000030838</v>
      </c>
      <c r="E1457" s="1" t="s">
        <v>49</v>
      </c>
      <c r="F1457" s="1">
        <v>27</v>
      </c>
      <c r="G1457" s="25">
        <v>42578</v>
      </c>
      <c r="H1457" s="25"/>
      <c r="I1457" s="25">
        <v>42587</v>
      </c>
      <c r="J1457" s="1" t="s">
        <v>16</v>
      </c>
      <c r="K1457" s="77">
        <v>31.01</v>
      </c>
      <c r="L1457" s="1">
        <v>30.95</v>
      </c>
      <c r="M1457" s="1">
        <f t="shared" si="175"/>
        <v>30.95</v>
      </c>
      <c r="N1457" s="7">
        <f t="shared" si="179"/>
        <v>42601</v>
      </c>
      <c r="O1457" s="1">
        <v>1587712</v>
      </c>
      <c r="P1457" s="36">
        <f t="shared" si="180"/>
        <v>1584640</v>
      </c>
      <c r="Q1457" s="170">
        <v>42642</v>
      </c>
      <c r="R1457" s="66">
        <v>42643</v>
      </c>
      <c r="S1457" s="113">
        <f t="shared" si="181"/>
        <v>42</v>
      </c>
    </row>
    <row r="1458" spans="1:19" s="3" customFormat="1" hidden="1" x14ac:dyDescent="0.25">
      <c r="A1458" s="30">
        <v>591</v>
      </c>
      <c r="B1458" s="24">
        <v>42598</v>
      </c>
      <c r="C1458" s="1">
        <v>114</v>
      </c>
      <c r="D1458" s="1">
        <v>3000030308</v>
      </c>
      <c r="E1458" s="1" t="s">
        <v>49</v>
      </c>
      <c r="F1458" s="16">
        <v>28</v>
      </c>
      <c r="G1458" s="25">
        <v>42584</v>
      </c>
      <c r="H1458" s="25"/>
      <c r="I1458" s="25">
        <v>42588</v>
      </c>
      <c r="J1458" s="1" t="s">
        <v>8</v>
      </c>
      <c r="K1458" s="77">
        <v>4.8250000000000002</v>
      </c>
      <c r="L1458" s="1">
        <v>4.74</v>
      </c>
      <c r="M1458" s="1">
        <f t="shared" si="175"/>
        <v>4.74</v>
      </c>
      <c r="N1458" s="7">
        <f t="shared" si="179"/>
        <v>42602</v>
      </c>
      <c r="O1458" s="1">
        <v>269325</v>
      </c>
      <c r="P1458" s="36">
        <f t="shared" si="180"/>
        <v>264580.41450777202</v>
      </c>
      <c r="Q1458" s="170">
        <v>42642</v>
      </c>
      <c r="R1458" s="66">
        <v>42643</v>
      </c>
      <c r="S1458" s="113">
        <f t="shared" si="181"/>
        <v>41</v>
      </c>
    </row>
    <row r="1459" spans="1:19" s="3" customFormat="1" hidden="1" x14ac:dyDescent="0.25">
      <c r="A1459" s="30">
        <v>592</v>
      </c>
      <c r="B1459" s="24">
        <v>42598</v>
      </c>
      <c r="C1459" s="1">
        <v>114</v>
      </c>
      <c r="D1459" s="1">
        <v>3000030426</v>
      </c>
      <c r="E1459" s="1" t="s">
        <v>49</v>
      </c>
      <c r="F1459" s="16">
        <v>29</v>
      </c>
      <c r="G1459" s="25">
        <v>42584</v>
      </c>
      <c r="H1459" s="25"/>
      <c r="I1459" s="25">
        <v>42588</v>
      </c>
      <c r="J1459" s="1" t="s">
        <v>8</v>
      </c>
      <c r="K1459" s="77">
        <v>26.26</v>
      </c>
      <c r="L1459" s="1">
        <v>26.26</v>
      </c>
      <c r="M1459" s="1">
        <f t="shared" si="175"/>
        <v>26.26</v>
      </c>
      <c r="N1459" s="7">
        <f t="shared" si="179"/>
        <v>42602</v>
      </c>
      <c r="O1459" s="1">
        <v>1433796</v>
      </c>
      <c r="P1459" s="36">
        <f t="shared" si="180"/>
        <v>1433796</v>
      </c>
      <c r="Q1459" s="170">
        <v>42642</v>
      </c>
      <c r="R1459" s="66">
        <v>42643</v>
      </c>
      <c r="S1459" s="113">
        <f t="shared" si="181"/>
        <v>41</v>
      </c>
    </row>
    <row r="1460" spans="1:19" s="3" customFormat="1" hidden="1" x14ac:dyDescent="0.25">
      <c r="A1460" s="30">
        <v>594</v>
      </c>
      <c r="B1460" s="24">
        <v>42598</v>
      </c>
      <c r="C1460" s="1">
        <v>114</v>
      </c>
      <c r="D1460" s="1">
        <v>3000030839</v>
      </c>
      <c r="E1460" s="1" t="s">
        <v>39</v>
      </c>
      <c r="F1460" s="1">
        <v>31</v>
      </c>
      <c r="G1460" s="25">
        <v>42584</v>
      </c>
      <c r="H1460" s="25"/>
      <c r="I1460" s="25">
        <v>42588</v>
      </c>
      <c r="J1460" s="1" t="s">
        <v>16</v>
      </c>
      <c r="K1460" s="77">
        <v>29.63</v>
      </c>
      <c r="L1460" s="1">
        <v>29.49</v>
      </c>
      <c r="M1460" s="1">
        <f t="shared" si="175"/>
        <v>29.49</v>
      </c>
      <c r="N1460" s="7">
        <f t="shared" si="179"/>
        <v>42602</v>
      </c>
      <c r="O1460" s="1">
        <v>1496315</v>
      </c>
      <c r="P1460" s="36">
        <f t="shared" si="180"/>
        <v>1489245</v>
      </c>
      <c r="Q1460" s="170">
        <v>42642</v>
      </c>
      <c r="R1460" s="66">
        <v>42643</v>
      </c>
      <c r="S1460" s="113">
        <f t="shared" si="181"/>
        <v>41</v>
      </c>
    </row>
    <row r="1461" spans="1:19" s="3" customFormat="1" hidden="1" x14ac:dyDescent="0.25">
      <c r="A1461" s="30">
        <v>597</v>
      </c>
      <c r="B1461" s="24">
        <v>42598</v>
      </c>
      <c r="C1461" s="1">
        <v>114</v>
      </c>
      <c r="D1461" s="1">
        <v>3000031339</v>
      </c>
      <c r="E1461" s="1" t="s">
        <v>44</v>
      </c>
      <c r="F1461" s="1">
        <v>35</v>
      </c>
      <c r="G1461" s="25">
        <v>42575</v>
      </c>
      <c r="H1461" s="25"/>
      <c r="I1461" s="25">
        <v>42588</v>
      </c>
      <c r="J1461" s="1" t="s">
        <v>8</v>
      </c>
      <c r="K1461" s="77">
        <v>30.35</v>
      </c>
      <c r="L1461" s="1">
        <v>30.17</v>
      </c>
      <c r="M1461" s="1">
        <f t="shared" si="175"/>
        <v>30.17</v>
      </c>
      <c r="N1461" s="7">
        <f t="shared" si="179"/>
        <v>42602</v>
      </c>
      <c r="O1461" s="1">
        <v>1623725</v>
      </c>
      <c r="P1461" s="36">
        <f t="shared" si="180"/>
        <v>1614095</v>
      </c>
      <c r="Q1461" s="170">
        <v>42642</v>
      </c>
      <c r="R1461" s="66">
        <v>42643</v>
      </c>
      <c r="S1461" s="113">
        <f t="shared" si="181"/>
        <v>41</v>
      </c>
    </row>
    <row r="1462" spans="1:19" s="3" customFormat="1" hidden="1" x14ac:dyDescent="0.25">
      <c r="A1462" s="30">
        <v>606</v>
      </c>
      <c r="B1462" s="24">
        <v>42604</v>
      </c>
      <c r="C1462" s="1">
        <v>114</v>
      </c>
      <c r="D1462" s="1">
        <v>3000032988</v>
      </c>
      <c r="E1462" s="1" t="s">
        <v>44</v>
      </c>
      <c r="F1462" s="1">
        <v>39</v>
      </c>
      <c r="G1462" s="25">
        <v>42591</v>
      </c>
      <c r="H1462" s="25"/>
      <c r="I1462" s="25">
        <v>42594</v>
      </c>
      <c r="J1462" s="1" t="s">
        <v>8</v>
      </c>
      <c r="K1462" s="77">
        <v>20.170000000000002</v>
      </c>
      <c r="L1462" s="1">
        <v>20.2</v>
      </c>
      <c r="M1462" s="1">
        <f t="shared" si="175"/>
        <v>20.170000000000002</v>
      </c>
      <c r="N1462" s="7">
        <f t="shared" si="179"/>
        <v>42608</v>
      </c>
      <c r="O1462" s="1">
        <v>1022619</v>
      </c>
      <c r="P1462" s="36">
        <f t="shared" si="180"/>
        <v>1022618.9999999999</v>
      </c>
      <c r="Q1462" s="170">
        <v>42642</v>
      </c>
      <c r="R1462" s="66">
        <v>42643</v>
      </c>
      <c r="S1462" s="113">
        <f t="shared" si="181"/>
        <v>35</v>
      </c>
    </row>
    <row r="1463" spans="1:19" s="3" customFormat="1" hidden="1" x14ac:dyDescent="0.25">
      <c r="A1463" s="30">
        <v>618</v>
      </c>
      <c r="B1463" s="24">
        <v>42605</v>
      </c>
      <c r="C1463" s="1">
        <v>103</v>
      </c>
      <c r="D1463" s="1">
        <v>3000032868</v>
      </c>
      <c r="E1463" s="18" t="s">
        <v>198</v>
      </c>
      <c r="F1463" s="1">
        <v>528</v>
      </c>
      <c r="G1463" s="25">
        <v>42594</v>
      </c>
      <c r="H1463" s="25"/>
      <c r="I1463" s="25">
        <v>42597</v>
      </c>
      <c r="J1463" s="1" t="s">
        <v>61</v>
      </c>
      <c r="K1463" s="77">
        <v>19.670000000000002</v>
      </c>
      <c r="L1463" s="1">
        <v>19.68</v>
      </c>
      <c r="M1463" s="1">
        <f t="shared" si="175"/>
        <v>19.670000000000002</v>
      </c>
      <c r="N1463" s="7">
        <f>+I1463+20-1</f>
        <v>42616</v>
      </c>
      <c r="O1463" s="1">
        <v>1544095</v>
      </c>
      <c r="P1463" s="36">
        <f t="shared" si="180"/>
        <v>1544095.0000000002</v>
      </c>
      <c r="Q1463" s="170">
        <v>42642</v>
      </c>
      <c r="R1463" s="66">
        <v>42643</v>
      </c>
      <c r="S1463" s="113">
        <f t="shared" si="181"/>
        <v>27</v>
      </c>
    </row>
    <row r="1464" spans="1:19" s="3" customFormat="1" hidden="1" x14ac:dyDescent="0.25">
      <c r="A1464" s="30">
        <v>619</v>
      </c>
      <c r="B1464" s="24">
        <v>42605</v>
      </c>
      <c r="C1464" s="1">
        <v>103</v>
      </c>
      <c r="D1464" s="1">
        <v>3000033410</v>
      </c>
      <c r="E1464" s="1" t="s">
        <v>198</v>
      </c>
      <c r="F1464" s="1">
        <v>536</v>
      </c>
      <c r="G1464" s="25">
        <v>42597</v>
      </c>
      <c r="H1464" s="25"/>
      <c r="I1464" s="25">
        <v>42599</v>
      </c>
      <c r="J1464" s="1" t="s">
        <v>61</v>
      </c>
      <c r="K1464" s="77">
        <v>19.920000000000002</v>
      </c>
      <c r="L1464" s="1">
        <v>19.920000000000002</v>
      </c>
      <c r="M1464" s="1">
        <f t="shared" si="175"/>
        <v>19.920000000000002</v>
      </c>
      <c r="N1464" s="7">
        <f>+I1464+20-1</f>
        <v>42618</v>
      </c>
      <c r="O1464" s="1">
        <v>1683240</v>
      </c>
      <c r="P1464" s="36">
        <f t="shared" si="180"/>
        <v>1683240.0000000002</v>
      </c>
      <c r="Q1464" s="170">
        <v>42642</v>
      </c>
      <c r="R1464" s="66">
        <v>42643</v>
      </c>
      <c r="S1464" s="113">
        <f t="shared" si="181"/>
        <v>25</v>
      </c>
    </row>
    <row r="1465" spans="1:19" s="3" customFormat="1" hidden="1" x14ac:dyDescent="0.25">
      <c r="A1465" s="30">
        <v>625</v>
      </c>
      <c r="B1465" s="24">
        <v>42605</v>
      </c>
      <c r="C1465" s="1">
        <v>103</v>
      </c>
      <c r="D1465" s="1">
        <v>3000033410</v>
      </c>
      <c r="E1465" s="1" t="s">
        <v>198</v>
      </c>
      <c r="F1465" s="1">
        <v>548</v>
      </c>
      <c r="G1465" s="25">
        <v>42599</v>
      </c>
      <c r="H1465" s="25"/>
      <c r="I1465" s="25">
        <v>42603</v>
      </c>
      <c r="J1465" s="1" t="s">
        <v>61</v>
      </c>
      <c r="K1465" s="77">
        <v>19.63</v>
      </c>
      <c r="L1465" s="1">
        <v>19.600000000000001</v>
      </c>
      <c r="M1465" s="1">
        <f t="shared" si="175"/>
        <v>19.600000000000001</v>
      </c>
      <c r="N1465" s="7">
        <f>+I1465+20-1</f>
        <v>42622</v>
      </c>
      <c r="O1465" s="1">
        <v>1658735</v>
      </c>
      <c r="P1465" s="36">
        <f t="shared" si="180"/>
        <v>1656200.0000000002</v>
      </c>
      <c r="Q1465" s="170">
        <v>42642</v>
      </c>
      <c r="R1465" s="66">
        <v>42643</v>
      </c>
      <c r="S1465" s="113">
        <f t="shared" si="181"/>
        <v>21</v>
      </c>
    </row>
    <row r="1466" spans="1:19" s="3" customFormat="1" hidden="1" x14ac:dyDescent="0.25">
      <c r="A1466" s="30">
        <v>628</v>
      </c>
      <c r="B1466" s="24">
        <v>42607</v>
      </c>
      <c r="C1466" s="1">
        <v>114</v>
      </c>
      <c r="D1466" s="1">
        <v>3000032982</v>
      </c>
      <c r="E1466" s="1" t="s">
        <v>27</v>
      </c>
      <c r="F1466" s="1">
        <v>879</v>
      </c>
      <c r="G1466" s="25">
        <v>42601</v>
      </c>
      <c r="H1466" s="25"/>
      <c r="I1466" s="25">
        <v>42604</v>
      </c>
      <c r="J1466" s="1" t="s">
        <v>8</v>
      </c>
      <c r="K1466" s="77">
        <v>26.43</v>
      </c>
      <c r="L1466" s="1">
        <v>26.59</v>
      </c>
      <c r="M1466" s="1">
        <f t="shared" si="175"/>
        <v>26.43</v>
      </c>
      <c r="N1466" s="7">
        <f>+I1466+15-1</f>
        <v>42618</v>
      </c>
      <c r="O1466" s="1">
        <v>1340001</v>
      </c>
      <c r="P1466" s="36">
        <f t="shared" si="180"/>
        <v>1340001</v>
      </c>
      <c r="Q1466" s="170">
        <v>42642</v>
      </c>
      <c r="R1466" s="66">
        <v>42643</v>
      </c>
      <c r="S1466" s="113">
        <f t="shared" si="181"/>
        <v>25</v>
      </c>
    </row>
    <row r="1467" spans="1:19" s="3" customFormat="1" hidden="1" x14ac:dyDescent="0.25">
      <c r="A1467" s="30">
        <v>718</v>
      </c>
      <c r="B1467" s="24">
        <v>42628</v>
      </c>
      <c r="C1467" s="1">
        <v>114</v>
      </c>
      <c r="D1467" s="1">
        <v>3000032157</v>
      </c>
      <c r="E1467" s="1" t="s">
        <v>27</v>
      </c>
      <c r="F1467" s="1">
        <v>883</v>
      </c>
      <c r="G1467" s="25">
        <v>42613</v>
      </c>
      <c r="H1467" s="25"/>
      <c r="I1467" s="25">
        <v>42621</v>
      </c>
      <c r="J1467" s="1" t="s">
        <v>8</v>
      </c>
      <c r="K1467" s="77">
        <v>24.61</v>
      </c>
      <c r="L1467" s="1">
        <v>24.58</v>
      </c>
      <c r="M1467" s="1">
        <f t="shared" si="175"/>
        <v>24.58</v>
      </c>
      <c r="N1467" s="7">
        <f>+I1467+15-1</f>
        <v>42635</v>
      </c>
      <c r="O1467" s="1">
        <v>1252649</v>
      </c>
      <c r="P1467" s="36">
        <f t="shared" si="180"/>
        <v>1251122</v>
      </c>
      <c r="Q1467" s="170">
        <v>42642</v>
      </c>
      <c r="R1467" s="66">
        <v>42643</v>
      </c>
      <c r="S1467" s="113">
        <f t="shared" si="181"/>
        <v>8</v>
      </c>
    </row>
    <row r="1468" spans="1:19" s="3" customFormat="1" hidden="1" x14ac:dyDescent="0.25">
      <c r="A1468" s="30">
        <v>650</v>
      </c>
      <c r="B1468" s="24">
        <v>42614</v>
      </c>
      <c r="C1468" s="1">
        <v>114</v>
      </c>
      <c r="D1468" s="1">
        <v>3000033928</v>
      </c>
      <c r="E1468" s="1" t="s">
        <v>30</v>
      </c>
      <c r="F1468" s="1">
        <v>224</v>
      </c>
      <c r="G1468" s="25">
        <v>42607</v>
      </c>
      <c r="H1468" s="25"/>
      <c r="I1468" s="25">
        <v>42609</v>
      </c>
      <c r="J1468" s="1" t="s">
        <v>229</v>
      </c>
      <c r="K1468" s="77">
        <v>28.79</v>
      </c>
      <c r="L1468" s="1">
        <v>28.69</v>
      </c>
      <c r="M1468" s="1">
        <f t="shared" si="175"/>
        <v>28.69</v>
      </c>
      <c r="N1468" s="7">
        <f>+I1468+15-1</f>
        <v>42623</v>
      </c>
      <c r="O1468" s="1">
        <v>1592087</v>
      </c>
      <c r="P1468" s="36">
        <f t="shared" si="180"/>
        <v>1586557</v>
      </c>
      <c r="Q1468" s="170">
        <v>42642</v>
      </c>
      <c r="R1468" s="66">
        <v>42643</v>
      </c>
      <c r="S1468" s="113">
        <f t="shared" si="181"/>
        <v>20</v>
      </c>
    </row>
    <row r="1469" spans="1:19" s="3" customFormat="1" hidden="1" x14ac:dyDescent="0.25">
      <c r="A1469" s="30">
        <v>651</v>
      </c>
      <c r="B1469" s="24">
        <v>42614</v>
      </c>
      <c r="C1469" s="1">
        <v>114</v>
      </c>
      <c r="D1469" s="1">
        <v>3000033928</v>
      </c>
      <c r="E1469" s="1" t="s">
        <v>30</v>
      </c>
      <c r="F1469" s="1">
        <v>225</v>
      </c>
      <c r="G1469" s="25">
        <v>42608</v>
      </c>
      <c r="H1469" s="25"/>
      <c r="I1469" s="25">
        <v>42611</v>
      </c>
      <c r="J1469" s="1" t="s">
        <v>229</v>
      </c>
      <c r="K1469" s="77">
        <v>31.77</v>
      </c>
      <c r="L1469" s="1">
        <v>31.61</v>
      </c>
      <c r="M1469" s="1">
        <f t="shared" si="175"/>
        <v>31.61</v>
      </c>
      <c r="N1469" s="7">
        <f>+I1469+15-1</f>
        <v>42625</v>
      </c>
      <c r="O1469" s="1">
        <v>1756881</v>
      </c>
      <c r="P1469" s="36">
        <f t="shared" si="180"/>
        <v>1748033</v>
      </c>
      <c r="Q1469" s="170">
        <v>42642</v>
      </c>
      <c r="R1469" s="66">
        <v>42643</v>
      </c>
      <c r="S1469" s="113">
        <f t="shared" si="181"/>
        <v>18</v>
      </c>
    </row>
    <row r="1470" spans="1:19" s="3" customFormat="1" hidden="1" x14ac:dyDescent="0.25">
      <c r="A1470" s="30">
        <v>664</v>
      </c>
      <c r="B1470" s="24">
        <v>42621</v>
      </c>
      <c r="C1470" s="1">
        <v>114</v>
      </c>
      <c r="D1470" s="1">
        <v>3000034088</v>
      </c>
      <c r="E1470" s="1" t="s">
        <v>30</v>
      </c>
      <c r="F1470" s="1">
        <v>231</v>
      </c>
      <c r="G1470" s="25">
        <v>42610</v>
      </c>
      <c r="H1470" s="25"/>
      <c r="I1470" s="25">
        <v>42614</v>
      </c>
      <c r="J1470" s="1" t="s">
        <v>229</v>
      </c>
      <c r="K1470" s="77">
        <v>29.91</v>
      </c>
      <c r="L1470" s="1">
        <v>29.79</v>
      </c>
      <c r="M1470" s="1">
        <f t="shared" si="175"/>
        <v>29.79</v>
      </c>
      <c r="N1470" s="7">
        <f>+I1470+15-1</f>
        <v>42628</v>
      </c>
      <c r="O1470" s="1">
        <v>1654023</v>
      </c>
      <c r="P1470" s="36">
        <f t="shared" si="180"/>
        <v>1647387</v>
      </c>
      <c r="Q1470" s="170">
        <v>42642</v>
      </c>
      <c r="R1470" s="66">
        <v>42643</v>
      </c>
      <c r="S1470" s="113">
        <f t="shared" si="181"/>
        <v>15</v>
      </c>
    </row>
    <row r="1471" spans="1:19" s="3" customFormat="1" hidden="1" x14ac:dyDescent="0.25">
      <c r="A1471" s="30">
        <v>433</v>
      </c>
      <c r="B1471" s="24">
        <v>42584</v>
      </c>
      <c r="C1471" s="1">
        <v>103</v>
      </c>
      <c r="D1471" s="1">
        <v>3000031384</v>
      </c>
      <c r="E1471" s="18" t="s">
        <v>202</v>
      </c>
      <c r="F1471" s="1">
        <v>101</v>
      </c>
      <c r="G1471" s="25">
        <v>42572</v>
      </c>
      <c r="H1471" s="25"/>
      <c r="I1471" s="25">
        <v>42576</v>
      </c>
      <c r="J1471" s="1" t="s">
        <v>61</v>
      </c>
      <c r="K1471" s="77">
        <v>20.47</v>
      </c>
      <c r="L1471" s="1">
        <v>20.440000000000001</v>
      </c>
      <c r="M1471" s="1">
        <f t="shared" si="175"/>
        <v>20.440000000000001</v>
      </c>
      <c r="N1471" s="7">
        <f t="shared" ref="N1471:N1478" si="182">+I1471+20-1</f>
        <v>42595</v>
      </c>
      <c r="O1471" s="1">
        <v>1651930</v>
      </c>
      <c r="P1471" s="36">
        <f t="shared" si="180"/>
        <v>1649508.998534441</v>
      </c>
      <c r="Q1471" s="170">
        <v>42642</v>
      </c>
      <c r="R1471" s="66">
        <v>42643</v>
      </c>
      <c r="S1471" s="113">
        <f t="shared" si="181"/>
        <v>48</v>
      </c>
    </row>
    <row r="1472" spans="1:19" s="3" customFormat="1" hidden="1" x14ac:dyDescent="0.25">
      <c r="A1472" s="30">
        <v>522</v>
      </c>
      <c r="B1472" s="24">
        <v>42587</v>
      </c>
      <c r="C1472" s="1">
        <v>103</v>
      </c>
      <c r="D1472" s="1">
        <v>3000032773</v>
      </c>
      <c r="E1472" s="18" t="s">
        <v>202</v>
      </c>
      <c r="F1472" s="1">
        <v>102</v>
      </c>
      <c r="G1472" s="25">
        <v>42576</v>
      </c>
      <c r="H1472" s="25"/>
      <c r="I1472" s="25">
        <v>42580</v>
      </c>
      <c r="J1472" s="1" t="s">
        <v>61</v>
      </c>
      <c r="K1472" s="77">
        <v>20.37</v>
      </c>
      <c r="L1472" s="1">
        <v>20.329999999999998</v>
      </c>
      <c r="M1472" s="1">
        <f t="shared" ref="M1472:M1535" si="183">IF(L1472&gt;K1472,K1472,L1472)</f>
        <v>20.329999999999998</v>
      </c>
      <c r="N1472" s="7">
        <f t="shared" si="182"/>
        <v>42599</v>
      </c>
      <c r="O1472" s="1">
        <v>1597008</v>
      </c>
      <c r="P1472" s="36">
        <f t="shared" si="180"/>
        <v>1593871.9999999998</v>
      </c>
      <c r="Q1472" s="170">
        <v>42642</v>
      </c>
      <c r="R1472" s="66">
        <v>42643</v>
      </c>
      <c r="S1472" s="113">
        <f t="shared" si="181"/>
        <v>44</v>
      </c>
    </row>
    <row r="1473" spans="1:19" s="3" customFormat="1" hidden="1" x14ac:dyDescent="0.25">
      <c r="A1473" s="30">
        <v>523</v>
      </c>
      <c r="B1473" s="24">
        <v>42587</v>
      </c>
      <c r="C1473" s="1">
        <v>103</v>
      </c>
      <c r="D1473" s="1">
        <v>3000032773</v>
      </c>
      <c r="E1473" s="18" t="s">
        <v>202</v>
      </c>
      <c r="F1473" s="1">
        <v>103</v>
      </c>
      <c r="G1473" s="25">
        <v>42576</v>
      </c>
      <c r="H1473" s="25"/>
      <c r="I1473" s="25">
        <v>42580</v>
      </c>
      <c r="J1473" s="1" t="s">
        <v>61</v>
      </c>
      <c r="K1473" s="77">
        <v>20.45</v>
      </c>
      <c r="L1473" s="1">
        <v>20.43</v>
      </c>
      <c r="M1473" s="1">
        <f t="shared" si="183"/>
        <v>20.43</v>
      </c>
      <c r="N1473" s="7">
        <f t="shared" si="182"/>
        <v>42599</v>
      </c>
      <c r="O1473" s="1">
        <v>1603280</v>
      </c>
      <c r="P1473" s="36">
        <f t="shared" si="180"/>
        <v>1601712</v>
      </c>
      <c r="Q1473" s="170">
        <v>42642</v>
      </c>
      <c r="R1473" s="66">
        <v>42643</v>
      </c>
      <c r="S1473" s="113">
        <f t="shared" si="181"/>
        <v>44</v>
      </c>
    </row>
    <row r="1474" spans="1:19" s="3" customFormat="1" hidden="1" x14ac:dyDescent="0.25">
      <c r="A1474" s="30">
        <v>645</v>
      </c>
      <c r="B1474" s="24">
        <v>42613</v>
      </c>
      <c r="C1474" s="1">
        <v>103</v>
      </c>
      <c r="D1474" s="1">
        <v>3000033774</v>
      </c>
      <c r="E1474" s="1" t="s">
        <v>202</v>
      </c>
      <c r="F1474" s="1">
        <v>117</v>
      </c>
      <c r="G1474" s="25">
        <v>42606</v>
      </c>
      <c r="H1474" s="25"/>
      <c r="I1474" s="25">
        <v>42610</v>
      </c>
      <c r="J1474" s="1" t="s">
        <v>61</v>
      </c>
      <c r="K1474" s="77">
        <v>16.03</v>
      </c>
      <c r="L1474" s="1">
        <v>15.99</v>
      </c>
      <c r="M1474" s="1">
        <f t="shared" si="183"/>
        <v>15.99</v>
      </c>
      <c r="N1474" s="7">
        <f t="shared" si="182"/>
        <v>42629</v>
      </c>
      <c r="O1474" s="1">
        <v>1667120</v>
      </c>
      <c r="P1474" s="36">
        <f t="shared" si="180"/>
        <v>1662959.9999999998</v>
      </c>
      <c r="Q1474" s="170">
        <v>42642</v>
      </c>
      <c r="R1474" s="66">
        <v>42643</v>
      </c>
      <c r="S1474" s="113">
        <f t="shared" si="181"/>
        <v>14</v>
      </c>
    </row>
    <row r="1475" spans="1:19" s="3" customFormat="1" hidden="1" x14ac:dyDescent="0.25">
      <c r="A1475" s="30">
        <v>520</v>
      </c>
      <c r="B1475" s="24">
        <v>42587</v>
      </c>
      <c r="C1475" s="1">
        <v>103</v>
      </c>
      <c r="D1475" s="1">
        <v>3000032318</v>
      </c>
      <c r="E1475" s="18" t="s">
        <v>169</v>
      </c>
      <c r="F1475" s="1">
        <v>131</v>
      </c>
      <c r="G1475" s="25">
        <v>42574</v>
      </c>
      <c r="H1475" s="25"/>
      <c r="I1475" s="25">
        <v>42579</v>
      </c>
      <c r="J1475" s="1" t="s">
        <v>61</v>
      </c>
      <c r="K1475" s="77">
        <v>20.52</v>
      </c>
      <c r="L1475" s="1">
        <v>20.45</v>
      </c>
      <c r="M1475" s="1">
        <f t="shared" si="183"/>
        <v>20.45</v>
      </c>
      <c r="N1475" s="7">
        <f t="shared" si="182"/>
        <v>42598</v>
      </c>
      <c r="O1475" s="1">
        <v>1590300</v>
      </c>
      <c r="P1475" s="36">
        <f t="shared" si="180"/>
        <v>1584875</v>
      </c>
      <c r="Q1475" s="170">
        <v>42642</v>
      </c>
      <c r="R1475" s="66">
        <v>42643</v>
      </c>
      <c r="S1475" s="113">
        <f t="shared" si="181"/>
        <v>45</v>
      </c>
    </row>
    <row r="1476" spans="1:19" s="3" customFormat="1" hidden="1" x14ac:dyDescent="0.25">
      <c r="A1476" s="30">
        <v>442</v>
      </c>
      <c r="B1476" s="24">
        <v>42584</v>
      </c>
      <c r="C1476" s="1">
        <v>103</v>
      </c>
      <c r="D1476" s="1">
        <v>3000032318</v>
      </c>
      <c r="E1476" s="18" t="s">
        <v>169</v>
      </c>
      <c r="F1476" s="1">
        <v>133</v>
      </c>
      <c r="G1476" s="25">
        <v>42574</v>
      </c>
      <c r="H1476" s="25"/>
      <c r="I1476" s="25">
        <v>42577</v>
      </c>
      <c r="J1476" s="1" t="s">
        <v>61</v>
      </c>
      <c r="K1476" s="77">
        <v>19.59</v>
      </c>
      <c r="L1476" s="1">
        <v>19.57</v>
      </c>
      <c r="M1476" s="1">
        <f t="shared" si="183"/>
        <v>19.57</v>
      </c>
      <c r="N1476" s="7">
        <f t="shared" si="182"/>
        <v>42596</v>
      </c>
      <c r="O1476" s="1">
        <v>1518225</v>
      </c>
      <c r="P1476" s="36">
        <f t="shared" si="180"/>
        <v>1516675</v>
      </c>
      <c r="Q1476" s="170">
        <v>42642</v>
      </c>
      <c r="R1476" s="66">
        <v>42643</v>
      </c>
      <c r="S1476" s="113">
        <f t="shared" si="181"/>
        <v>47</v>
      </c>
    </row>
    <row r="1477" spans="1:19" s="3" customFormat="1" hidden="1" x14ac:dyDescent="0.25">
      <c r="A1477" s="30">
        <v>453</v>
      </c>
      <c r="B1477" s="24">
        <v>42584</v>
      </c>
      <c r="C1477" s="1">
        <v>103</v>
      </c>
      <c r="D1477" s="1">
        <v>3000031817</v>
      </c>
      <c r="E1477" s="18" t="s">
        <v>158</v>
      </c>
      <c r="F1477" s="16">
        <v>51</v>
      </c>
      <c r="G1477" s="25">
        <v>42571</v>
      </c>
      <c r="H1477" s="25"/>
      <c r="I1477" s="25">
        <v>42578</v>
      </c>
      <c r="J1477" s="1" t="s">
        <v>61</v>
      </c>
      <c r="K1477" s="77">
        <v>13.08</v>
      </c>
      <c r="L1477" s="1">
        <v>13.08</v>
      </c>
      <c r="M1477" s="1">
        <f t="shared" si="183"/>
        <v>13.08</v>
      </c>
      <c r="N1477" s="7">
        <f t="shared" si="182"/>
        <v>42597</v>
      </c>
      <c r="O1477" s="1">
        <v>1055588</v>
      </c>
      <c r="P1477" s="36">
        <f t="shared" si="180"/>
        <v>1055588</v>
      </c>
      <c r="Q1477" s="170">
        <v>42642</v>
      </c>
      <c r="R1477" s="66">
        <v>42643</v>
      </c>
      <c r="S1477" s="113">
        <f t="shared" si="181"/>
        <v>46</v>
      </c>
    </row>
    <row r="1478" spans="1:19" s="3" customFormat="1" hidden="1" x14ac:dyDescent="0.25">
      <c r="A1478" s="30">
        <v>454</v>
      </c>
      <c r="B1478" s="24">
        <v>42584</v>
      </c>
      <c r="C1478" s="1">
        <v>103</v>
      </c>
      <c r="D1478" s="1">
        <v>3000032078</v>
      </c>
      <c r="E1478" s="18" t="s">
        <v>158</v>
      </c>
      <c r="F1478" s="16">
        <v>51</v>
      </c>
      <c r="G1478" s="25">
        <v>42571</v>
      </c>
      <c r="H1478" s="25"/>
      <c r="I1478" s="25">
        <v>42578</v>
      </c>
      <c r="J1478" s="1" t="s">
        <v>61</v>
      </c>
      <c r="K1478" s="77">
        <v>11.4</v>
      </c>
      <c r="L1478" s="1">
        <v>11.4</v>
      </c>
      <c r="M1478" s="1">
        <f t="shared" si="183"/>
        <v>11.4</v>
      </c>
      <c r="N1478" s="7">
        <f t="shared" si="182"/>
        <v>42597</v>
      </c>
      <c r="O1478" s="1">
        <v>905240</v>
      </c>
      <c r="P1478" s="36">
        <f t="shared" si="180"/>
        <v>905240</v>
      </c>
      <c r="Q1478" s="170">
        <v>42642</v>
      </c>
      <c r="R1478" s="66">
        <v>42643</v>
      </c>
      <c r="S1478" s="113">
        <f t="shared" si="181"/>
        <v>46</v>
      </c>
    </row>
    <row r="1479" spans="1:19" s="3" customFormat="1" hidden="1" x14ac:dyDescent="0.25">
      <c r="A1479" s="30">
        <v>575</v>
      </c>
      <c r="B1479" s="24">
        <v>42591</v>
      </c>
      <c r="C1479" s="1">
        <v>103</v>
      </c>
      <c r="D1479" s="1">
        <v>3000032061</v>
      </c>
      <c r="E1479" s="1" t="s">
        <v>225</v>
      </c>
      <c r="F1479" s="1">
        <v>78</v>
      </c>
      <c r="G1479" s="25">
        <v>42579</v>
      </c>
      <c r="H1479" s="25"/>
      <c r="I1479" s="25">
        <v>42588</v>
      </c>
      <c r="J1479" s="1" t="s">
        <v>61</v>
      </c>
      <c r="K1479" s="77">
        <v>20.13</v>
      </c>
      <c r="L1479" s="1">
        <v>20.07</v>
      </c>
      <c r="M1479" s="1">
        <f t="shared" si="183"/>
        <v>20.07</v>
      </c>
      <c r="N1479" s="7">
        <f>+I1479+10-1</f>
        <v>42597</v>
      </c>
      <c r="O1479" s="1">
        <v>1556049</v>
      </c>
      <c r="P1479" s="36">
        <f t="shared" si="180"/>
        <v>1551411</v>
      </c>
      <c r="Q1479" s="170">
        <v>42642</v>
      </c>
      <c r="R1479" s="66">
        <v>42643</v>
      </c>
      <c r="S1479" s="113">
        <f t="shared" si="181"/>
        <v>46</v>
      </c>
    </row>
    <row r="1480" spans="1:19" s="3" customFormat="1" hidden="1" x14ac:dyDescent="0.25">
      <c r="A1480" s="30">
        <v>572</v>
      </c>
      <c r="B1480" s="24">
        <v>42591</v>
      </c>
      <c r="C1480" s="1">
        <v>103</v>
      </c>
      <c r="D1480" s="1">
        <v>3000031939</v>
      </c>
      <c r="E1480" s="1" t="s">
        <v>159</v>
      </c>
      <c r="F1480" s="1">
        <v>415</v>
      </c>
      <c r="G1480" s="25">
        <v>42581</v>
      </c>
      <c r="H1480" s="25"/>
      <c r="I1480" s="25">
        <v>42585</v>
      </c>
      <c r="J1480" s="1" t="s">
        <v>61</v>
      </c>
      <c r="K1480" s="77">
        <v>20.84</v>
      </c>
      <c r="L1480" s="1">
        <v>20.79</v>
      </c>
      <c r="M1480" s="1">
        <f t="shared" si="183"/>
        <v>20.79</v>
      </c>
      <c r="N1480" s="7">
        <f t="shared" ref="N1480:N1509" si="184">+I1480+20-1</f>
        <v>42604</v>
      </c>
      <c r="O1480" s="1">
        <v>1615100</v>
      </c>
      <c r="P1480" s="36">
        <f t="shared" si="180"/>
        <v>1611225</v>
      </c>
      <c r="Q1480" s="170">
        <v>42642</v>
      </c>
      <c r="R1480" s="66">
        <v>42643</v>
      </c>
      <c r="S1480" s="113">
        <f t="shared" si="181"/>
        <v>39</v>
      </c>
    </row>
    <row r="1481" spans="1:19" s="3" customFormat="1" hidden="1" x14ac:dyDescent="0.25">
      <c r="A1481" s="30">
        <v>573</v>
      </c>
      <c r="B1481" s="24">
        <v>42591</v>
      </c>
      <c r="C1481" s="1">
        <v>103</v>
      </c>
      <c r="D1481" s="1">
        <v>3000031939</v>
      </c>
      <c r="E1481" s="1" t="s">
        <v>159</v>
      </c>
      <c r="F1481" s="1">
        <v>417</v>
      </c>
      <c r="G1481" s="25">
        <v>42581</v>
      </c>
      <c r="H1481" s="25"/>
      <c r="I1481" s="25">
        <v>42585</v>
      </c>
      <c r="J1481" s="1" t="s">
        <v>61</v>
      </c>
      <c r="K1481" s="77">
        <v>20.34</v>
      </c>
      <c r="L1481" s="1">
        <v>20.29</v>
      </c>
      <c r="M1481" s="1">
        <f t="shared" si="183"/>
        <v>20.29</v>
      </c>
      <c r="N1481" s="7">
        <f t="shared" si="184"/>
        <v>42604</v>
      </c>
      <c r="O1481" s="1">
        <v>1576350</v>
      </c>
      <c r="P1481" s="36">
        <f t="shared" si="180"/>
        <v>1572475</v>
      </c>
      <c r="Q1481" s="170">
        <v>42642</v>
      </c>
      <c r="R1481" s="66">
        <v>42643</v>
      </c>
      <c r="S1481" s="113">
        <f t="shared" si="181"/>
        <v>39</v>
      </c>
    </row>
    <row r="1482" spans="1:19" s="3" customFormat="1" hidden="1" x14ac:dyDescent="0.25">
      <c r="A1482" s="30">
        <v>564</v>
      </c>
      <c r="B1482" s="24">
        <v>42591</v>
      </c>
      <c r="C1482" s="1">
        <v>103</v>
      </c>
      <c r="D1482" s="1">
        <v>3000031837</v>
      </c>
      <c r="E1482" s="1" t="s">
        <v>60</v>
      </c>
      <c r="F1482" s="1">
        <v>452</v>
      </c>
      <c r="G1482" s="25">
        <v>42584</v>
      </c>
      <c r="H1482" s="25"/>
      <c r="I1482" s="25">
        <v>42588</v>
      </c>
      <c r="J1482" s="1" t="s">
        <v>61</v>
      </c>
      <c r="K1482" s="77">
        <v>20.38</v>
      </c>
      <c r="L1482" s="1">
        <v>20.329999999999998</v>
      </c>
      <c r="M1482" s="1">
        <f t="shared" si="183"/>
        <v>20.329999999999998</v>
      </c>
      <c r="N1482" s="7">
        <f t="shared" si="184"/>
        <v>42607</v>
      </c>
      <c r="O1482" s="1">
        <v>1544727</v>
      </c>
      <c r="P1482" s="36">
        <f t="shared" ref="P1482:P1513" si="185">(+O1482/K1482*M1482)</f>
        <v>1540937.1889106969</v>
      </c>
      <c r="Q1482" s="170">
        <v>42642</v>
      </c>
      <c r="R1482" s="66">
        <v>42643</v>
      </c>
      <c r="S1482" s="113">
        <f t="shared" si="181"/>
        <v>36</v>
      </c>
    </row>
    <row r="1483" spans="1:19" s="3" customFormat="1" hidden="1" x14ac:dyDescent="0.25">
      <c r="A1483" s="30">
        <v>566</v>
      </c>
      <c r="B1483" s="24">
        <v>42591</v>
      </c>
      <c r="C1483" s="1">
        <v>103</v>
      </c>
      <c r="D1483" s="1">
        <v>3000031837</v>
      </c>
      <c r="E1483" s="1" t="s">
        <v>60</v>
      </c>
      <c r="F1483" s="1">
        <v>458</v>
      </c>
      <c r="G1483" s="25">
        <v>42586</v>
      </c>
      <c r="H1483" s="25"/>
      <c r="I1483" s="25">
        <v>42590</v>
      </c>
      <c r="J1483" s="1" t="s">
        <v>61</v>
      </c>
      <c r="K1483" s="77">
        <v>17.18</v>
      </c>
      <c r="L1483" s="1">
        <v>17.14</v>
      </c>
      <c r="M1483" s="1">
        <f t="shared" si="183"/>
        <v>17.14</v>
      </c>
      <c r="N1483" s="7">
        <f t="shared" si="184"/>
        <v>42609</v>
      </c>
      <c r="O1483" s="1">
        <v>1302179</v>
      </c>
      <c r="P1483" s="36">
        <f t="shared" si="185"/>
        <v>1299147.1513387661</v>
      </c>
      <c r="Q1483" s="170">
        <v>42642</v>
      </c>
      <c r="R1483" s="66">
        <v>42643</v>
      </c>
      <c r="S1483" s="113">
        <f t="shared" si="181"/>
        <v>34</v>
      </c>
    </row>
    <row r="1484" spans="1:19" s="3" customFormat="1" hidden="1" x14ac:dyDescent="0.25">
      <c r="A1484" s="30">
        <v>582</v>
      </c>
      <c r="B1484" s="24">
        <v>42594</v>
      </c>
      <c r="C1484" s="1">
        <v>103</v>
      </c>
      <c r="D1484" s="1">
        <v>3000031709</v>
      </c>
      <c r="E1484" s="1" t="s">
        <v>60</v>
      </c>
      <c r="F1484" s="1">
        <v>459</v>
      </c>
      <c r="G1484" s="25">
        <v>42586</v>
      </c>
      <c r="H1484" s="25"/>
      <c r="I1484" s="25">
        <v>42591</v>
      </c>
      <c r="J1484" s="1" t="s">
        <v>61</v>
      </c>
      <c r="K1484" s="77">
        <v>15.96</v>
      </c>
      <c r="L1484" s="1">
        <v>15.91</v>
      </c>
      <c r="M1484" s="1">
        <f t="shared" si="183"/>
        <v>15.91</v>
      </c>
      <c r="N1484" s="7">
        <f t="shared" si="184"/>
        <v>42610</v>
      </c>
      <c r="O1484" s="1">
        <v>1267173</v>
      </c>
      <c r="P1484" s="36">
        <f t="shared" si="185"/>
        <v>1263203.1597744361</v>
      </c>
      <c r="Q1484" s="170">
        <v>42642</v>
      </c>
      <c r="R1484" s="66">
        <v>42643</v>
      </c>
      <c r="S1484" s="113">
        <f t="shared" si="181"/>
        <v>33</v>
      </c>
    </row>
    <row r="1485" spans="1:19" s="3" customFormat="1" hidden="1" x14ac:dyDescent="0.25">
      <c r="A1485" s="30">
        <v>567</v>
      </c>
      <c r="B1485" s="24">
        <v>42591</v>
      </c>
      <c r="C1485" s="1">
        <v>103</v>
      </c>
      <c r="D1485" s="1">
        <v>3000031709</v>
      </c>
      <c r="E1485" s="1" t="s">
        <v>60</v>
      </c>
      <c r="F1485" s="1">
        <v>460</v>
      </c>
      <c r="G1485" s="25">
        <v>42586</v>
      </c>
      <c r="H1485" s="25"/>
      <c r="I1485" s="25">
        <v>42590</v>
      </c>
      <c r="J1485" s="1" t="s">
        <v>61</v>
      </c>
      <c r="K1485" s="77">
        <v>17.32</v>
      </c>
      <c r="L1485" s="1">
        <v>17.28</v>
      </c>
      <c r="M1485" s="1">
        <f t="shared" si="183"/>
        <v>17.28</v>
      </c>
      <c r="N1485" s="7">
        <f t="shared" si="184"/>
        <v>42609</v>
      </c>
      <c r="O1485" s="1">
        <v>1375153</v>
      </c>
      <c r="P1485" s="36">
        <f t="shared" si="185"/>
        <v>1371977.1270207854</v>
      </c>
      <c r="Q1485" s="170">
        <v>42642</v>
      </c>
      <c r="R1485" s="66">
        <v>42643</v>
      </c>
      <c r="S1485" s="113">
        <f t="shared" si="181"/>
        <v>34</v>
      </c>
    </row>
    <row r="1486" spans="1:19" s="3" customFormat="1" hidden="1" x14ac:dyDescent="0.25">
      <c r="A1486" s="30">
        <v>583</v>
      </c>
      <c r="B1486" s="24">
        <v>42594</v>
      </c>
      <c r="C1486" s="1">
        <v>103</v>
      </c>
      <c r="D1486" s="1">
        <v>3000031709</v>
      </c>
      <c r="E1486" s="1" t="s">
        <v>60</v>
      </c>
      <c r="F1486" s="1">
        <v>470</v>
      </c>
      <c r="G1486" s="25">
        <v>42588</v>
      </c>
      <c r="H1486" s="25"/>
      <c r="I1486" s="25">
        <v>42591</v>
      </c>
      <c r="J1486" s="1" t="s">
        <v>61</v>
      </c>
      <c r="K1486" s="77">
        <v>20.53</v>
      </c>
      <c r="L1486" s="1">
        <v>20.48</v>
      </c>
      <c r="M1486" s="1">
        <f t="shared" si="183"/>
        <v>20.48</v>
      </c>
      <c r="N1486" s="7">
        <f t="shared" si="184"/>
        <v>42610</v>
      </c>
      <c r="O1486" s="1">
        <v>1630016</v>
      </c>
      <c r="P1486" s="36">
        <f t="shared" si="185"/>
        <v>1626046.1607403799</v>
      </c>
      <c r="Q1486" s="170">
        <v>42642</v>
      </c>
      <c r="R1486" s="66">
        <v>42643</v>
      </c>
      <c r="S1486" s="113">
        <f t="shared" si="181"/>
        <v>33</v>
      </c>
    </row>
    <row r="1487" spans="1:19" s="3" customFormat="1" hidden="1" x14ac:dyDescent="0.25">
      <c r="A1487" s="30">
        <v>620</v>
      </c>
      <c r="B1487" s="24">
        <v>42605</v>
      </c>
      <c r="C1487" s="1">
        <v>103</v>
      </c>
      <c r="D1487" s="1">
        <v>3000033126</v>
      </c>
      <c r="E1487" s="1" t="s">
        <v>145</v>
      </c>
      <c r="F1487" s="1">
        <v>49</v>
      </c>
      <c r="G1487" s="25">
        <v>42582</v>
      </c>
      <c r="H1487" s="25"/>
      <c r="I1487" s="25">
        <v>42596</v>
      </c>
      <c r="J1487" s="1" t="s">
        <v>61</v>
      </c>
      <c r="K1487" s="77">
        <v>19.86</v>
      </c>
      <c r="L1487" s="1">
        <v>19.78</v>
      </c>
      <c r="M1487" s="1">
        <f t="shared" si="183"/>
        <v>19.78</v>
      </c>
      <c r="N1487" s="7">
        <f t="shared" si="184"/>
        <v>42615</v>
      </c>
      <c r="O1487" s="1">
        <v>1608625</v>
      </c>
      <c r="P1487" s="36">
        <f t="shared" si="185"/>
        <v>1602145.1409869085</v>
      </c>
      <c r="Q1487" s="170">
        <v>42642</v>
      </c>
      <c r="R1487" s="66">
        <v>42643</v>
      </c>
      <c r="S1487" s="113">
        <f t="shared" si="181"/>
        <v>28</v>
      </c>
    </row>
    <row r="1488" spans="1:19" s="3" customFormat="1" hidden="1" x14ac:dyDescent="0.25">
      <c r="A1488" s="30">
        <v>621</v>
      </c>
      <c r="B1488" s="24">
        <v>42605</v>
      </c>
      <c r="C1488" s="1">
        <v>103</v>
      </c>
      <c r="D1488" s="1">
        <v>3000033126</v>
      </c>
      <c r="E1488" s="1" t="s">
        <v>145</v>
      </c>
      <c r="F1488" s="1">
        <v>50</v>
      </c>
      <c r="G1488" s="25">
        <v>42585</v>
      </c>
      <c r="H1488" s="25"/>
      <c r="I1488" s="25">
        <v>42599</v>
      </c>
      <c r="J1488" s="1" t="s">
        <v>61</v>
      </c>
      <c r="K1488" s="77">
        <v>19.62</v>
      </c>
      <c r="L1488" s="1">
        <v>19.579999999999998</v>
      </c>
      <c r="M1488" s="1">
        <f t="shared" si="183"/>
        <v>19.579999999999998</v>
      </c>
      <c r="N1488" s="7">
        <f t="shared" si="184"/>
        <v>42618</v>
      </c>
      <c r="O1488" s="1">
        <v>1589184</v>
      </c>
      <c r="P1488" s="36">
        <f t="shared" si="185"/>
        <v>1585944.0733944953</v>
      </c>
      <c r="Q1488" s="170">
        <v>42642</v>
      </c>
      <c r="R1488" s="66">
        <v>42643</v>
      </c>
      <c r="S1488" s="113">
        <f t="shared" si="181"/>
        <v>25</v>
      </c>
    </row>
    <row r="1489" spans="1:22" s="3" customFormat="1" hidden="1" x14ac:dyDescent="0.25">
      <c r="A1489" s="30">
        <v>633</v>
      </c>
      <c r="B1489" s="24">
        <v>42607</v>
      </c>
      <c r="C1489" s="1">
        <v>103</v>
      </c>
      <c r="D1489" s="1">
        <v>3000032312</v>
      </c>
      <c r="E1489" s="1" t="s">
        <v>199</v>
      </c>
      <c r="F1489" s="1">
        <v>5759</v>
      </c>
      <c r="G1489" s="25">
        <v>42601</v>
      </c>
      <c r="H1489" s="25"/>
      <c r="I1489" s="25">
        <v>42605</v>
      </c>
      <c r="J1489" s="1" t="s">
        <v>61</v>
      </c>
      <c r="K1489" s="77">
        <v>19.649999999999999</v>
      </c>
      <c r="L1489" s="1">
        <v>19.559999999999999</v>
      </c>
      <c r="M1489" s="1">
        <f t="shared" si="183"/>
        <v>19.559999999999999</v>
      </c>
      <c r="N1489" s="7">
        <f t="shared" si="184"/>
        <v>42624</v>
      </c>
      <c r="O1489" s="1">
        <v>1606633</v>
      </c>
      <c r="P1489" s="36">
        <f t="shared" si="185"/>
        <v>1599274.3755725191</v>
      </c>
      <c r="Q1489" s="170">
        <v>42642</v>
      </c>
      <c r="R1489" s="66">
        <v>42643</v>
      </c>
      <c r="S1489" s="113">
        <f t="shared" si="181"/>
        <v>19</v>
      </c>
    </row>
    <row r="1490" spans="1:22" s="3" customFormat="1" hidden="1" x14ac:dyDescent="0.25">
      <c r="A1490" s="30">
        <v>639</v>
      </c>
      <c r="B1490" s="24">
        <v>42611</v>
      </c>
      <c r="C1490" s="1">
        <v>103</v>
      </c>
      <c r="D1490" s="1">
        <v>3000032995</v>
      </c>
      <c r="E1490" s="1" t="s">
        <v>260</v>
      </c>
      <c r="F1490" s="1">
        <v>45</v>
      </c>
      <c r="G1490" s="25">
        <v>42604</v>
      </c>
      <c r="H1490" s="25"/>
      <c r="I1490" s="25">
        <v>42606</v>
      </c>
      <c r="J1490" s="1" t="s">
        <v>61</v>
      </c>
      <c r="K1490" s="77">
        <v>20.085000000000001</v>
      </c>
      <c r="L1490" s="1">
        <v>20.02</v>
      </c>
      <c r="M1490" s="1">
        <f t="shared" si="183"/>
        <v>20.02</v>
      </c>
      <c r="N1490" s="7">
        <f t="shared" si="184"/>
        <v>42625</v>
      </c>
      <c r="O1490" s="1">
        <v>1663389</v>
      </c>
      <c r="P1490" s="36">
        <f t="shared" si="185"/>
        <v>1658005.8640776698</v>
      </c>
      <c r="Q1490" s="170">
        <v>42642</v>
      </c>
      <c r="R1490" s="66">
        <v>42643</v>
      </c>
      <c r="S1490" s="113">
        <f t="shared" si="181"/>
        <v>18</v>
      </c>
      <c r="T1490" s="15" t="s">
        <v>321</v>
      </c>
      <c r="U1490" s="15"/>
      <c r="V1490" s="15"/>
    </row>
    <row r="1491" spans="1:22" s="41" customFormat="1" hidden="1" x14ac:dyDescent="0.25">
      <c r="A1491" s="146">
        <v>394</v>
      </c>
      <c r="B1491" s="60">
        <v>42578</v>
      </c>
      <c r="C1491" s="18">
        <v>103</v>
      </c>
      <c r="D1491" s="18">
        <v>3000032224</v>
      </c>
      <c r="E1491" s="18" t="s">
        <v>192</v>
      </c>
      <c r="F1491" s="18">
        <v>24</v>
      </c>
      <c r="G1491" s="61">
        <v>42570</v>
      </c>
      <c r="H1491" s="61"/>
      <c r="I1491" s="61">
        <v>42574</v>
      </c>
      <c r="J1491" s="18" t="s">
        <v>61</v>
      </c>
      <c r="K1491" s="149">
        <v>17</v>
      </c>
      <c r="L1491" s="18">
        <v>16.97</v>
      </c>
      <c r="M1491" s="18">
        <f t="shared" si="183"/>
        <v>16.97</v>
      </c>
      <c r="N1491" s="62">
        <f t="shared" si="184"/>
        <v>42593</v>
      </c>
      <c r="O1491" s="18">
        <v>1326000</v>
      </c>
      <c r="P1491" s="38">
        <f t="shared" si="185"/>
        <v>1323660</v>
      </c>
      <c r="Q1491" s="170">
        <v>42646</v>
      </c>
      <c r="R1491" s="66">
        <v>42647</v>
      </c>
      <c r="S1491" s="113">
        <f t="shared" si="181"/>
        <v>54</v>
      </c>
    </row>
    <row r="1492" spans="1:22" s="41" customFormat="1" hidden="1" x14ac:dyDescent="0.25">
      <c r="A1492" s="146">
        <v>450</v>
      </c>
      <c r="B1492" s="60">
        <v>42584</v>
      </c>
      <c r="C1492" s="18">
        <v>103</v>
      </c>
      <c r="D1492" s="18">
        <v>3000032781</v>
      </c>
      <c r="E1492" s="18" t="s">
        <v>227</v>
      </c>
      <c r="F1492" s="18">
        <v>31</v>
      </c>
      <c r="G1492" s="61">
        <v>42572</v>
      </c>
      <c r="H1492" s="61"/>
      <c r="I1492" s="61">
        <v>42577</v>
      </c>
      <c r="J1492" s="18" t="s">
        <v>61</v>
      </c>
      <c r="K1492" s="149">
        <v>20.43</v>
      </c>
      <c r="L1492" s="18">
        <v>20.350000000000001</v>
      </c>
      <c r="M1492" s="18">
        <f t="shared" si="183"/>
        <v>20.350000000000001</v>
      </c>
      <c r="N1492" s="62">
        <f t="shared" si="184"/>
        <v>42596</v>
      </c>
      <c r="O1492" s="18">
        <v>1601720</v>
      </c>
      <c r="P1492" s="38">
        <f t="shared" si="185"/>
        <v>1595447.9686735196</v>
      </c>
      <c r="Q1492" s="170">
        <v>42646</v>
      </c>
      <c r="R1492" s="66">
        <v>42647</v>
      </c>
      <c r="S1492" s="113">
        <f t="shared" si="181"/>
        <v>51</v>
      </c>
    </row>
    <row r="1493" spans="1:22" s="41" customFormat="1" hidden="1" x14ac:dyDescent="0.25">
      <c r="A1493" s="146">
        <v>444</v>
      </c>
      <c r="B1493" s="60">
        <v>42584</v>
      </c>
      <c r="C1493" s="18">
        <v>103</v>
      </c>
      <c r="D1493" s="18">
        <v>3000032776</v>
      </c>
      <c r="E1493" s="18" t="s">
        <v>180</v>
      </c>
      <c r="F1493" s="18">
        <v>186</v>
      </c>
      <c r="G1493" s="61">
        <v>42574</v>
      </c>
      <c r="H1493" s="61"/>
      <c r="I1493" s="61">
        <v>42577</v>
      </c>
      <c r="J1493" s="18" t="s">
        <v>61</v>
      </c>
      <c r="K1493" s="149">
        <v>20.43</v>
      </c>
      <c r="L1493" s="18">
        <v>20.38</v>
      </c>
      <c r="M1493" s="18">
        <f t="shared" si="183"/>
        <v>20.38</v>
      </c>
      <c r="N1493" s="62">
        <f t="shared" si="184"/>
        <v>42596</v>
      </c>
      <c r="O1493" s="18">
        <v>1601720</v>
      </c>
      <c r="P1493" s="38">
        <f t="shared" si="185"/>
        <v>1597799.9804209496</v>
      </c>
      <c r="Q1493" s="170">
        <v>42646</v>
      </c>
      <c r="R1493" s="66">
        <v>42647</v>
      </c>
      <c r="S1493" s="113">
        <f t="shared" si="181"/>
        <v>51</v>
      </c>
    </row>
    <row r="1494" spans="1:22" s="41" customFormat="1" hidden="1" x14ac:dyDescent="0.25">
      <c r="A1494" s="146">
        <v>514</v>
      </c>
      <c r="B1494" s="60">
        <v>42587</v>
      </c>
      <c r="C1494" s="18">
        <v>103</v>
      </c>
      <c r="D1494" s="18">
        <v>3000032776</v>
      </c>
      <c r="E1494" s="18" t="s">
        <v>180</v>
      </c>
      <c r="F1494" s="18">
        <v>192</v>
      </c>
      <c r="G1494" s="61">
        <v>42575</v>
      </c>
      <c r="H1494" s="61"/>
      <c r="I1494" s="61">
        <v>42579</v>
      </c>
      <c r="J1494" s="18" t="s">
        <v>61</v>
      </c>
      <c r="K1494" s="149">
        <v>20.14</v>
      </c>
      <c r="L1494" s="18">
        <v>20.11</v>
      </c>
      <c r="M1494" s="18">
        <f t="shared" si="183"/>
        <v>20.11</v>
      </c>
      <c r="N1494" s="62">
        <f t="shared" si="184"/>
        <v>42598</v>
      </c>
      <c r="O1494" s="18">
        <v>1579000</v>
      </c>
      <c r="P1494" s="38">
        <f t="shared" si="185"/>
        <v>1576647.9642502482</v>
      </c>
      <c r="Q1494" s="170">
        <v>42646</v>
      </c>
      <c r="R1494" s="66">
        <v>42647</v>
      </c>
      <c r="S1494" s="113">
        <f t="shared" si="181"/>
        <v>49</v>
      </c>
    </row>
    <row r="1495" spans="1:22" s="41" customFormat="1" hidden="1" x14ac:dyDescent="0.25">
      <c r="A1495" s="146">
        <v>448</v>
      </c>
      <c r="B1495" s="60">
        <v>42584</v>
      </c>
      <c r="C1495" s="18">
        <v>103</v>
      </c>
      <c r="D1495" s="18">
        <v>3000032647</v>
      </c>
      <c r="E1495" s="18" t="s">
        <v>267</v>
      </c>
      <c r="F1495" s="18">
        <v>14</v>
      </c>
      <c r="G1495" s="61">
        <v>42574</v>
      </c>
      <c r="H1495" s="61"/>
      <c r="I1495" s="61">
        <v>42577</v>
      </c>
      <c r="J1495" s="18" t="s">
        <v>61</v>
      </c>
      <c r="K1495" s="149">
        <v>19.78</v>
      </c>
      <c r="L1495" s="18">
        <v>19.71</v>
      </c>
      <c r="M1495" s="18">
        <f t="shared" si="183"/>
        <v>19.71</v>
      </c>
      <c r="N1495" s="62">
        <f t="shared" si="184"/>
        <v>42596</v>
      </c>
      <c r="O1495" s="18">
        <v>1538880</v>
      </c>
      <c r="P1495" s="38">
        <f t="shared" si="185"/>
        <v>1533434.0141557129</v>
      </c>
      <c r="Q1495" s="170">
        <v>42646</v>
      </c>
      <c r="R1495" s="66">
        <v>42647</v>
      </c>
      <c r="S1495" s="113">
        <f t="shared" si="181"/>
        <v>51</v>
      </c>
    </row>
    <row r="1496" spans="1:22" s="41" customFormat="1" hidden="1" x14ac:dyDescent="0.25">
      <c r="A1496" s="146">
        <v>674</v>
      </c>
      <c r="B1496" s="60">
        <v>42621</v>
      </c>
      <c r="C1496" s="18">
        <v>103</v>
      </c>
      <c r="D1496" s="18">
        <v>3000032222</v>
      </c>
      <c r="E1496" s="18" t="s">
        <v>184</v>
      </c>
      <c r="F1496" s="18">
        <v>143</v>
      </c>
      <c r="G1496" s="61">
        <v>42612</v>
      </c>
      <c r="H1496" s="61"/>
      <c r="I1496" s="61">
        <v>42616</v>
      </c>
      <c r="J1496" s="18" t="s">
        <v>61</v>
      </c>
      <c r="K1496" s="149">
        <v>16.079999999999998</v>
      </c>
      <c r="L1496" s="18">
        <v>16.059999999999999</v>
      </c>
      <c r="M1496" s="18">
        <f t="shared" si="183"/>
        <v>16.059999999999999</v>
      </c>
      <c r="N1496" s="62">
        <f t="shared" si="184"/>
        <v>42635</v>
      </c>
      <c r="O1496" s="18">
        <v>1254393</v>
      </c>
      <c r="P1496" s="38">
        <f t="shared" si="185"/>
        <v>1252832.8097014925</v>
      </c>
      <c r="Q1496" s="170">
        <v>42646</v>
      </c>
      <c r="R1496" s="66">
        <v>42647</v>
      </c>
      <c r="S1496" s="113">
        <f t="shared" si="181"/>
        <v>12</v>
      </c>
    </row>
    <row r="1497" spans="1:22" s="41" customFormat="1" hidden="1" x14ac:dyDescent="0.25">
      <c r="A1497" s="146">
        <v>440</v>
      </c>
      <c r="B1497" s="60">
        <v>42584</v>
      </c>
      <c r="C1497" s="18">
        <v>103</v>
      </c>
      <c r="D1497" s="18">
        <v>3000032771</v>
      </c>
      <c r="E1497" s="18" t="s">
        <v>184</v>
      </c>
      <c r="F1497" s="18">
        <v>118</v>
      </c>
      <c r="G1497" s="61">
        <v>42574</v>
      </c>
      <c r="H1497" s="61"/>
      <c r="I1497" s="61">
        <v>42578</v>
      </c>
      <c r="J1497" s="18" t="s">
        <v>61</v>
      </c>
      <c r="K1497" s="149">
        <v>16.25</v>
      </c>
      <c r="L1497" s="18">
        <v>16.22</v>
      </c>
      <c r="M1497" s="18">
        <f t="shared" si="183"/>
        <v>16.22</v>
      </c>
      <c r="N1497" s="62">
        <f t="shared" si="184"/>
        <v>42597</v>
      </c>
      <c r="O1497" s="18">
        <v>1272159</v>
      </c>
      <c r="P1497" s="38">
        <f t="shared" si="185"/>
        <v>1269810.3987692308</v>
      </c>
      <c r="Q1497" s="170">
        <v>42646</v>
      </c>
      <c r="R1497" s="66">
        <v>42647</v>
      </c>
      <c r="S1497" s="113">
        <f t="shared" si="181"/>
        <v>50</v>
      </c>
    </row>
    <row r="1498" spans="1:22" s="41" customFormat="1" hidden="1" x14ac:dyDescent="0.25">
      <c r="A1498" s="146">
        <v>568</v>
      </c>
      <c r="B1498" s="60">
        <v>42591</v>
      </c>
      <c r="C1498" s="18">
        <v>103</v>
      </c>
      <c r="D1498" s="18">
        <v>3000032771</v>
      </c>
      <c r="E1498" s="18" t="s">
        <v>184</v>
      </c>
      <c r="F1498" s="18">
        <v>128</v>
      </c>
      <c r="G1498" s="61">
        <v>42583</v>
      </c>
      <c r="H1498" s="61"/>
      <c r="I1498" s="61">
        <v>42588</v>
      </c>
      <c r="J1498" s="18" t="s">
        <v>61</v>
      </c>
      <c r="K1498" s="149">
        <v>23.274999999999999</v>
      </c>
      <c r="L1498" s="18">
        <v>23.25</v>
      </c>
      <c r="M1498" s="18">
        <f t="shared" si="183"/>
        <v>23.25</v>
      </c>
      <c r="N1498" s="62">
        <f t="shared" si="184"/>
        <v>42607</v>
      </c>
      <c r="O1498" s="18">
        <v>1824931</v>
      </c>
      <c r="P1498" s="38">
        <f t="shared" si="185"/>
        <v>1822970.8163265309</v>
      </c>
      <c r="Q1498" s="170">
        <v>42646</v>
      </c>
      <c r="R1498" s="66">
        <v>42647</v>
      </c>
      <c r="S1498" s="113">
        <f t="shared" si="181"/>
        <v>40</v>
      </c>
    </row>
    <row r="1499" spans="1:22" s="41" customFormat="1" hidden="1" x14ac:dyDescent="0.25">
      <c r="A1499" s="146">
        <v>498</v>
      </c>
      <c r="B1499" s="60">
        <v>42587</v>
      </c>
      <c r="C1499" s="18">
        <v>103</v>
      </c>
      <c r="D1499" s="18">
        <v>3000032228</v>
      </c>
      <c r="E1499" s="18" t="s">
        <v>171</v>
      </c>
      <c r="F1499" s="154">
        <v>32</v>
      </c>
      <c r="G1499" s="61">
        <v>42575</v>
      </c>
      <c r="H1499" s="61"/>
      <c r="I1499" s="61">
        <v>42578</v>
      </c>
      <c r="J1499" s="18" t="s">
        <v>61</v>
      </c>
      <c r="K1499" s="149">
        <v>10.39</v>
      </c>
      <c r="L1499" s="18">
        <v>10.33</v>
      </c>
      <c r="M1499" s="18">
        <f t="shared" si="183"/>
        <v>10.33</v>
      </c>
      <c r="N1499" s="62">
        <f t="shared" si="184"/>
        <v>42597</v>
      </c>
      <c r="O1499" s="18">
        <v>810503</v>
      </c>
      <c r="P1499" s="38">
        <f t="shared" si="185"/>
        <v>805822.52069297386</v>
      </c>
      <c r="Q1499" s="170">
        <v>42646</v>
      </c>
      <c r="R1499" s="66">
        <v>42647</v>
      </c>
      <c r="S1499" s="113">
        <f t="shared" si="181"/>
        <v>50</v>
      </c>
    </row>
    <row r="1500" spans="1:22" s="41" customFormat="1" hidden="1" x14ac:dyDescent="0.25">
      <c r="A1500" s="146">
        <v>499</v>
      </c>
      <c r="B1500" s="60">
        <v>42587</v>
      </c>
      <c r="C1500" s="18">
        <v>103</v>
      </c>
      <c r="D1500" s="18">
        <v>3000032317</v>
      </c>
      <c r="E1500" s="18" t="s">
        <v>171</v>
      </c>
      <c r="F1500" s="154">
        <v>33</v>
      </c>
      <c r="G1500" s="61">
        <v>42575</v>
      </c>
      <c r="H1500" s="61"/>
      <c r="I1500" s="61">
        <v>42578</v>
      </c>
      <c r="J1500" s="18" t="s">
        <v>61</v>
      </c>
      <c r="K1500" s="149">
        <v>10</v>
      </c>
      <c r="L1500" s="18">
        <v>10</v>
      </c>
      <c r="M1500" s="18">
        <f t="shared" si="183"/>
        <v>10</v>
      </c>
      <c r="N1500" s="62">
        <f t="shared" si="184"/>
        <v>42597</v>
      </c>
      <c r="O1500" s="18">
        <v>774996</v>
      </c>
      <c r="P1500" s="38">
        <f t="shared" si="185"/>
        <v>774996</v>
      </c>
      <c r="Q1500" s="170">
        <v>42646</v>
      </c>
      <c r="R1500" s="66">
        <v>42647</v>
      </c>
      <c r="S1500" s="113">
        <f t="shared" si="181"/>
        <v>50</v>
      </c>
    </row>
    <row r="1501" spans="1:22" s="41" customFormat="1" hidden="1" x14ac:dyDescent="0.25">
      <c r="A1501" s="146">
        <v>503</v>
      </c>
      <c r="B1501" s="60">
        <v>42587</v>
      </c>
      <c r="C1501" s="18">
        <v>103</v>
      </c>
      <c r="D1501" s="18">
        <v>3000032226</v>
      </c>
      <c r="E1501" s="18" t="s">
        <v>158</v>
      </c>
      <c r="F1501" s="154">
        <v>66</v>
      </c>
      <c r="G1501" s="61">
        <v>42575</v>
      </c>
      <c r="H1501" s="61"/>
      <c r="I1501" s="61">
        <v>42579</v>
      </c>
      <c r="J1501" s="18" t="s">
        <v>61</v>
      </c>
      <c r="K1501" s="149">
        <v>6.73</v>
      </c>
      <c r="L1501" s="18">
        <v>6.71</v>
      </c>
      <c r="M1501" s="18">
        <f t="shared" si="183"/>
        <v>6.71</v>
      </c>
      <c r="N1501" s="62">
        <f t="shared" si="184"/>
        <v>42598</v>
      </c>
      <c r="O1501" s="18">
        <v>524936</v>
      </c>
      <c r="P1501" s="38">
        <f t="shared" si="185"/>
        <v>523376.01188707276</v>
      </c>
      <c r="Q1501" s="170">
        <v>42646</v>
      </c>
      <c r="R1501" s="66">
        <v>42647</v>
      </c>
      <c r="S1501" s="113">
        <f t="shared" si="181"/>
        <v>49</v>
      </c>
    </row>
    <row r="1502" spans="1:22" s="41" customFormat="1" hidden="1" x14ac:dyDescent="0.25">
      <c r="A1502" s="146">
        <v>504</v>
      </c>
      <c r="B1502" s="60">
        <v>42587</v>
      </c>
      <c r="C1502" s="18">
        <v>103</v>
      </c>
      <c r="D1502" s="18">
        <v>3000032314</v>
      </c>
      <c r="E1502" s="18" t="s">
        <v>158</v>
      </c>
      <c r="F1502" s="154">
        <v>66</v>
      </c>
      <c r="G1502" s="61">
        <v>42575</v>
      </c>
      <c r="H1502" s="61"/>
      <c r="I1502" s="61">
        <v>42579</v>
      </c>
      <c r="J1502" s="18" t="s">
        <v>61</v>
      </c>
      <c r="K1502" s="149">
        <v>13.46</v>
      </c>
      <c r="L1502" s="18">
        <v>13.46</v>
      </c>
      <c r="M1502" s="18">
        <f t="shared" si="183"/>
        <v>13.46</v>
      </c>
      <c r="N1502" s="62">
        <f t="shared" si="184"/>
        <v>42598</v>
      </c>
      <c r="O1502" s="18">
        <v>1043114</v>
      </c>
      <c r="P1502" s="38">
        <f t="shared" si="185"/>
        <v>1043114</v>
      </c>
      <c r="Q1502" s="170">
        <v>42646</v>
      </c>
      <c r="R1502" s="66">
        <v>42647</v>
      </c>
      <c r="S1502" s="113">
        <f t="shared" si="181"/>
        <v>49</v>
      </c>
    </row>
    <row r="1503" spans="1:22" s="41" customFormat="1" hidden="1" x14ac:dyDescent="0.25">
      <c r="A1503" s="146">
        <v>496</v>
      </c>
      <c r="B1503" s="60">
        <v>42587</v>
      </c>
      <c r="C1503" s="18">
        <v>103</v>
      </c>
      <c r="D1503" s="18">
        <v>3000032778</v>
      </c>
      <c r="E1503" s="18" t="s">
        <v>213</v>
      </c>
      <c r="F1503" s="18">
        <v>111</v>
      </c>
      <c r="G1503" s="61">
        <v>42575</v>
      </c>
      <c r="H1503" s="61"/>
      <c r="I1503" s="61">
        <v>42579</v>
      </c>
      <c r="J1503" s="18" t="s">
        <v>61</v>
      </c>
      <c r="K1503" s="149">
        <v>19.64</v>
      </c>
      <c r="L1503" s="18">
        <v>19.57</v>
      </c>
      <c r="M1503" s="18">
        <f t="shared" si="183"/>
        <v>19.57</v>
      </c>
      <c r="N1503" s="62">
        <f t="shared" si="184"/>
        <v>42598</v>
      </c>
      <c r="O1503" s="18">
        <v>1539922</v>
      </c>
      <c r="P1503" s="38">
        <f t="shared" si="185"/>
        <v>1534433.4796334011</v>
      </c>
      <c r="Q1503" s="170">
        <v>42646</v>
      </c>
      <c r="R1503" s="66">
        <v>42647</v>
      </c>
      <c r="S1503" s="113">
        <f t="shared" si="181"/>
        <v>49</v>
      </c>
    </row>
    <row r="1504" spans="1:22" s="41" customFormat="1" hidden="1" x14ac:dyDescent="0.25">
      <c r="A1504" s="146">
        <v>571</v>
      </c>
      <c r="B1504" s="60">
        <v>42591</v>
      </c>
      <c r="C1504" s="18">
        <v>103</v>
      </c>
      <c r="D1504" s="18">
        <v>3000031818</v>
      </c>
      <c r="E1504" s="18" t="s">
        <v>183</v>
      </c>
      <c r="F1504" s="18">
        <v>27</v>
      </c>
      <c r="G1504" s="61">
        <v>42578</v>
      </c>
      <c r="H1504" s="61"/>
      <c r="I1504" s="61">
        <v>42585</v>
      </c>
      <c r="J1504" s="18" t="s">
        <v>61</v>
      </c>
      <c r="K1504" s="149">
        <v>20.04</v>
      </c>
      <c r="L1504" s="18">
        <v>20</v>
      </c>
      <c r="M1504" s="18">
        <f t="shared" si="183"/>
        <v>20</v>
      </c>
      <c r="N1504" s="62">
        <f t="shared" si="184"/>
        <v>42604</v>
      </c>
      <c r="O1504" s="18">
        <v>1617228</v>
      </c>
      <c r="P1504" s="38">
        <f t="shared" si="185"/>
        <v>1614000</v>
      </c>
      <c r="Q1504" s="170">
        <v>42646</v>
      </c>
      <c r="R1504" s="66">
        <v>42647</v>
      </c>
      <c r="S1504" s="113">
        <f t="shared" si="181"/>
        <v>43</v>
      </c>
    </row>
    <row r="1505" spans="1:22" s="41" customFormat="1" x14ac:dyDescent="0.25">
      <c r="A1505" s="146">
        <v>634</v>
      </c>
      <c r="B1505" s="60">
        <v>42607</v>
      </c>
      <c r="C1505" s="18">
        <v>103</v>
      </c>
      <c r="D1505" s="18">
        <v>3000032055</v>
      </c>
      <c r="E1505" s="18" t="s">
        <v>144</v>
      </c>
      <c r="F1505" s="18">
        <v>801</v>
      </c>
      <c r="G1505" s="61">
        <v>42600</v>
      </c>
      <c r="H1505" s="61"/>
      <c r="I1505" s="61">
        <v>42604</v>
      </c>
      <c r="J1505" s="18" t="s">
        <v>61</v>
      </c>
      <c r="K1505" s="149">
        <v>19.579999999999998</v>
      </c>
      <c r="L1505" s="18">
        <v>19.48</v>
      </c>
      <c r="M1505" s="18">
        <f t="shared" si="183"/>
        <v>19.48</v>
      </c>
      <c r="N1505" s="62">
        <f t="shared" si="184"/>
        <v>42623</v>
      </c>
      <c r="O1505" s="18">
        <v>1517442</v>
      </c>
      <c r="P1505" s="38">
        <f t="shared" si="185"/>
        <v>1509692.0408580187</v>
      </c>
      <c r="Q1505" s="170">
        <v>42646</v>
      </c>
      <c r="R1505" s="66">
        <v>42647</v>
      </c>
      <c r="S1505" s="113">
        <f t="shared" si="181"/>
        <v>24</v>
      </c>
    </row>
    <row r="1506" spans="1:22" s="41" customFormat="1" hidden="1" x14ac:dyDescent="0.25">
      <c r="A1506" s="146">
        <v>679</v>
      </c>
      <c r="B1506" s="60">
        <v>42621</v>
      </c>
      <c r="C1506" s="18">
        <v>103</v>
      </c>
      <c r="D1506" s="18">
        <v>3000032841</v>
      </c>
      <c r="E1506" s="18" t="s">
        <v>212</v>
      </c>
      <c r="F1506" s="18">
        <v>646</v>
      </c>
      <c r="G1506" s="61">
        <v>42614</v>
      </c>
      <c r="H1506" s="61"/>
      <c r="I1506" s="61">
        <v>42616</v>
      </c>
      <c r="J1506" s="18" t="s">
        <v>61</v>
      </c>
      <c r="K1506" s="149">
        <v>18.875</v>
      </c>
      <c r="L1506" s="18">
        <v>18.739999999999998</v>
      </c>
      <c r="M1506" s="18">
        <f t="shared" si="183"/>
        <v>18.739999999999998</v>
      </c>
      <c r="N1506" s="62">
        <f t="shared" si="184"/>
        <v>42635</v>
      </c>
      <c r="O1506" s="18">
        <v>1563180</v>
      </c>
      <c r="P1506" s="38">
        <f t="shared" si="185"/>
        <v>1551999.6397350992</v>
      </c>
      <c r="Q1506" s="170">
        <v>42646</v>
      </c>
      <c r="R1506" s="66">
        <v>42647</v>
      </c>
      <c r="S1506" s="113">
        <f t="shared" si="181"/>
        <v>12</v>
      </c>
    </row>
    <row r="1507" spans="1:22" s="41" customFormat="1" hidden="1" x14ac:dyDescent="0.25">
      <c r="A1507" s="146">
        <v>680</v>
      </c>
      <c r="B1507" s="60">
        <v>42621</v>
      </c>
      <c r="C1507" s="18">
        <v>103</v>
      </c>
      <c r="D1507" s="18">
        <v>3000033221</v>
      </c>
      <c r="E1507" s="18" t="s">
        <v>146</v>
      </c>
      <c r="F1507" s="18">
        <v>1177</v>
      </c>
      <c r="G1507" s="61">
        <v>42611</v>
      </c>
      <c r="H1507" s="61"/>
      <c r="I1507" s="61">
        <v>42616</v>
      </c>
      <c r="J1507" s="18" t="s">
        <v>61</v>
      </c>
      <c r="K1507" s="149">
        <v>19.93</v>
      </c>
      <c r="L1507" s="18">
        <v>19.88</v>
      </c>
      <c r="M1507" s="18">
        <f t="shared" si="183"/>
        <v>19.88</v>
      </c>
      <c r="N1507" s="62">
        <f t="shared" si="184"/>
        <v>42635</v>
      </c>
      <c r="O1507" s="18">
        <v>1694050</v>
      </c>
      <c r="P1507" s="38">
        <f t="shared" si="185"/>
        <v>1689800</v>
      </c>
      <c r="Q1507" s="170">
        <v>42646</v>
      </c>
      <c r="R1507" s="66">
        <v>42647</v>
      </c>
      <c r="S1507" s="113">
        <f t="shared" si="181"/>
        <v>12</v>
      </c>
    </row>
    <row r="1508" spans="1:22" s="41" customFormat="1" hidden="1" x14ac:dyDescent="0.25">
      <c r="A1508" s="146">
        <v>700</v>
      </c>
      <c r="B1508" s="60">
        <v>42626</v>
      </c>
      <c r="C1508" s="18">
        <v>103</v>
      </c>
      <c r="D1508" s="18">
        <v>3000033221</v>
      </c>
      <c r="E1508" s="18" t="s">
        <v>146</v>
      </c>
      <c r="F1508" s="18">
        <v>1181</v>
      </c>
      <c r="G1508" s="61">
        <v>42618</v>
      </c>
      <c r="H1508" s="61"/>
      <c r="I1508" s="61">
        <v>42623</v>
      </c>
      <c r="J1508" s="18" t="s">
        <v>61</v>
      </c>
      <c r="K1508" s="149">
        <v>19.920000000000002</v>
      </c>
      <c r="L1508" s="18">
        <v>19.88</v>
      </c>
      <c r="M1508" s="18">
        <f t="shared" si="183"/>
        <v>19.88</v>
      </c>
      <c r="N1508" s="62">
        <f t="shared" si="184"/>
        <v>42642</v>
      </c>
      <c r="O1508" s="18">
        <v>1693200</v>
      </c>
      <c r="P1508" s="38">
        <f t="shared" si="185"/>
        <v>1689800</v>
      </c>
      <c r="Q1508" s="170">
        <v>42646</v>
      </c>
      <c r="R1508" s="66">
        <v>42647</v>
      </c>
      <c r="S1508" s="113">
        <f t="shared" si="181"/>
        <v>5</v>
      </c>
    </row>
    <row r="1509" spans="1:22" s="41" customFormat="1" hidden="1" x14ac:dyDescent="0.25">
      <c r="A1509" s="146">
        <v>704</v>
      </c>
      <c r="B1509" s="60">
        <v>42626</v>
      </c>
      <c r="C1509" s="18">
        <v>103</v>
      </c>
      <c r="D1509" s="18">
        <v>3000033126</v>
      </c>
      <c r="E1509" s="18" t="s">
        <v>145</v>
      </c>
      <c r="F1509" s="18">
        <v>56</v>
      </c>
      <c r="G1509" s="61">
        <v>42614</v>
      </c>
      <c r="H1509" s="61"/>
      <c r="I1509" s="61">
        <v>42622</v>
      </c>
      <c r="J1509" s="18" t="s">
        <v>61</v>
      </c>
      <c r="K1509" s="149">
        <v>19.95</v>
      </c>
      <c r="L1509" s="18">
        <v>19.920000000000002</v>
      </c>
      <c r="M1509" s="18">
        <f t="shared" si="183"/>
        <v>19.920000000000002</v>
      </c>
      <c r="N1509" s="62">
        <f t="shared" si="184"/>
        <v>42641</v>
      </c>
      <c r="O1509" s="18">
        <v>1615915</v>
      </c>
      <c r="P1509" s="38">
        <f t="shared" si="185"/>
        <v>1613485.0526315791</v>
      </c>
      <c r="Q1509" s="170">
        <v>42646</v>
      </c>
      <c r="R1509" s="66">
        <v>42647</v>
      </c>
      <c r="S1509" s="113">
        <f t="shared" si="181"/>
        <v>6</v>
      </c>
    </row>
    <row r="1510" spans="1:22" s="41" customFormat="1" hidden="1" x14ac:dyDescent="0.25">
      <c r="A1510" s="146">
        <v>655</v>
      </c>
      <c r="B1510" s="60">
        <v>42620</v>
      </c>
      <c r="C1510" s="18">
        <v>103</v>
      </c>
      <c r="D1510" s="18">
        <v>3000034023</v>
      </c>
      <c r="E1510" s="18" t="s">
        <v>225</v>
      </c>
      <c r="F1510" s="18">
        <v>110</v>
      </c>
      <c r="G1510" s="61">
        <v>42611</v>
      </c>
      <c r="H1510" s="61"/>
      <c r="I1510" s="61">
        <v>42615</v>
      </c>
      <c r="J1510" s="18" t="s">
        <v>61</v>
      </c>
      <c r="K1510" s="149">
        <v>19.760000000000002</v>
      </c>
      <c r="L1510" s="18">
        <v>19.690000000000001</v>
      </c>
      <c r="M1510" s="18">
        <f t="shared" si="183"/>
        <v>19.690000000000001</v>
      </c>
      <c r="N1510" s="62">
        <f>+I1510+30-1</f>
        <v>42644</v>
      </c>
      <c r="O1510" s="18">
        <v>1857440</v>
      </c>
      <c r="P1510" s="38">
        <f t="shared" si="185"/>
        <v>1850859.9999999998</v>
      </c>
      <c r="Q1510" s="170">
        <v>42646</v>
      </c>
      <c r="R1510" s="66">
        <v>42647</v>
      </c>
      <c r="S1510" s="113">
        <f t="shared" si="181"/>
        <v>3</v>
      </c>
    </row>
    <row r="1511" spans="1:22" s="41" customFormat="1" hidden="1" x14ac:dyDescent="0.25">
      <c r="A1511" s="146">
        <v>656</v>
      </c>
      <c r="B1511" s="60">
        <v>42620</v>
      </c>
      <c r="C1511" s="18">
        <v>103</v>
      </c>
      <c r="D1511" s="18">
        <v>3000034023</v>
      </c>
      <c r="E1511" s="18" t="s">
        <v>225</v>
      </c>
      <c r="F1511" s="18">
        <v>111</v>
      </c>
      <c r="G1511" s="61">
        <v>42611</v>
      </c>
      <c r="H1511" s="61"/>
      <c r="I1511" s="61">
        <v>42615</v>
      </c>
      <c r="J1511" s="18" t="s">
        <v>61</v>
      </c>
      <c r="K1511" s="149">
        <v>20.05</v>
      </c>
      <c r="L1511" s="18">
        <v>19.98</v>
      </c>
      <c r="M1511" s="18">
        <f t="shared" si="183"/>
        <v>19.98</v>
      </c>
      <c r="N1511" s="62">
        <f>+I1511+30-1</f>
        <v>42644</v>
      </c>
      <c r="O1511" s="18">
        <v>1884700</v>
      </c>
      <c r="P1511" s="38">
        <f t="shared" si="185"/>
        <v>1878120</v>
      </c>
      <c r="Q1511" s="170">
        <v>42646</v>
      </c>
      <c r="R1511" s="66">
        <v>42647</v>
      </c>
      <c r="S1511" s="113">
        <f t="shared" si="181"/>
        <v>3</v>
      </c>
      <c r="T1511" s="15" t="s">
        <v>322</v>
      </c>
      <c r="U1511" s="15"/>
      <c r="V1511" s="15"/>
    </row>
    <row r="1512" spans="1:22" s="3" customFormat="1" hidden="1" x14ac:dyDescent="0.25">
      <c r="A1512" s="30">
        <v>451</v>
      </c>
      <c r="B1512" s="24">
        <v>42584</v>
      </c>
      <c r="C1512" s="1">
        <v>103</v>
      </c>
      <c r="D1512" s="1">
        <v>3000032781</v>
      </c>
      <c r="E1512" s="1" t="s">
        <v>227</v>
      </c>
      <c r="F1512" s="1">
        <v>32</v>
      </c>
      <c r="G1512" s="25">
        <v>42573</v>
      </c>
      <c r="H1512" s="25"/>
      <c r="I1512" s="25">
        <v>42578</v>
      </c>
      <c r="J1512" s="1" t="s">
        <v>61</v>
      </c>
      <c r="K1512" s="77">
        <v>20.100000000000001</v>
      </c>
      <c r="L1512" s="1">
        <v>20.07</v>
      </c>
      <c r="M1512" s="1">
        <f t="shared" si="183"/>
        <v>20.07</v>
      </c>
      <c r="N1512" s="7">
        <f t="shared" ref="N1512:N1533" si="186">+I1512+20-1</f>
        <v>42597</v>
      </c>
      <c r="O1512" s="1">
        <v>1575840</v>
      </c>
      <c r="P1512" s="26">
        <f t="shared" si="185"/>
        <v>1573488</v>
      </c>
      <c r="Q1512" s="170">
        <v>42648</v>
      </c>
      <c r="R1512" s="66">
        <v>42649</v>
      </c>
      <c r="S1512" s="113">
        <f t="shared" si="181"/>
        <v>52</v>
      </c>
    </row>
    <row r="1513" spans="1:22" s="3" customFormat="1" hidden="1" x14ac:dyDescent="0.25">
      <c r="A1513" s="30">
        <v>524</v>
      </c>
      <c r="B1513" s="24">
        <v>42587</v>
      </c>
      <c r="C1513" s="1">
        <v>103</v>
      </c>
      <c r="D1513" s="1">
        <v>3000032224</v>
      </c>
      <c r="E1513" s="1" t="s">
        <v>192</v>
      </c>
      <c r="F1513" s="1">
        <v>25</v>
      </c>
      <c r="G1513" s="25">
        <v>42574</v>
      </c>
      <c r="H1513" s="25"/>
      <c r="I1513" s="25">
        <v>42578</v>
      </c>
      <c r="J1513" s="1" t="s">
        <v>61</v>
      </c>
      <c r="K1513" s="77">
        <v>20.11</v>
      </c>
      <c r="L1513" s="1">
        <v>20.010000000000002</v>
      </c>
      <c r="M1513" s="1">
        <f t="shared" si="183"/>
        <v>20.010000000000002</v>
      </c>
      <c r="N1513" s="7">
        <f t="shared" si="186"/>
        <v>42597</v>
      </c>
      <c r="O1513" s="1">
        <v>1568580</v>
      </c>
      <c r="P1513" s="26">
        <f t="shared" si="185"/>
        <v>1560780.0000000002</v>
      </c>
      <c r="Q1513" s="170">
        <v>42648</v>
      </c>
      <c r="R1513" s="66">
        <v>42649</v>
      </c>
      <c r="S1513" s="113">
        <f t="shared" si="181"/>
        <v>52</v>
      </c>
    </row>
    <row r="1514" spans="1:22" s="3" customFormat="1" hidden="1" x14ac:dyDescent="0.25">
      <c r="A1514" s="30">
        <v>814</v>
      </c>
      <c r="B1514" s="24">
        <v>42587</v>
      </c>
      <c r="C1514" s="1">
        <v>103</v>
      </c>
      <c r="D1514" s="1">
        <v>3000032058</v>
      </c>
      <c r="E1514" s="1" t="s">
        <v>184</v>
      </c>
      <c r="F1514" s="1">
        <v>121</v>
      </c>
      <c r="G1514" s="25">
        <v>42575</v>
      </c>
      <c r="H1514" s="25"/>
      <c r="I1514" s="25">
        <v>42578</v>
      </c>
      <c r="J1514" s="1" t="s">
        <v>61</v>
      </c>
      <c r="K1514" s="77">
        <v>19.73</v>
      </c>
      <c r="L1514" s="1">
        <v>19.72</v>
      </c>
      <c r="M1514" s="1">
        <f t="shared" si="183"/>
        <v>19.72</v>
      </c>
      <c r="N1514" s="7">
        <f t="shared" si="186"/>
        <v>42597</v>
      </c>
      <c r="O1514" s="1">
        <v>1573547</v>
      </c>
      <c r="P1514" s="26">
        <f t="shared" ref="P1514:P1545" si="187">(+O1514/K1514*M1514)</f>
        <v>1572749.4597060313</v>
      </c>
      <c r="Q1514" s="170">
        <v>42648</v>
      </c>
      <c r="R1514" s="66">
        <v>42649</v>
      </c>
      <c r="S1514" s="113">
        <f t="shared" si="181"/>
        <v>52</v>
      </c>
    </row>
    <row r="1515" spans="1:22" s="3" customFormat="1" hidden="1" x14ac:dyDescent="0.25">
      <c r="A1515" s="30">
        <v>815</v>
      </c>
      <c r="B1515" s="24">
        <v>42587</v>
      </c>
      <c r="C1515" s="1">
        <v>103</v>
      </c>
      <c r="D1515" s="1">
        <v>3000032771</v>
      </c>
      <c r="E1515" s="1" t="s">
        <v>184</v>
      </c>
      <c r="F1515" s="1">
        <v>123</v>
      </c>
      <c r="G1515" s="25">
        <v>42578</v>
      </c>
      <c r="H1515" s="25"/>
      <c r="I1515" s="25">
        <v>42584</v>
      </c>
      <c r="J1515" s="1" t="s">
        <v>61</v>
      </c>
      <c r="K1515" s="77">
        <v>20.079999999999998</v>
      </c>
      <c r="L1515" s="1">
        <v>19.940000000000001</v>
      </c>
      <c r="M1515" s="1">
        <f t="shared" si="183"/>
        <v>19.940000000000001</v>
      </c>
      <c r="N1515" s="7">
        <f t="shared" si="186"/>
        <v>42603</v>
      </c>
      <c r="O1515" s="1">
        <v>1574419</v>
      </c>
      <c r="P1515" s="26">
        <f t="shared" si="187"/>
        <v>1563441.975099602</v>
      </c>
      <c r="Q1515" s="170">
        <v>42648</v>
      </c>
      <c r="R1515" s="66">
        <v>42649</v>
      </c>
      <c r="S1515" s="113">
        <f t="shared" ref="S1515:S1578" si="188">R1515-N1515</f>
        <v>46</v>
      </c>
    </row>
    <row r="1516" spans="1:22" s="3" customFormat="1" hidden="1" x14ac:dyDescent="0.25">
      <c r="A1516" s="30">
        <v>716</v>
      </c>
      <c r="B1516" s="24">
        <v>42628</v>
      </c>
      <c r="C1516" s="1">
        <v>103</v>
      </c>
      <c r="D1516" s="1" t="s">
        <v>301</v>
      </c>
      <c r="E1516" s="1" t="s">
        <v>184</v>
      </c>
      <c r="F1516" s="1">
        <v>155</v>
      </c>
      <c r="G1516" s="25">
        <v>42567</v>
      </c>
      <c r="H1516" s="25"/>
      <c r="I1516" s="25">
        <v>42588</v>
      </c>
      <c r="J1516" s="1" t="s">
        <v>61</v>
      </c>
      <c r="K1516" s="77">
        <v>14.89</v>
      </c>
      <c r="L1516" s="1">
        <v>14.86</v>
      </c>
      <c r="M1516" s="1">
        <f t="shared" si="183"/>
        <v>14.86</v>
      </c>
      <c r="N1516" s="7">
        <f t="shared" si="186"/>
        <v>42607</v>
      </c>
      <c r="O1516" s="1">
        <v>1153968</v>
      </c>
      <c r="P1516" s="26">
        <f t="shared" si="187"/>
        <v>1151643.014103425</v>
      </c>
      <c r="Q1516" s="170">
        <v>42648</v>
      </c>
      <c r="R1516" s="66">
        <v>42649</v>
      </c>
      <c r="S1516" s="113">
        <f t="shared" si="188"/>
        <v>42</v>
      </c>
    </row>
    <row r="1517" spans="1:22" s="3" customFormat="1" hidden="1" x14ac:dyDescent="0.25">
      <c r="A1517" s="30">
        <v>497</v>
      </c>
      <c r="B1517" s="24">
        <v>42587</v>
      </c>
      <c r="C1517" s="1">
        <v>103</v>
      </c>
      <c r="D1517" s="1">
        <v>3000032778</v>
      </c>
      <c r="E1517" s="1" t="s">
        <v>213</v>
      </c>
      <c r="F1517" s="1">
        <v>117</v>
      </c>
      <c r="G1517" s="25">
        <v>42576</v>
      </c>
      <c r="H1517" s="25"/>
      <c r="I1517" s="25">
        <v>42580</v>
      </c>
      <c r="J1517" s="1" t="s">
        <v>61</v>
      </c>
      <c r="K1517" s="77">
        <v>19.53</v>
      </c>
      <c r="L1517" s="1">
        <v>19.45</v>
      </c>
      <c r="M1517" s="1">
        <f t="shared" si="183"/>
        <v>19.45</v>
      </c>
      <c r="N1517" s="7">
        <f t="shared" si="186"/>
        <v>42599</v>
      </c>
      <c r="O1517" s="1">
        <v>1531296</v>
      </c>
      <c r="P1517" s="26">
        <f t="shared" si="187"/>
        <v>1525023.4101382489</v>
      </c>
      <c r="Q1517" s="170">
        <v>42648</v>
      </c>
      <c r="R1517" s="66">
        <v>42649</v>
      </c>
      <c r="S1517" s="113">
        <f t="shared" si="188"/>
        <v>50</v>
      </c>
    </row>
    <row r="1518" spans="1:22" s="3" customFormat="1" hidden="1" x14ac:dyDescent="0.25">
      <c r="A1518" s="30">
        <v>505</v>
      </c>
      <c r="B1518" s="24">
        <v>42587</v>
      </c>
      <c r="C1518" s="1">
        <v>103</v>
      </c>
      <c r="D1518" s="1">
        <v>3000032314</v>
      </c>
      <c r="E1518" s="18" t="s">
        <v>158</v>
      </c>
      <c r="F1518" s="1">
        <v>68</v>
      </c>
      <c r="G1518" s="25">
        <v>42576</v>
      </c>
      <c r="H1518" s="25"/>
      <c r="I1518" s="25">
        <v>42580</v>
      </c>
      <c r="J1518" s="1" t="s">
        <v>61</v>
      </c>
      <c r="K1518" s="77">
        <v>20.09</v>
      </c>
      <c r="L1518" s="1">
        <v>20.02</v>
      </c>
      <c r="M1518" s="1">
        <f t="shared" si="183"/>
        <v>20.02</v>
      </c>
      <c r="N1518" s="7">
        <f t="shared" si="186"/>
        <v>42599</v>
      </c>
      <c r="O1518" s="1">
        <v>1556975</v>
      </c>
      <c r="P1518" s="26">
        <f t="shared" si="187"/>
        <v>1551550</v>
      </c>
      <c r="Q1518" s="170">
        <v>42648</v>
      </c>
      <c r="R1518" s="66">
        <v>42649</v>
      </c>
      <c r="S1518" s="113">
        <f t="shared" si="188"/>
        <v>50</v>
      </c>
    </row>
    <row r="1519" spans="1:22" s="3" customFormat="1" hidden="1" x14ac:dyDescent="0.25">
      <c r="A1519" s="30">
        <v>515</v>
      </c>
      <c r="B1519" s="24">
        <v>42587</v>
      </c>
      <c r="C1519" s="1">
        <v>103</v>
      </c>
      <c r="D1519" s="1">
        <v>3000032776</v>
      </c>
      <c r="E1519" s="1" t="s">
        <v>180</v>
      </c>
      <c r="F1519" s="1">
        <v>193</v>
      </c>
      <c r="G1519" s="25">
        <v>42576</v>
      </c>
      <c r="H1519" s="25"/>
      <c r="I1519" s="25">
        <v>42581</v>
      </c>
      <c r="J1519" s="1" t="s">
        <v>61</v>
      </c>
      <c r="K1519" s="77">
        <v>16.28</v>
      </c>
      <c r="L1519" s="1">
        <v>16.260000000000002</v>
      </c>
      <c r="M1519" s="1">
        <f t="shared" si="183"/>
        <v>16.260000000000002</v>
      </c>
      <c r="N1519" s="7">
        <f t="shared" si="186"/>
        <v>42600</v>
      </c>
      <c r="O1519" s="1">
        <v>1276350</v>
      </c>
      <c r="P1519" s="26">
        <f t="shared" si="187"/>
        <v>1274782.0024570024</v>
      </c>
      <c r="Q1519" s="170">
        <v>42648</v>
      </c>
      <c r="R1519" s="66">
        <v>42649</v>
      </c>
      <c r="S1519" s="113">
        <f t="shared" si="188"/>
        <v>49</v>
      </c>
    </row>
    <row r="1520" spans="1:22" s="3" customFormat="1" hidden="1" x14ac:dyDescent="0.25">
      <c r="A1520" s="30">
        <v>500</v>
      </c>
      <c r="B1520" s="24">
        <v>42587</v>
      </c>
      <c r="C1520" s="1">
        <v>103</v>
      </c>
      <c r="D1520" s="1">
        <v>3000032317</v>
      </c>
      <c r="E1520" s="1" t="s">
        <v>171</v>
      </c>
      <c r="F1520" s="16">
        <v>35</v>
      </c>
      <c r="G1520" s="25">
        <v>42577</v>
      </c>
      <c r="H1520" s="25"/>
      <c r="I1520" s="25">
        <v>42582</v>
      </c>
      <c r="J1520" s="1" t="s">
        <v>61</v>
      </c>
      <c r="K1520" s="77">
        <v>10</v>
      </c>
      <c r="L1520" s="1">
        <v>10</v>
      </c>
      <c r="M1520" s="1">
        <f t="shared" si="183"/>
        <v>10</v>
      </c>
      <c r="N1520" s="7">
        <f t="shared" si="186"/>
        <v>42601</v>
      </c>
      <c r="O1520" s="1">
        <v>774996</v>
      </c>
      <c r="P1520" s="26">
        <f t="shared" si="187"/>
        <v>774996</v>
      </c>
      <c r="Q1520" s="170">
        <v>42648</v>
      </c>
      <c r="R1520" s="66">
        <v>42649</v>
      </c>
      <c r="S1520" s="113">
        <f t="shared" si="188"/>
        <v>48</v>
      </c>
    </row>
    <row r="1521" spans="1:22" s="3" customFormat="1" hidden="1" x14ac:dyDescent="0.25">
      <c r="A1521" s="30">
        <v>501</v>
      </c>
      <c r="B1521" s="24">
        <v>42587</v>
      </c>
      <c r="C1521" s="1">
        <v>103</v>
      </c>
      <c r="D1521" s="1">
        <v>3000032636</v>
      </c>
      <c r="E1521" s="1" t="s">
        <v>171</v>
      </c>
      <c r="F1521" s="16">
        <v>36</v>
      </c>
      <c r="G1521" s="25">
        <v>42577</v>
      </c>
      <c r="H1521" s="25"/>
      <c r="I1521" s="25">
        <v>42582</v>
      </c>
      <c r="J1521" s="1" t="s">
        <v>61</v>
      </c>
      <c r="K1521" s="77">
        <v>16.399999999999999</v>
      </c>
      <c r="L1521" s="1">
        <v>16.34</v>
      </c>
      <c r="M1521" s="1">
        <f t="shared" si="183"/>
        <v>16.34</v>
      </c>
      <c r="N1521" s="7">
        <f t="shared" si="186"/>
        <v>42601</v>
      </c>
      <c r="O1521" s="1">
        <v>1276012</v>
      </c>
      <c r="P1521" s="26">
        <f t="shared" si="187"/>
        <v>1271343.6634146341</v>
      </c>
      <c r="Q1521" s="170">
        <v>42648</v>
      </c>
      <c r="R1521" s="66">
        <v>42649</v>
      </c>
      <c r="S1521" s="113">
        <f t="shared" si="188"/>
        <v>48</v>
      </c>
    </row>
    <row r="1522" spans="1:22" s="3" customFormat="1" hidden="1" x14ac:dyDescent="0.25">
      <c r="A1522" s="30">
        <v>586</v>
      </c>
      <c r="B1522" s="24">
        <v>42594</v>
      </c>
      <c r="C1522" s="1">
        <v>103</v>
      </c>
      <c r="D1522" s="1">
        <v>3000032636</v>
      </c>
      <c r="E1522" s="1" t="s">
        <v>171</v>
      </c>
      <c r="F1522" s="1">
        <v>38</v>
      </c>
      <c r="G1522" s="25">
        <v>42587</v>
      </c>
      <c r="H1522" s="25"/>
      <c r="I1522" s="25">
        <v>42592</v>
      </c>
      <c r="J1522" s="1" t="s">
        <v>61</v>
      </c>
      <c r="K1522" s="77">
        <v>20.18</v>
      </c>
      <c r="L1522" s="1">
        <v>20.11</v>
      </c>
      <c r="M1522" s="1">
        <f t="shared" si="183"/>
        <v>20.11</v>
      </c>
      <c r="N1522" s="7">
        <f t="shared" si="186"/>
        <v>42611</v>
      </c>
      <c r="O1522" s="1">
        <v>1570117</v>
      </c>
      <c r="P1522" s="26">
        <f t="shared" si="187"/>
        <v>1564670.6080277502</v>
      </c>
      <c r="Q1522" s="170">
        <v>42648</v>
      </c>
      <c r="R1522" s="66">
        <v>42649</v>
      </c>
      <c r="S1522" s="113">
        <f t="shared" si="188"/>
        <v>38</v>
      </c>
    </row>
    <row r="1523" spans="1:22" s="3" customFormat="1" hidden="1" x14ac:dyDescent="0.25">
      <c r="A1523" s="30">
        <v>502</v>
      </c>
      <c r="B1523" s="24">
        <v>42587</v>
      </c>
      <c r="C1523" s="1">
        <v>103</v>
      </c>
      <c r="D1523" s="1">
        <v>3000032780</v>
      </c>
      <c r="E1523" s="1" t="s">
        <v>267</v>
      </c>
      <c r="F1523" s="1">
        <v>15</v>
      </c>
      <c r="G1523" s="25">
        <v>42576</v>
      </c>
      <c r="H1523" s="25"/>
      <c r="I1523" s="25">
        <v>42582</v>
      </c>
      <c r="J1523" s="1" t="s">
        <v>61</v>
      </c>
      <c r="K1523" s="77">
        <v>19.75</v>
      </c>
      <c r="L1523" s="1">
        <v>19.71</v>
      </c>
      <c r="M1523" s="1">
        <f t="shared" si="183"/>
        <v>19.71</v>
      </c>
      <c r="N1523" s="7">
        <f t="shared" si="186"/>
        <v>42601</v>
      </c>
      <c r="O1523" s="1">
        <v>1548400</v>
      </c>
      <c r="P1523" s="26">
        <f t="shared" si="187"/>
        <v>1545264</v>
      </c>
      <c r="Q1523" s="170">
        <v>42648</v>
      </c>
      <c r="R1523" s="66">
        <v>42649</v>
      </c>
      <c r="S1523" s="113">
        <f t="shared" si="188"/>
        <v>48</v>
      </c>
    </row>
    <row r="1524" spans="1:22" s="3" customFormat="1" hidden="1" x14ac:dyDescent="0.25">
      <c r="A1524" s="30">
        <v>584</v>
      </c>
      <c r="B1524" s="24">
        <v>42594</v>
      </c>
      <c r="C1524" s="1">
        <v>103</v>
      </c>
      <c r="D1524" s="1">
        <v>3000031837</v>
      </c>
      <c r="E1524" s="1" t="s">
        <v>60</v>
      </c>
      <c r="F1524" s="16">
        <v>471</v>
      </c>
      <c r="G1524" s="25">
        <v>42588</v>
      </c>
      <c r="H1524" s="25"/>
      <c r="I1524" s="25">
        <v>42592</v>
      </c>
      <c r="J1524" s="1" t="s">
        <v>61</v>
      </c>
      <c r="K1524" s="77">
        <v>10</v>
      </c>
      <c r="L1524" s="1">
        <v>10</v>
      </c>
      <c r="M1524" s="1">
        <f t="shared" si="183"/>
        <v>10</v>
      </c>
      <c r="N1524" s="7">
        <f t="shared" si="186"/>
        <v>42611</v>
      </c>
      <c r="O1524" s="1">
        <v>757962</v>
      </c>
      <c r="P1524" s="26">
        <f t="shared" si="187"/>
        <v>757962</v>
      </c>
      <c r="Q1524" s="170">
        <v>42648</v>
      </c>
      <c r="R1524" s="66">
        <v>42649</v>
      </c>
      <c r="S1524" s="113">
        <f t="shared" si="188"/>
        <v>38</v>
      </c>
    </row>
    <row r="1525" spans="1:22" s="3" customFormat="1" hidden="1" x14ac:dyDescent="0.25">
      <c r="A1525" s="30">
        <v>585</v>
      </c>
      <c r="B1525" s="24">
        <v>42594</v>
      </c>
      <c r="C1525" s="1">
        <v>103</v>
      </c>
      <c r="D1525" s="1">
        <v>3000033290</v>
      </c>
      <c r="E1525" s="1" t="s">
        <v>60</v>
      </c>
      <c r="F1525" s="16">
        <v>471</v>
      </c>
      <c r="G1525" s="25">
        <v>42588</v>
      </c>
      <c r="H1525" s="25"/>
      <c r="I1525" s="25">
        <v>42592</v>
      </c>
      <c r="J1525" s="1" t="s">
        <v>61</v>
      </c>
      <c r="K1525" s="77">
        <v>10.39</v>
      </c>
      <c r="L1525" s="1">
        <v>10.35</v>
      </c>
      <c r="M1525" s="1">
        <f t="shared" si="183"/>
        <v>10.35</v>
      </c>
      <c r="N1525" s="7">
        <f t="shared" si="186"/>
        <v>42611</v>
      </c>
      <c r="O1525" s="1">
        <v>825992</v>
      </c>
      <c r="P1525" s="26">
        <f t="shared" si="187"/>
        <v>822812.05004812323</v>
      </c>
      <c r="Q1525" s="170">
        <v>42648</v>
      </c>
      <c r="R1525" s="66">
        <v>42649</v>
      </c>
      <c r="S1525" s="113">
        <f t="shared" si="188"/>
        <v>38</v>
      </c>
    </row>
    <row r="1526" spans="1:22" s="3" customFormat="1" hidden="1" x14ac:dyDescent="0.25">
      <c r="A1526" s="30">
        <v>611</v>
      </c>
      <c r="B1526" s="24">
        <v>42605</v>
      </c>
      <c r="C1526" s="1">
        <v>103</v>
      </c>
      <c r="D1526" s="1">
        <v>3000031709</v>
      </c>
      <c r="E1526" s="1" t="s">
        <v>60</v>
      </c>
      <c r="F1526" s="1">
        <v>483</v>
      </c>
      <c r="G1526" s="25">
        <v>42591</v>
      </c>
      <c r="H1526" s="25"/>
      <c r="I1526" s="25">
        <v>42596</v>
      </c>
      <c r="J1526" s="1" t="s">
        <v>61</v>
      </c>
      <c r="K1526" s="77">
        <v>16.100000000000001</v>
      </c>
      <c r="L1526" s="1">
        <v>16.079999999999998</v>
      </c>
      <c r="M1526" s="1">
        <f t="shared" si="183"/>
        <v>16.079999999999998</v>
      </c>
      <c r="N1526" s="7">
        <f t="shared" si="186"/>
        <v>42615</v>
      </c>
      <c r="O1526" s="1">
        <v>1278288</v>
      </c>
      <c r="P1526" s="26">
        <f t="shared" si="187"/>
        <v>1276700.064596273</v>
      </c>
      <c r="Q1526" s="170">
        <v>42648</v>
      </c>
      <c r="R1526" s="66">
        <v>42649</v>
      </c>
      <c r="S1526" s="113">
        <f t="shared" si="188"/>
        <v>34</v>
      </c>
    </row>
    <row r="1527" spans="1:22" s="3" customFormat="1" hidden="1" x14ac:dyDescent="0.25">
      <c r="A1527" s="30">
        <v>612</v>
      </c>
      <c r="B1527" s="24">
        <v>42605</v>
      </c>
      <c r="C1527" s="1">
        <v>103</v>
      </c>
      <c r="D1527" s="1">
        <v>3000031812</v>
      </c>
      <c r="E1527" s="1" t="s">
        <v>60</v>
      </c>
      <c r="F1527" s="1">
        <v>486</v>
      </c>
      <c r="G1527" s="25">
        <v>42592</v>
      </c>
      <c r="H1527" s="25"/>
      <c r="I1527" s="25">
        <v>42597</v>
      </c>
      <c r="J1527" s="1" t="s">
        <v>61</v>
      </c>
      <c r="K1527" s="77">
        <v>16.03</v>
      </c>
      <c r="L1527" s="1">
        <v>16.02</v>
      </c>
      <c r="M1527" s="1">
        <f t="shared" si="183"/>
        <v>16.02</v>
      </c>
      <c r="N1527" s="7">
        <f t="shared" si="186"/>
        <v>42616</v>
      </c>
      <c r="O1527" s="1">
        <v>1261612</v>
      </c>
      <c r="P1527" s="26">
        <f t="shared" si="187"/>
        <v>1260824.9681846537</v>
      </c>
      <c r="Q1527" s="170">
        <v>42648</v>
      </c>
      <c r="R1527" s="66">
        <v>42649</v>
      </c>
      <c r="S1527" s="113">
        <f t="shared" si="188"/>
        <v>33</v>
      </c>
    </row>
    <row r="1528" spans="1:22" s="3" customFormat="1" hidden="1" x14ac:dyDescent="0.25">
      <c r="A1528" s="30">
        <v>613</v>
      </c>
      <c r="B1528" s="24">
        <v>42605</v>
      </c>
      <c r="C1528" s="1">
        <v>103</v>
      </c>
      <c r="D1528" s="1">
        <v>3000031812</v>
      </c>
      <c r="E1528" s="1" t="s">
        <v>60</v>
      </c>
      <c r="F1528" s="1">
        <v>487</v>
      </c>
      <c r="G1528" s="25">
        <v>42592</v>
      </c>
      <c r="H1528" s="25"/>
      <c r="I1528" s="25">
        <v>42598</v>
      </c>
      <c r="J1528" s="1" t="s">
        <v>61</v>
      </c>
      <c r="K1528" s="77">
        <v>15.98</v>
      </c>
      <c r="L1528" s="1">
        <v>15.95</v>
      </c>
      <c r="M1528" s="1">
        <f t="shared" si="183"/>
        <v>15.95</v>
      </c>
      <c r="N1528" s="7">
        <f t="shared" si="186"/>
        <v>42617</v>
      </c>
      <c r="O1528" s="1">
        <v>1257677</v>
      </c>
      <c r="P1528" s="26">
        <f t="shared" si="187"/>
        <v>1255315.9042553192</v>
      </c>
      <c r="Q1528" s="170">
        <v>42648</v>
      </c>
      <c r="R1528" s="66">
        <v>42649</v>
      </c>
      <c r="S1528" s="113">
        <f t="shared" si="188"/>
        <v>32</v>
      </c>
    </row>
    <row r="1529" spans="1:22" s="3" customFormat="1" hidden="1" x14ac:dyDescent="0.25">
      <c r="A1529" s="30">
        <v>614</v>
      </c>
      <c r="B1529" s="24">
        <v>42605</v>
      </c>
      <c r="C1529" s="1">
        <v>103</v>
      </c>
      <c r="D1529" s="1">
        <v>3000031812</v>
      </c>
      <c r="E1529" s="1" t="s">
        <v>60</v>
      </c>
      <c r="F1529" s="1">
        <v>488</v>
      </c>
      <c r="G1529" s="25">
        <v>42592</v>
      </c>
      <c r="H1529" s="25"/>
      <c r="I1529" s="25">
        <v>42596</v>
      </c>
      <c r="J1529" s="1" t="s">
        <v>61</v>
      </c>
      <c r="K1529" s="77">
        <v>16.329999999999998</v>
      </c>
      <c r="L1529" s="1">
        <v>16.309999999999999</v>
      </c>
      <c r="M1529" s="1">
        <f t="shared" si="183"/>
        <v>16.309999999999999</v>
      </c>
      <c r="N1529" s="7">
        <f t="shared" si="186"/>
        <v>42615</v>
      </c>
      <c r="O1529" s="1">
        <v>1285223</v>
      </c>
      <c r="P1529" s="26">
        <f t="shared" si="187"/>
        <v>1283648.9363135335</v>
      </c>
      <c r="Q1529" s="170">
        <v>42648</v>
      </c>
      <c r="R1529" s="66">
        <v>42649</v>
      </c>
      <c r="S1529" s="113">
        <f t="shared" si="188"/>
        <v>34</v>
      </c>
    </row>
    <row r="1530" spans="1:22" s="3" customFormat="1" hidden="1" x14ac:dyDescent="0.25">
      <c r="A1530" s="30">
        <v>615</v>
      </c>
      <c r="B1530" s="24">
        <v>42605</v>
      </c>
      <c r="C1530" s="1">
        <v>103</v>
      </c>
      <c r="D1530" s="1">
        <v>3000031812</v>
      </c>
      <c r="E1530" s="1" t="s">
        <v>60</v>
      </c>
      <c r="F1530" s="1">
        <v>495</v>
      </c>
      <c r="G1530" s="25">
        <v>42594</v>
      </c>
      <c r="H1530" s="25"/>
      <c r="I1530" s="25">
        <v>42598</v>
      </c>
      <c r="J1530" s="1" t="s">
        <v>61</v>
      </c>
      <c r="K1530" s="77">
        <v>15.97</v>
      </c>
      <c r="L1530" s="1">
        <v>15.95</v>
      </c>
      <c r="M1530" s="1">
        <f t="shared" si="183"/>
        <v>15.95</v>
      </c>
      <c r="N1530" s="7">
        <f t="shared" si="186"/>
        <v>42617</v>
      </c>
      <c r="O1530" s="1">
        <v>1256890</v>
      </c>
      <c r="P1530" s="26">
        <f t="shared" si="187"/>
        <v>1255315.9361302441</v>
      </c>
      <c r="Q1530" s="170">
        <v>42648</v>
      </c>
      <c r="R1530" s="66">
        <v>42649</v>
      </c>
      <c r="S1530" s="113">
        <f t="shared" si="188"/>
        <v>32</v>
      </c>
    </row>
    <row r="1531" spans="1:22" s="3" customFormat="1" hidden="1" x14ac:dyDescent="0.25">
      <c r="A1531" s="30">
        <v>646</v>
      </c>
      <c r="B1531" s="24">
        <v>42613</v>
      </c>
      <c r="C1531" s="1">
        <v>103</v>
      </c>
      <c r="D1531" s="1">
        <v>3000033774</v>
      </c>
      <c r="E1531" s="1" t="s">
        <v>202</v>
      </c>
      <c r="F1531" s="1">
        <v>118</v>
      </c>
      <c r="G1531" s="25">
        <v>42606</v>
      </c>
      <c r="H1531" s="25"/>
      <c r="I1531" s="25">
        <v>42610</v>
      </c>
      <c r="J1531" s="1" t="s">
        <v>61</v>
      </c>
      <c r="K1531" s="77">
        <v>15.95</v>
      </c>
      <c r="L1531" s="1">
        <v>15.93</v>
      </c>
      <c r="M1531" s="1">
        <f t="shared" si="183"/>
        <v>15.93</v>
      </c>
      <c r="N1531" s="7">
        <f t="shared" si="186"/>
        <v>42629</v>
      </c>
      <c r="O1531" s="1">
        <v>1658800</v>
      </c>
      <c r="P1531" s="26">
        <f t="shared" si="187"/>
        <v>1656720</v>
      </c>
      <c r="Q1531" s="170">
        <v>42648</v>
      </c>
      <c r="R1531" s="66">
        <v>42649</v>
      </c>
      <c r="S1531" s="113">
        <f t="shared" si="188"/>
        <v>20</v>
      </c>
    </row>
    <row r="1532" spans="1:22" s="3" customFormat="1" hidden="1" x14ac:dyDescent="0.25">
      <c r="A1532" s="30">
        <v>647</v>
      </c>
      <c r="B1532" s="24">
        <v>42613</v>
      </c>
      <c r="C1532" s="1">
        <v>103</v>
      </c>
      <c r="D1532" s="1">
        <v>3000033774</v>
      </c>
      <c r="E1532" s="1" t="s">
        <v>202</v>
      </c>
      <c r="F1532" s="1">
        <v>119</v>
      </c>
      <c r="G1532" s="25">
        <v>42606</v>
      </c>
      <c r="H1532" s="25"/>
      <c r="I1532" s="25">
        <v>42610</v>
      </c>
      <c r="J1532" s="1" t="s">
        <v>61</v>
      </c>
      <c r="K1532" s="77">
        <v>16.07</v>
      </c>
      <c r="L1532" s="1">
        <v>16.04</v>
      </c>
      <c r="M1532" s="1">
        <f t="shared" si="183"/>
        <v>16.04</v>
      </c>
      <c r="N1532" s="7">
        <f t="shared" si="186"/>
        <v>42629</v>
      </c>
      <c r="O1532" s="1">
        <v>1671280</v>
      </c>
      <c r="P1532" s="26">
        <f t="shared" si="187"/>
        <v>1668160</v>
      </c>
      <c r="Q1532" s="170">
        <v>42648</v>
      </c>
      <c r="R1532" s="66">
        <v>42649</v>
      </c>
      <c r="S1532" s="113">
        <f t="shared" si="188"/>
        <v>20</v>
      </c>
    </row>
    <row r="1533" spans="1:22" s="3" customFormat="1" hidden="1" x14ac:dyDescent="0.25">
      <c r="A1533" s="30">
        <v>701</v>
      </c>
      <c r="B1533" s="24">
        <v>42626</v>
      </c>
      <c r="C1533" s="1">
        <v>103</v>
      </c>
      <c r="D1533" s="1">
        <v>3000033221</v>
      </c>
      <c r="E1533" s="1" t="s">
        <v>146</v>
      </c>
      <c r="F1533" s="1">
        <v>1184</v>
      </c>
      <c r="G1533" s="25">
        <v>42619</v>
      </c>
      <c r="H1533" s="25"/>
      <c r="I1533" s="25">
        <v>42624</v>
      </c>
      <c r="J1533" s="1" t="s">
        <v>61</v>
      </c>
      <c r="K1533" s="77">
        <v>19.82</v>
      </c>
      <c r="L1533" s="1">
        <v>19.78</v>
      </c>
      <c r="M1533" s="1">
        <f t="shared" si="183"/>
        <v>19.78</v>
      </c>
      <c r="N1533" s="7">
        <f t="shared" si="186"/>
        <v>42643</v>
      </c>
      <c r="O1533" s="1">
        <v>1684700</v>
      </c>
      <c r="P1533" s="26">
        <f t="shared" si="187"/>
        <v>1681300</v>
      </c>
      <c r="Q1533" s="170">
        <v>42648</v>
      </c>
      <c r="R1533" s="66">
        <v>42649</v>
      </c>
      <c r="S1533" s="113">
        <f t="shared" si="188"/>
        <v>6</v>
      </c>
    </row>
    <row r="1534" spans="1:22" s="3" customFormat="1" hidden="1" x14ac:dyDescent="0.25">
      <c r="A1534" s="30">
        <v>811</v>
      </c>
      <c r="B1534" s="24">
        <v>42646</v>
      </c>
      <c r="C1534" s="1">
        <v>116</v>
      </c>
      <c r="D1534" s="1">
        <v>3000034876</v>
      </c>
      <c r="E1534" s="1" t="s">
        <v>320</v>
      </c>
      <c r="F1534" s="1">
        <v>9601987669</v>
      </c>
      <c r="G1534" s="25">
        <v>42640</v>
      </c>
      <c r="H1534" s="25"/>
      <c r="I1534" s="25">
        <v>42640</v>
      </c>
      <c r="J1534" s="1" t="s">
        <v>16</v>
      </c>
      <c r="K1534" s="77">
        <v>19.62</v>
      </c>
      <c r="L1534" s="1">
        <v>19.62</v>
      </c>
      <c r="M1534" s="1">
        <f t="shared" si="183"/>
        <v>19.62</v>
      </c>
      <c r="N1534" s="7">
        <f>+I1534+7-1</f>
        <v>42646</v>
      </c>
      <c r="O1534" s="1">
        <v>1042926</v>
      </c>
      <c r="P1534" s="26">
        <f t="shared" si="187"/>
        <v>1042926</v>
      </c>
      <c r="Q1534" s="170">
        <v>42648</v>
      </c>
      <c r="R1534" s="66">
        <v>42649</v>
      </c>
      <c r="S1534" s="113">
        <f t="shared" si="188"/>
        <v>3</v>
      </c>
    </row>
    <row r="1535" spans="1:22" s="3" customFormat="1" hidden="1" x14ac:dyDescent="0.25">
      <c r="A1535" s="30">
        <v>813</v>
      </c>
      <c r="B1535" s="24">
        <v>42587</v>
      </c>
      <c r="C1535" s="1">
        <v>103</v>
      </c>
      <c r="D1535" s="1">
        <v>3000032782</v>
      </c>
      <c r="E1535" s="18" t="s">
        <v>261</v>
      </c>
      <c r="F1535" s="1">
        <v>31</v>
      </c>
      <c r="G1535" s="25">
        <v>42575</v>
      </c>
      <c r="H1535" s="25"/>
      <c r="I1535" s="25">
        <v>42578</v>
      </c>
      <c r="J1535" s="1" t="s">
        <v>61</v>
      </c>
      <c r="K1535" s="77">
        <v>20.03</v>
      </c>
      <c r="L1535" s="1">
        <v>19.96</v>
      </c>
      <c r="M1535" s="1">
        <f t="shared" si="183"/>
        <v>19.96</v>
      </c>
      <c r="N1535" s="7">
        <f>+I1535+20-1</f>
        <v>42597</v>
      </c>
      <c r="O1535" s="1">
        <v>1570360</v>
      </c>
      <c r="P1535" s="26">
        <f t="shared" si="187"/>
        <v>1564871.9720419371</v>
      </c>
      <c r="Q1535" s="170">
        <v>42648</v>
      </c>
      <c r="R1535" s="66">
        <v>42649</v>
      </c>
      <c r="S1535" s="113">
        <f t="shared" si="188"/>
        <v>52</v>
      </c>
      <c r="T1535" s="15" t="s">
        <v>324</v>
      </c>
      <c r="U1535" s="15"/>
      <c r="V1535" s="15"/>
    </row>
    <row r="1536" spans="1:22" s="3" customFormat="1" hidden="1" x14ac:dyDescent="0.25">
      <c r="A1536" s="30">
        <v>809</v>
      </c>
      <c r="B1536" s="24">
        <v>42646</v>
      </c>
      <c r="C1536" s="1">
        <v>116</v>
      </c>
      <c r="D1536" s="1">
        <v>3000034876</v>
      </c>
      <c r="E1536" s="1" t="s">
        <v>320</v>
      </c>
      <c r="F1536" s="1">
        <v>9601987721</v>
      </c>
      <c r="G1536" s="25">
        <v>42643</v>
      </c>
      <c r="H1536" s="25"/>
      <c r="I1536" s="25">
        <v>42643</v>
      </c>
      <c r="J1536" s="1" t="s">
        <v>16</v>
      </c>
      <c r="K1536" s="77">
        <v>18.71</v>
      </c>
      <c r="L1536" s="1">
        <v>18.71</v>
      </c>
      <c r="M1536" s="1">
        <f t="shared" ref="M1536:M1599" si="189">IF(L1536&gt;K1536,K1536,L1536)</f>
        <v>18.71</v>
      </c>
      <c r="N1536" s="7">
        <f>+I1536+7-1</f>
        <v>42649</v>
      </c>
      <c r="O1536" s="1">
        <v>994554</v>
      </c>
      <c r="P1536" s="26">
        <f t="shared" si="187"/>
        <v>994554</v>
      </c>
      <c r="Q1536" s="170">
        <v>42650</v>
      </c>
      <c r="R1536" s="66">
        <v>42650</v>
      </c>
      <c r="S1536" s="113">
        <f t="shared" si="188"/>
        <v>1</v>
      </c>
    </row>
    <row r="1537" spans="1:22" s="3" customFormat="1" hidden="1" x14ac:dyDescent="0.25">
      <c r="A1537" s="30">
        <v>810</v>
      </c>
      <c r="B1537" s="24">
        <v>42646</v>
      </c>
      <c r="C1537" s="1">
        <v>116</v>
      </c>
      <c r="D1537" s="1">
        <v>3000034876</v>
      </c>
      <c r="E1537" s="1" t="s">
        <v>320</v>
      </c>
      <c r="F1537" s="1">
        <v>9601987718</v>
      </c>
      <c r="G1537" s="25">
        <v>42643</v>
      </c>
      <c r="H1537" s="25"/>
      <c r="I1537" s="25">
        <v>42643</v>
      </c>
      <c r="J1537" s="1" t="s">
        <v>16</v>
      </c>
      <c r="K1537" s="77">
        <v>19.46</v>
      </c>
      <c r="L1537" s="1">
        <v>19.46</v>
      </c>
      <c r="M1537" s="1">
        <f t="shared" si="189"/>
        <v>19.46</v>
      </c>
      <c r="N1537" s="7">
        <f>+I1537+7-1</f>
        <v>42649</v>
      </c>
      <c r="O1537" s="1">
        <v>1034421</v>
      </c>
      <c r="P1537" s="26">
        <f t="shared" si="187"/>
        <v>1034421</v>
      </c>
      <c r="Q1537" s="170">
        <v>42650</v>
      </c>
      <c r="R1537" s="66">
        <v>42650</v>
      </c>
      <c r="S1537" s="113">
        <f t="shared" si="188"/>
        <v>1</v>
      </c>
    </row>
    <row r="1538" spans="1:22" s="3" customFormat="1" hidden="1" x14ac:dyDescent="0.25">
      <c r="A1538" s="30">
        <v>812</v>
      </c>
      <c r="B1538" s="24">
        <v>42646</v>
      </c>
      <c r="C1538" s="1">
        <v>116</v>
      </c>
      <c r="D1538" s="1">
        <v>3000034876</v>
      </c>
      <c r="E1538" s="1" t="s">
        <v>320</v>
      </c>
      <c r="F1538" s="1">
        <v>9601987668</v>
      </c>
      <c r="G1538" s="25">
        <v>42640</v>
      </c>
      <c r="H1538" s="25"/>
      <c r="I1538" s="25">
        <v>42640</v>
      </c>
      <c r="J1538" s="1" t="s">
        <v>16</v>
      </c>
      <c r="K1538" s="77">
        <v>19.54</v>
      </c>
      <c r="L1538" s="1">
        <v>19.54</v>
      </c>
      <c r="M1538" s="1">
        <f t="shared" si="189"/>
        <v>19.54</v>
      </c>
      <c r="N1538" s="7">
        <f>+I1538+7-1</f>
        <v>42646</v>
      </c>
      <c r="O1538" s="1">
        <v>1038674</v>
      </c>
      <c r="P1538" s="26">
        <f t="shared" si="187"/>
        <v>1038674</v>
      </c>
      <c r="Q1538" s="170">
        <v>42650</v>
      </c>
      <c r="R1538" s="66">
        <v>42650</v>
      </c>
      <c r="S1538" s="113">
        <f t="shared" si="188"/>
        <v>4</v>
      </c>
      <c r="T1538" s="15" t="s">
        <v>325</v>
      </c>
      <c r="U1538" s="15"/>
      <c r="V1538" s="15"/>
    </row>
    <row r="1539" spans="1:22" s="166" customFormat="1" ht="15.75" hidden="1" x14ac:dyDescent="0.25">
      <c r="A1539" s="30">
        <v>600</v>
      </c>
      <c r="B1539" s="24">
        <v>42598</v>
      </c>
      <c r="C1539" s="1">
        <v>114</v>
      </c>
      <c r="D1539" s="1">
        <v>3000031329</v>
      </c>
      <c r="E1539" s="1" t="s">
        <v>138</v>
      </c>
      <c r="F1539" s="16">
        <v>9018</v>
      </c>
      <c r="G1539" s="25">
        <v>42576</v>
      </c>
      <c r="H1539" s="25"/>
      <c r="I1539" s="25">
        <v>42589</v>
      </c>
      <c r="J1539" s="1" t="s">
        <v>8</v>
      </c>
      <c r="K1539" s="77">
        <v>5.5</v>
      </c>
      <c r="L1539" s="1">
        <v>5.43</v>
      </c>
      <c r="M1539" s="1">
        <f t="shared" si="189"/>
        <v>5.43</v>
      </c>
      <c r="N1539" s="7">
        <f t="shared" ref="N1539:N1560" si="190">+I1539+15-1</f>
        <v>42603</v>
      </c>
      <c r="O1539" s="1">
        <v>291500</v>
      </c>
      <c r="P1539" s="38">
        <f t="shared" si="187"/>
        <v>287790</v>
      </c>
      <c r="Q1539" s="170">
        <v>42656</v>
      </c>
      <c r="R1539" s="66">
        <v>42656</v>
      </c>
      <c r="S1539" s="113">
        <f t="shared" si="188"/>
        <v>53</v>
      </c>
      <c r="T1539" s="167"/>
    </row>
    <row r="1540" spans="1:22" s="3" customFormat="1" hidden="1" x14ac:dyDescent="0.25">
      <c r="A1540" s="30">
        <v>601</v>
      </c>
      <c r="B1540" s="24">
        <v>42598</v>
      </c>
      <c r="C1540" s="1">
        <v>114</v>
      </c>
      <c r="D1540" s="1">
        <v>3000032886</v>
      </c>
      <c r="E1540" s="1" t="s">
        <v>138</v>
      </c>
      <c r="F1540" s="16">
        <v>9019</v>
      </c>
      <c r="G1540" s="25">
        <v>42576</v>
      </c>
      <c r="H1540" s="25"/>
      <c r="I1540" s="25">
        <v>42589</v>
      </c>
      <c r="J1540" s="1" t="s">
        <v>8</v>
      </c>
      <c r="K1540" s="77">
        <v>5.5</v>
      </c>
      <c r="L1540" s="1">
        <v>5.5</v>
      </c>
      <c r="M1540" s="1">
        <f t="shared" si="189"/>
        <v>5.5</v>
      </c>
      <c r="N1540" s="7">
        <f t="shared" si="190"/>
        <v>42603</v>
      </c>
      <c r="O1540" s="1">
        <v>275000</v>
      </c>
      <c r="P1540" s="38">
        <f t="shared" si="187"/>
        <v>275000</v>
      </c>
      <c r="Q1540" s="170">
        <v>42656</v>
      </c>
      <c r="R1540" s="66">
        <v>42656</v>
      </c>
      <c r="S1540" s="113">
        <f t="shared" si="188"/>
        <v>53</v>
      </c>
    </row>
    <row r="1541" spans="1:22" s="3" customFormat="1" hidden="1" x14ac:dyDescent="0.25">
      <c r="A1541" s="30">
        <v>602</v>
      </c>
      <c r="B1541" s="24">
        <v>42598</v>
      </c>
      <c r="C1541" s="1">
        <v>114</v>
      </c>
      <c r="D1541" s="1">
        <v>3000032979</v>
      </c>
      <c r="E1541" s="1" t="s">
        <v>138</v>
      </c>
      <c r="F1541" s="16">
        <v>9020</v>
      </c>
      <c r="G1541" s="25">
        <v>42576</v>
      </c>
      <c r="H1541" s="25"/>
      <c r="I1541" s="25">
        <v>42589</v>
      </c>
      <c r="J1541" s="1" t="s">
        <v>8</v>
      </c>
      <c r="K1541" s="77">
        <v>9.42</v>
      </c>
      <c r="L1541" s="1">
        <v>9.42</v>
      </c>
      <c r="M1541" s="1">
        <f t="shared" si="189"/>
        <v>9.42</v>
      </c>
      <c r="N1541" s="7">
        <f t="shared" si="190"/>
        <v>42603</v>
      </c>
      <c r="O1541" s="1">
        <v>471000</v>
      </c>
      <c r="P1541" s="38">
        <f t="shared" si="187"/>
        <v>471000</v>
      </c>
      <c r="Q1541" s="170">
        <v>42656</v>
      </c>
      <c r="R1541" s="66">
        <v>42656</v>
      </c>
      <c r="S1541" s="113">
        <f t="shared" si="188"/>
        <v>53</v>
      </c>
    </row>
    <row r="1542" spans="1:22" s="3" customFormat="1" hidden="1" x14ac:dyDescent="0.25">
      <c r="A1542" s="30">
        <v>626</v>
      </c>
      <c r="B1542" s="24">
        <v>42607</v>
      </c>
      <c r="C1542" s="1">
        <v>114</v>
      </c>
      <c r="D1542" s="1">
        <v>3000028873</v>
      </c>
      <c r="E1542" s="1" t="s">
        <v>28</v>
      </c>
      <c r="F1542" s="1">
        <v>597</v>
      </c>
      <c r="G1542" s="25">
        <v>42598</v>
      </c>
      <c r="H1542" s="25"/>
      <c r="I1542" s="25">
        <v>42601</v>
      </c>
      <c r="J1542" s="1" t="s">
        <v>8</v>
      </c>
      <c r="K1542" s="77">
        <v>19</v>
      </c>
      <c r="L1542" s="1">
        <v>19</v>
      </c>
      <c r="M1542" s="1">
        <f t="shared" si="189"/>
        <v>19</v>
      </c>
      <c r="N1542" s="7">
        <f t="shared" si="190"/>
        <v>42615</v>
      </c>
      <c r="O1542" s="1">
        <v>864500</v>
      </c>
      <c r="P1542" s="38">
        <f t="shared" si="187"/>
        <v>864500</v>
      </c>
      <c r="Q1542" s="170">
        <v>42656</v>
      </c>
      <c r="R1542" s="66">
        <v>42656</v>
      </c>
      <c r="S1542" s="113">
        <f t="shared" si="188"/>
        <v>41</v>
      </c>
    </row>
    <row r="1543" spans="1:22" s="3" customFormat="1" hidden="1" x14ac:dyDescent="0.25">
      <c r="A1543" s="30">
        <v>627</v>
      </c>
      <c r="B1543" s="24">
        <v>42607</v>
      </c>
      <c r="C1543" s="1">
        <v>114</v>
      </c>
      <c r="D1543" s="1">
        <v>3000032161</v>
      </c>
      <c r="E1543" s="1" t="s">
        <v>28</v>
      </c>
      <c r="F1543" s="1">
        <v>598</v>
      </c>
      <c r="G1543" s="25">
        <v>42598</v>
      </c>
      <c r="H1543" s="25"/>
      <c r="I1543" s="25">
        <v>42601</v>
      </c>
      <c r="J1543" s="1" t="s">
        <v>8</v>
      </c>
      <c r="K1543" s="77">
        <v>1.76</v>
      </c>
      <c r="L1543" s="1">
        <v>1.91</v>
      </c>
      <c r="M1543" s="1">
        <f t="shared" si="189"/>
        <v>1.76</v>
      </c>
      <c r="N1543" s="7">
        <f t="shared" si="190"/>
        <v>42615</v>
      </c>
      <c r="O1543" s="1">
        <v>89584</v>
      </c>
      <c r="P1543" s="38">
        <f t="shared" si="187"/>
        <v>89584</v>
      </c>
      <c r="Q1543" s="170">
        <v>42656</v>
      </c>
      <c r="R1543" s="66">
        <v>42656</v>
      </c>
      <c r="S1543" s="113">
        <f t="shared" si="188"/>
        <v>41</v>
      </c>
    </row>
    <row r="1544" spans="1:22" s="3" customFormat="1" hidden="1" x14ac:dyDescent="0.25">
      <c r="A1544" s="30">
        <v>629</v>
      </c>
      <c r="B1544" s="24">
        <v>42607</v>
      </c>
      <c r="C1544" s="1">
        <v>114</v>
      </c>
      <c r="D1544" s="1">
        <v>3000032987</v>
      </c>
      <c r="E1544" s="1" t="s">
        <v>37</v>
      </c>
      <c r="F1544" s="1">
        <v>101</v>
      </c>
      <c r="G1544" s="25">
        <v>42598</v>
      </c>
      <c r="H1544" s="25"/>
      <c r="I1544" s="25">
        <v>42603</v>
      </c>
      <c r="J1544" s="1" t="s">
        <v>8</v>
      </c>
      <c r="K1544" s="77">
        <v>25.52</v>
      </c>
      <c r="L1544" s="1">
        <v>25.49</v>
      </c>
      <c r="M1544" s="1">
        <f t="shared" si="189"/>
        <v>25.49</v>
      </c>
      <c r="N1544" s="7">
        <f t="shared" si="190"/>
        <v>42617</v>
      </c>
      <c r="O1544" s="1">
        <v>1293864</v>
      </c>
      <c r="P1544" s="38">
        <f t="shared" si="187"/>
        <v>1292343</v>
      </c>
      <c r="Q1544" s="170">
        <v>42656</v>
      </c>
      <c r="R1544" s="66">
        <v>42656</v>
      </c>
      <c r="S1544" s="113">
        <f t="shared" si="188"/>
        <v>39</v>
      </c>
    </row>
    <row r="1545" spans="1:22" s="3" customFormat="1" hidden="1" x14ac:dyDescent="0.25">
      <c r="A1545" s="30">
        <v>658</v>
      </c>
      <c r="B1545" s="24">
        <v>42621</v>
      </c>
      <c r="C1545" s="1">
        <v>114</v>
      </c>
      <c r="D1545" s="1">
        <v>3000032987</v>
      </c>
      <c r="E1545" s="1" t="s">
        <v>37</v>
      </c>
      <c r="F1545" s="1">
        <v>116</v>
      </c>
      <c r="G1545" s="25">
        <v>42612</v>
      </c>
      <c r="H1545" s="25"/>
      <c r="I1545" s="25">
        <v>42616</v>
      </c>
      <c r="J1545" s="1" t="s">
        <v>8</v>
      </c>
      <c r="K1545" s="77">
        <v>20.37</v>
      </c>
      <c r="L1545" s="1">
        <v>20.32</v>
      </c>
      <c r="M1545" s="1">
        <f t="shared" si="189"/>
        <v>20.32</v>
      </c>
      <c r="N1545" s="7">
        <f t="shared" si="190"/>
        <v>42630</v>
      </c>
      <c r="O1545" s="1">
        <v>1032759</v>
      </c>
      <c r="P1545" s="38">
        <f t="shared" si="187"/>
        <v>1030224</v>
      </c>
      <c r="Q1545" s="170">
        <v>42656</v>
      </c>
      <c r="R1545" s="66">
        <v>42656</v>
      </c>
      <c r="S1545" s="113">
        <f t="shared" si="188"/>
        <v>26</v>
      </c>
    </row>
    <row r="1546" spans="1:22" s="3" customFormat="1" hidden="1" x14ac:dyDescent="0.25">
      <c r="A1546" s="30">
        <v>649</v>
      </c>
      <c r="B1546" s="24">
        <v>42614</v>
      </c>
      <c r="C1546" s="1">
        <v>114</v>
      </c>
      <c r="D1546" s="1">
        <v>3000032160</v>
      </c>
      <c r="E1546" s="1" t="s">
        <v>15</v>
      </c>
      <c r="F1546" s="1">
        <v>3134</v>
      </c>
      <c r="G1546" s="25">
        <v>42609</v>
      </c>
      <c r="H1546" s="25"/>
      <c r="I1546" s="25">
        <v>42611</v>
      </c>
      <c r="J1546" s="1" t="s">
        <v>8</v>
      </c>
      <c r="K1546" s="77">
        <v>27.45</v>
      </c>
      <c r="L1546" s="1">
        <v>27.34</v>
      </c>
      <c r="M1546" s="1">
        <f t="shared" si="189"/>
        <v>27.34</v>
      </c>
      <c r="N1546" s="7">
        <f t="shared" si="190"/>
        <v>42625</v>
      </c>
      <c r="O1546" s="1">
        <v>1397205</v>
      </c>
      <c r="P1546" s="38">
        <f t="shared" ref="P1546:P1547" si="191">(+O1546/K1546*M1546)</f>
        <v>1391606</v>
      </c>
      <c r="Q1546" s="170">
        <v>42656</v>
      </c>
      <c r="R1546" s="66">
        <v>42656</v>
      </c>
      <c r="S1546" s="113">
        <f t="shared" si="188"/>
        <v>31</v>
      </c>
    </row>
    <row r="1547" spans="1:22" s="3" customFormat="1" hidden="1" x14ac:dyDescent="0.25">
      <c r="A1547" s="30">
        <v>663</v>
      </c>
      <c r="B1547" s="24">
        <v>42621</v>
      </c>
      <c r="C1547" s="1">
        <v>114</v>
      </c>
      <c r="D1547" s="1">
        <v>3000034087</v>
      </c>
      <c r="E1547" s="1" t="s">
        <v>15</v>
      </c>
      <c r="F1547" s="1">
        <v>3235</v>
      </c>
      <c r="G1547" s="25">
        <v>42611</v>
      </c>
      <c r="H1547" s="25"/>
      <c r="I1547" s="25">
        <v>42616</v>
      </c>
      <c r="J1547" s="1" t="s">
        <v>8</v>
      </c>
      <c r="K1547" s="77">
        <v>26.85</v>
      </c>
      <c r="L1547" s="1">
        <v>26.86</v>
      </c>
      <c r="M1547" s="1">
        <f t="shared" si="189"/>
        <v>26.85</v>
      </c>
      <c r="N1547" s="7">
        <f t="shared" si="190"/>
        <v>42630</v>
      </c>
      <c r="O1547" s="1">
        <v>1543875</v>
      </c>
      <c r="P1547" s="38">
        <f t="shared" si="191"/>
        <v>1543875</v>
      </c>
      <c r="Q1547" s="170">
        <v>42656</v>
      </c>
      <c r="R1547" s="66">
        <v>42656</v>
      </c>
      <c r="S1547" s="113">
        <f t="shared" si="188"/>
        <v>26</v>
      </c>
    </row>
    <row r="1548" spans="1:22" s="3" customFormat="1" hidden="1" x14ac:dyDescent="0.25">
      <c r="A1548" s="30">
        <v>735</v>
      </c>
      <c r="B1548" s="24">
        <v>42633</v>
      </c>
      <c r="C1548" s="1">
        <v>114</v>
      </c>
      <c r="D1548" s="1">
        <v>3000033893</v>
      </c>
      <c r="E1548" s="1" t="s">
        <v>18</v>
      </c>
      <c r="F1548" s="20" t="s">
        <v>306</v>
      </c>
      <c r="G1548" s="25">
        <v>42633</v>
      </c>
      <c r="H1548" s="25"/>
      <c r="I1548" s="25">
        <v>42614</v>
      </c>
      <c r="J1548" s="1" t="s">
        <v>16</v>
      </c>
      <c r="K1548" s="77"/>
      <c r="L1548" s="1"/>
      <c r="M1548" s="1">
        <f t="shared" si="189"/>
        <v>0</v>
      </c>
      <c r="N1548" s="7">
        <f t="shared" si="190"/>
        <v>42628</v>
      </c>
      <c r="O1548" s="1">
        <v>16500</v>
      </c>
      <c r="P1548" s="38"/>
      <c r="Q1548" s="170">
        <v>42656</v>
      </c>
      <c r="R1548" s="66">
        <v>42657</v>
      </c>
      <c r="S1548" s="113">
        <f t="shared" si="188"/>
        <v>29</v>
      </c>
    </row>
    <row r="1549" spans="1:22" s="3" customFormat="1" hidden="1" x14ac:dyDescent="0.25">
      <c r="A1549" s="30">
        <v>736</v>
      </c>
      <c r="B1549" s="24">
        <v>42633</v>
      </c>
      <c r="C1549" s="1">
        <v>114</v>
      </c>
      <c r="D1549" s="1">
        <v>3000033893</v>
      </c>
      <c r="E1549" s="1" t="s">
        <v>18</v>
      </c>
      <c r="F1549" s="1">
        <v>63</v>
      </c>
      <c r="G1549" s="25">
        <v>42605</v>
      </c>
      <c r="H1549" s="25"/>
      <c r="I1549" s="25">
        <v>42614</v>
      </c>
      <c r="J1549" s="1" t="s">
        <v>16</v>
      </c>
      <c r="K1549" s="77">
        <v>27.63</v>
      </c>
      <c r="L1549" s="1">
        <v>27.5</v>
      </c>
      <c r="M1549" s="1">
        <f t="shared" si="189"/>
        <v>27.5</v>
      </c>
      <c r="N1549" s="7">
        <f t="shared" si="190"/>
        <v>42628</v>
      </c>
      <c r="O1549" s="1">
        <v>1373211</v>
      </c>
      <c r="P1549" s="38">
        <f>(+O1549/K1549*M1549)-16500</f>
        <v>1350250</v>
      </c>
      <c r="Q1549" s="170">
        <v>42656</v>
      </c>
      <c r="R1549" s="66">
        <v>42657</v>
      </c>
      <c r="S1549" s="113">
        <f t="shared" si="188"/>
        <v>29</v>
      </c>
    </row>
    <row r="1550" spans="1:22" s="3" customFormat="1" hidden="1" x14ac:dyDescent="0.25">
      <c r="A1550" s="30">
        <v>687</v>
      </c>
      <c r="B1550" s="24">
        <v>42622</v>
      </c>
      <c r="C1550" s="1">
        <v>114</v>
      </c>
      <c r="D1550" s="1">
        <v>3000034199</v>
      </c>
      <c r="E1550" s="1" t="s">
        <v>18</v>
      </c>
      <c r="F1550" s="1">
        <v>75</v>
      </c>
      <c r="G1550" s="25">
        <v>42612</v>
      </c>
      <c r="H1550" s="25"/>
      <c r="I1550" s="25">
        <v>42619</v>
      </c>
      <c r="J1550" s="1" t="s">
        <v>8</v>
      </c>
      <c r="K1550" s="77">
        <v>28.99</v>
      </c>
      <c r="L1550" s="1">
        <v>28.9</v>
      </c>
      <c r="M1550" s="1">
        <f t="shared" si="189"/>
        <v>28.9</v>
      </c>
      <c r="N1550" s="7">
        <f t="shared" si="190"/>
        <v>42633</v>
      </c>
      <c r="O1550" s="1">
        <v>1652430</v>
      </c>
      <c r="P1550" s="38">
        <f t="shared" ref="P1550:P1581" si="192">(+O1550/K1550*M1550)</f>
        <v>1647300</v>
      </c>
      <c r="Q1550" s="170">
        <v>42656</v>
      </c>
      <c r="R1550" s="66">
        <v>42657</v>
      </c>
      <c r="S1550" s="113">
        <f t="shared" si="188"/>
        <v>24</v>
      </c>
    </row>
    <row r="1551" spans="1:22" s="3" customFormat="1" hidden="1" x14ac:dyDescent="0.25">
      <c r="A1551" s="30">
        <v>661</v>
      </c>
      <c r="B1551" s="24">
        <v>42621</v>
      </c>
      <c r="C1551" s="1">
        <v>114</v>
      </c>
      <c r="D1551" s="1">
        <v>3000032156</v>
      </c>
      <c r="E1551" s="1" t="s">
        <v>29</v>
      </c>
      <c r="F1551" s="17">
        <v>164</v>
      </c>
      <c r="G1551" s="25">
        <v>42612</v>
      </c>
      <c r="H1551" s="25"/>
      <c r="I1551" s="25">
        <v>42616</v>
      </c>
      <c r="J1551" s="1" t="s">
        <v>8</v>
      </c>
      <c r="K1551" s="77">
        <v>6.82</v>
      </c>
      <c r="L1551" s="1">
        <v>6.78</v>
      </c>
      <c r="M1551" s="1">
        <f t="shared" si="189"/>
        <v>6.78</v>
      </c>
      <c r="N1551" s="7">
        <f t="shared" si="190"/>
        <v>42630</v>
      </c>
      <c r="O1551" s="1">
        <v>347138</v>
      </c>
      <c r="P1551" s="38">
        <f t="shared" si="192"/>
        <v>345102</v>
      </c>
      <c r="Q1551" s="170">
        <v>42656</v>
      </c>
      <c r="R1551" s="66">
        <v>42657</v>
      </c>
      <c r="S1551" s="113">
        <f t="shared" si="188"/>
        <v>27</v>
      </c>
    </row>
    <row r="1552" spans="1:22" s="3" customFormat="1" hidden="1" x14ac:dyDescent="0.25">
      <c r="A1552" s="30">
        <v>662</v>
      </c>
      <c r="B1552" s="24">
        <v>42621</v>
      </c>
      <c r="C1552" s="1">
        <v>114</v>
      </c>
      <c r="D1552" s="1">
        <v>3000032981</v>
      </c>
      <c r="E1552" s="1" t="s">
        <v>29</v>
      </c>
      <c r="F1552" s="17">
        <v>165</v>
      </c>
      <c r="G1552" s="25">
        <v>42612</v>
      </c>
      <c r="H1552" s="25"/>
      <c r="I1552" s="25">
        <v>42616</v>
      </c>
      <c r="J1552" s="1" t="s">
        <v>8</v>
      </c>
      <c r="K1552" s="77">
        <v>20.27</v>
      </c>
      <c r="L1552" s="1">
        <v>20.27</v>
      </c>
      <c r="M1552" s="1">
        <f t="shared" si="189"/>
        <v>20.27</v>
      </c>
      <c r="N1552" s="7">
        <f t="shared" si="190"/>
        <v>42630</v>
      </c>
      <c r="O1552" s="1">
        <v>1027689</v>
      </c>
      <c r="P1552" s="38">
        <f t="shared" si="192"/>
        <v>1027689</v>
      </c>
      <c r="Q1552" s="170">
        <v>42656</v>
      </c>
      <c r="R1552" s="66">
        <v>42657</v>
      </c>
      <c r="S1552" s="113">
        <f t="shared" si="188"/>
        <v>27</v>
      </c>
    </row>
    <row r="1553" spans="1:22" s="3" customFormat="1" hidden="1" x14ac:dyDescent="0.25">
      <c r="A1553" s="30">
        <v>720</v>
      </c>
      <c r="B1553" s="24">
        <v>42628</v>
      </c>
      <c r="C1553" s="1">
        <v>114</v>
      </c>
      <c r="D1553" s="1">
        <v>3000032981</v>
      </c>
      <c r="E1553" s="1" t="s">
        <v>29</v>
      </c>
      <c r="F1553" s="1">
        <v>173</v>
      </c>
      <c r="G1553" s="25">
        <v>42613</v>
      </c>
      <c r="H1553" s="25"/>
      <c r="I1553" s="25">
        <v>42622</v>
      </c>
      <c r="J1553" s="1" t="s">
        <v>8</v>
      </c>
      <c r="K1553" s="77">
        <v>22.78</v>
      </c>
      <c r="L1553" s="1">
        <v>22.58</v>
      </c>
      <c r="M1553" s="1">
        <f t="shared" si="189"/>
        <v>22.58</v>
      </c>
      <c r="N1553" s="7">
        <f t="shared" si="190"/>
        <v>42636</v>
      </c>
      <c r="O1553" s="1">
        <v>1154946</v>
      </c>
      <c r="P1553" s="38">
        <f t="shared" si="192"/>
        <v>1144806</v>
      </c>
      <c r="Q1553" s="170">
        <v>42656</v>
      </c>
      <c r="R1553" s="66">
        <v>42657</v>
      </c>
      <c r="S1553" s="113">
        <f t="shared" si="188"/>
        <v>21</v>
      </c>
    </row>
    <row r="1554" spans="1:22" s="3" customFormat="1" hidden="1" x14ac:dyDescent="0.25">
      <c r="A1554" s="30">
        <v>742</v>
      </c>
      <c r="B1554" s="24">
        <v>42636</v>
      </c>
      <c r="C1554" s="1">
        <v>114</v>
      </c>
      <c r="D1554" s="1">
        <v>3000032981</v>
      </c>
      <c r="E1554" s="1" t="s">
        <v>29</v>
      </c>
      <c r="F1554" s="16">
        <v>183</v>
      </c>
      <c r="G1554" s="25">
        <v>42627</v>
      </c>
      <c r="H1554" s="25"/>
      <c r="I1554" s="25">
        <v>42630</v>
      </c>
      <c r="J1554" s="1" t="s">
        <v>8</v>
      </c>
      <c r="K1554" s="77">
        <v>14.45</v>
      </c>
      <c r="L1554" s="1">
        <v>14.45</v>
      </c>
      <c r="M1554" s="1">
        <f t="shared" si="189"/>
        <v>14.45</v>
      </c>
      <c r="N1554" s="7">
        <f t="shared" si="190"/>
        <v>42644</v>
      </c>
      <c r="O1554" s="1">
        <v>732615</v>
      </c>
      <c r="P1554" s="38">
        <f t="shared" si="192"/>
        <v>732615</v>
      </c>
      <c r="Q1554" s="170">
        <v>42656</v>
      </c>
      <c r="R1554" s="66">
        <v>42657</v>
      </c>
      <c r="S1554" s="113">
        <f t="shared" si="188"/>
        <v>13</v>
      </c>
    </row>
    <row r="1555" spans="1:22" s="3" customFormat="1" hidden="1" x14ac:dyDescent="0.25">
      <c r="A1555" s="30">
        <v>743</v>
      </c>
      <c r="B1555" s="24">
        <v>42636</v>
      </c>
      <c r="C1555" s="1">
        <v>114</v>
      </c>
      <c r="D1555" s="1">
        <v>3000033784</v>
      </c>
      <c r="E1555" s="1" t="s">
        <v>29</v>
      </c>
      <c r="F1555" s="16">
        <v>184</v>
      </c>
      <c r="G1555" s="25">
        <v>42627</v>
      </c>
      <c r="H1555" s="25"/>
      <c r="I1555" s="25">
        <v>42630</v>
      </c>
      <c r="J1555" s="1" t="s">
        <v>8</v>
      </c>
      <c r="K1555" s="77">
        <v>15.07</v>
      </c>
      <c r="L1555" s="1">
        <v>14.93</v>
      </c>
      <c r="M1555" s="1">
        <f t="shared" si="189"/>
        <v>14.93</v>
      </c>
      <c r="N1555" s="7">
        <f t="shared" si="190"/>
        <v>42644</v>
      </c>
      <c r="O1555" s="1">
        <v>858990</v>
      </c>
      <c r="P1555" s="38">
        <f t="shared" si="192"/>
        <v>851010</v>
      </c>
      <c r="Q1555" s="170">
        <v>42656</v>
      </c>
      <c r="R1555" s="66">
        <v>42657</v>
      </c>
      <c r="S1555" s="113">
        <f t="shared" si="188"/>
        <v>13</v>
      </c>
    </row>
    <row r="1556" spans="1:22" s="3" customFormat="1" hidden="1" x14ac:dyDescent="0.25">
      <c r="A1556" s="30">
        <v>665</v>
      </c>
      <c r="B1556" s="24">
        <v>42621</v>
      </c>
      <c r="C1556" s="1">
        <v>114</v>
      </c>
      <c r="D1556" s="1">
        <v>3000034088</v>
      </c>
      <c r="E1556" s="1" t="s">
        <v>30</v>
      </c>
      <c r="F1556" s="1">
        <v>233</v>
      </c>
      <c r="G1556" s="25">
        <v>42616</v>
      </c>
      <c r="H1556" s="25"/>
      <c r="I1556" s="25">
        <v>42618</v>
      </c>
      <c r="J1556" s="1" t="s">
        <v>229</v>
      </c>
      <c r="K1556" s="77">
        <v>28.77</v>
      </c>
      <c r="L1556" s="1">
        <v>28.67</v>
      </c>
      <c r="M1556" s="1">
        <f t="shared" si="189"/>
        <v>28.67</v>
      </c>
      <c r="N1556" s="7">
        <f t="shared" si="190"/>
        <v>42632</v>
      </c>
      <c r="O1556" s="1">
        <v>1590981</v>
      </c>
      <c r="P1556" s="38">
        <f t="shared" si="192"/>
        <v>1585451</v>
      </c>
      <c r="Q1556" s="170">
        <v>42656</v>
      </c>
      <c r="R1556" s="66">
        <v>42656</v>
      </c>
      <c r="S1556" s="113">
        <f t="shared" si="188"/>
        <v>24</v>
      </c>
    </row>
    <row r="1557" spans="1:22" s="3" customFormat="1" hidden="1" x14ac:dyDescent="0.25">
      <c r="A1557" s="30">
        <v>688</v>
      </c>
      <c r="B1557" s="24">
        <v>42622</v>
      </c>
      <c r="C1557" s="1">
        <v>114</v>
      </c>
      <c r="D1557" s="1">
        <v>3000034089</v>
      </c>
      <c r="E1557" s="1" t="s">
        <v>30</v>
      </c>
      <c r="F1557" s="1">
        <v>235</v>
      </c>
      <c r="G1557" s="25">
        <v>42617</v>
      </c>
      <c r="H1557" s="25"/>
      <c r="I1557" s="25">
        <v>42620</v>
      </c>
      <c r="J1557" s="1" t="s">
        <v>229</v>
      </c>
      <c r="K1557" s="77">
        <v>29.06</v>
      </c>
      <c r="L1557" s="1">
        <v>28.88</v>
      </c>
      <c r="M1557" s="1">
        <f t="shared" si="189"/>
        <v>28.88</v>
      </c>
      <c r="N1557" s="7">
        <f t="shared" si="190"/>
        <v>42634</v>
      </c>
      <c r="O1557" s="1">
        <v>1607018</v>
      </c>
      <c r="P1557" s="38">
        <f t="shared" si="192"/>
        <v>1597064</v>
      </c>
      <c r="Q1557" s="170">
        <v>42656</v>
      </c>
      <c r="R1557" s="66">
        <v>42656</v>
      </c>
      <c r="S1557" s="113">
        <f t="shared" si="188"/>
        <v>22</v>
      </c>
    </row>
    <row r="1558" spans="1:22" s="3" customFormat="1" hidden="1" x14ac:dyDescent="0.25">
      <c r="A1558" s="30">
        <v>689</v>
      </c>
      <c r="B1558" s="24">
        <v>42622</v>
      </c>
      <c r="C1558" s="1">
        <v>114</v>
      </c>
      <c r="D1558" s="1">
        <v>3000034089</v>
      </c>
      <c r="E1558" s="1" t="s">
        <v>30</v>
      </c>
      <c r="F1558" s="1">
        <v>236</v>
      </c>
      <c r="G1558" s="25">
        <v>42617</v>
      </c>
      <c r="H1558" s="25"/>
      <c r="I1558" s="25">
        <v>42620</v>
      </c>
      <c r="J1558" s="1" t="s">
        <v>229</v>
      </c>
      <c r="K1558" s="77">
        <v>27.91</v>
      </c>
      <c r="L1558" s="1">
        <v>27.83</v>
      </c>
      <c r="M1558" s="1">
        <f t="shared" si="189"/>
        <v>27.83</v>
      </c>
      <c r="N1558" s="7">
        <f t="shared" si="190"/>
        <v>42634</v>
      </c>
      <c r="O1558" s="1">
        <v>1543423</v>
      </c>
      <c r="P1558" s="38">
        <f t="shared" si="192"/>
        <v>1538999</v>
      </c>
      <c r="Q1558" s="170">
        <v>42656</v>
      </c>
      <c r="R1558" s="66">
        <v>42656</v>
      </c>
      <c r="S1558" s="113">
        <f t="shared" si="188"/>
        <v>22</v>
      </c>
    </row>
    <row r="1559" spans="1:22" s="3" customFormat="1" hidden="1" x14ac:dyDescent="0.25">
      <c r="A1559" s="30">
        <v>719</v>
      </c>
      <c r="B1559" s="24">
        <v>42628</v>
      </c>
      <c r="C1559" s="1">
        <v>114</v>
      </c>
      <c r="D1559" s="1">
        <v>3000032982</v>
      </c>
      <c r="E1559" s="1" t="s">
        <v>27</v>
      </c>
      <c r="F1559" s="1">
        <v>884</v>
      </c>
      <c r="G1559" s="25">
        <v>42613</v>
      </c>
      <c r="H1559" s="25"/>
      <c r="I1559" s="25">
        <v>42621</v>
      </c>
      <c r="J1559" s="1" t="s">
        <v>8</v>
      </c>
      <c r="K1559" s="77">
        <v>21.295000000000002</v>
      </c>
      <c r="L1559" s="1">
        <v>21.27</v>
      </c>
      <c r="M1559" s="1">
        <f t="shared" si="189"/>
        <v>21.27</v>
      </c>
      <c r="N1559" s="7">
        <f t="shared" si="190"/>
        <v>42635</v>
      </c>
      <c r="O1559" s="1">
        <v>1079657</v>
      </c>
      <c r="P1559" s="38">
        <f t="shared" si="192"/>
        <v>1078389.4994130076</v>
      </c>
      <c r="Q1559" s="170">
        <v>42656</v>
      </c>
      <c r="R1559" s="66">
        <v>42656</v>
      </c>
      <c r="S1559" s="113">
        <f t="shared" si="188"/>
        <v>21</v>
      </c>
    </row>
    <row r="1560" spans="1:22" s="3" customFormat="1" hidden="1" x14ac:dyDescent="0.25">
      <c r="A1560" s="30">
        <v>729</v>
      </c>
      <c r="B1560" s="24">
        <v>42632</v>
      </c>
      <c r="C1560" s="1">
        <v>114</v>
      </c>
      <c r="D1560" s="1">
        <v>3000033785</v>
      </c>
      <c r="E1560" s="1" t="s">
        <v>27</v>
      </c>
      <c r="F1560" s="1">
        <v>891</v>
      </c>
      <c r="G1560" s="25">
        <v>42627</v>
      </c>
      <c r="H1560" s="25"/>
      <c r="I1560" s="25">
        <v>42629</v>
      </c>
      <c r="J1560" s="1" t="s">
        <v>8</v>
      </c>
      <c r="K1560" s="77">
        <v>26.87</v>
      </c>
      <c r="L1560" s="1">
        <v>26.7</v>
      </c>
      <c r="M1560" s="1">
        <f t="shared" si="189"/>
        <v>26.7</v>
      </c>
      <c r="N1560" s="7">
        <f t="shared" si="190"/>
        <v>42643</v>
      </c>
      <c r="O1560" s="1">
        <v>1531590</v>
      </c>
      <c r="P1560" s="38">
        <f t="shared" si="192"/>
        <v>1521900</v>
      </c>
      <c r="Q1560" s="170">
        <v>42656</v>
      </c>
      <c r="R1560" s="66">
        <v>42656</v>
      </c>
      <c r="S1560" s="113">
        <f t="shared" si="188"/>
        <v>13</v>
      </c>
      <c r="T1560" s="15" t="s">
        <v>328</v>
      </c>
      <c r="U1560" s="15"/>
      <c r="V1560" s="15"/>
    </row>
    <row r="1561" spans="1:22" s="3" customFormat="1" hidden="1" x14ac:dyDescent="0.25">
      <c r="A1561" s="30">
        <v>820</v>
      </c>
      <c r="B1561" s="24">
        <v>42655</v>
      </c>
      <c r="C1561" s="1">
        <v>116</v>
      </c>
      <c r="D1561" s="1">
        <v>3000034876</v>
      </c>
      <c r="E1561" s="1" t="s">
        <v>320</v>
      </c>
      <c r="F1561" s="1">
        <v>9601987828</v>
      </c>
      <c r="G1561" s="25">
        <v>42647</v>
      </c>
      <c r="H1561" s="25"/>
      <c r="I1561" s="25">
        <v>42647</v>
      </c>
      <c r="J1561" s="1" t="s">
        <v>16</v>
      </c>
      <c r="K1561" s="77">
        <v>19.920000000000002</v>
      </c>
      <c r="L1561" s="1">
        <v>19.920000000000002</v>
      </c>
      <c r="M1561" s="1">
        <f t="shared" si="189"/>
        <v>19.920000000000002</v>
      </c>
      <c r="N1561" s="7">
        <f>+I1561+7-1</f>
        <v>42653</v>
      </c>
      <c r="O1561" s="1">
        <v>1058873</v>
      </c>
      <c r="P1561" s="26">
        <f t="shared" si="192"/>
        <v>1058873</v>
      </c>
      <c r="Q1561" s="170">
        <v>42657</v>
      </c>
      <c r="R1561" s="66">
        <v>42660</v>
      </c>
      <c r="S1561" s="113">
        <f t="shared" si="188"/>
        <v>7</v>
      </c>
    </row>
    <row r="1562" spans="1:22" s="3" customFormat="1" hidden="1" x14ac:dyDescent="0.25">
      <c r="A1562" s="30">
        <v>819</v>
      </c>
      <c r="B1562" s="24">
        <v>42655</v>
      </c>
      <c r="C1562" s="1">
        <v>116</v>
      </c>
      <c r="D1562" s="1">
        <v>3000034805</v>
      </c>
      <c r="E1562" s="18" t="s">
        <v>231</v>
      </c>
      <c r="F1562" s="1">
        <v>399</v>
      </c>
      <c r="G1562" s="25">
        <v>42642</v>
      </c>
      <c r="H1562" s="25"/>
      <c r="I1562" s="25">
        <v>42642</v>
      </c>
      <c r="J1562" s="1" t="s">
        <v>232</v>
      </c>
      <c r="K1562" s="77">
        <v>24.95</v>
      </c>
      <c r="L1562" s="1">
        <v>24.95</v>
      </c>
      <c r="M1562" s="1">
        <f t="shared" si="189"/>
        <v>24.95</v>
      </c>
      <c r="N1562" s="7">
        <f>+I1562+15-1</f>
        <v>42656</v>
      </c>
      <c r="O1562" s="1">
        <v>1985022</v>
      </c>
      <c r="P1562" s="26">
        <f t="shared" si="192"/>
        <v>1985022</v>
      </c>
      <c r="Q1562" s="170">
        <v>42657</v>
      </c>
      <c r="R1562" s="66">
        <v>42660</v>
      </c>
      <c r="S1562" s="113">
        <f t="shared" si="188"/>
        <v>4</v>
      </c>
      <c r="T1562" s="15" t="s">
        <v>329</v>
      </c>
      <c r="U1562" s="15"/>
      <c r="V1562" s="15"/>
    </row>
    <row r="1563" spans="1:22" s="3" customFormat="1" hidden="1" x14ac:dyDescent="0.25">
      <c r="A1563" s="30">
        <v>516</v>
      </c>
      <c r="B1563" s="24">
        <v>42587</v>
      </c>
      <c r="C1563" s="1">
        <v>103</v>
      </c>
      <c r="D1563" s="1">
        <v>3000032776</v>
      </c>
      <c r="E1563" s="1" t="s">
        <v>180</v>
      </c>
      <c r="F1563" s="1">
        <v>198</v>
      </c>
      <c r="G1563" s="25">
        <v>42578</v>
      </c>
      <c r="H1563" s="25"/>
      <c r="I1563" s="25">
        <v>42582</v>
      </c>
      <c r="J1563" s="1" t="s">
        <v>61</v>
      </c>
      <c r="K1563" s="77">
        <v>16.2</v>
      </c>
      <c r="L1563" s="1">
        <v>16.149999999999999</v>
      </c>
      <c r="M1563" s="1">
        <f t="shared" si="189"/>
        <v>16.149999999999999</v>
      </c>
      <c r="N1563" s="7">
        <f>+I1563+20-1</f>
        <v>42601</v>
      </c>
      <c r="O1563" s="1">
        <v>1270100</v>
      </c>
      <c r="P1563" s="38">
        <f t="shared" si="192"/>
        <v>1266179.9382716049</v>
      </c>
      <c r="Q1563" s="170">
        <v>42662</v>
      </c>
      <c r="R1563" s="66">
        <v>42662</v>
      </c>
      <c r="S1563" s="113">
        <f t="shared" si="188"/>
        <v>61</v>
      </c>
    </row>
    <row r="1564" spans="1:22" s="3" customFormat="1" hidden="1" x14ac:dyDescent="0.25">
      <c r="A1564" s="30">
        <v>517</v>
      </c>
      <c r="B1564" s="24">
        <v>42587</v>
      </c>
      <c r="C1564" s="1">
        <v>103</v>
      </c>
      <c r="D1564" s="1">
        <v>3000032776</v>
      </c>
      <c r="E1564" s="1" t="s">
        <v>180</v>
      </c>
      <c r="F1564" s="1">
        <v>201</v>
      </c>
      <c r="G1564" s="25">
        <v>42579</v>
      </c>
      <c r="H1564" s="25"/>
      <c r="I1564" s="25">
        <v>42583</v>
      </c>
      <c r="J1564" s="1" t="s">
        <v>61</v>
      </c>
      <c r="K1564" s="77">
        <v>16.66</v>
      </c>
      <c r="L1564" s="1">
        <v>16.61</v>
      </c>
      <c r="M1564" s="1">
        <f t="shared" si="189"/>
        <v>16.61</v>
      </c>
      <c r="N1564" s="7">
        <f>+I1564+20-1</f>
        <v>42602</v>
      </c>
      <c r="O1564" s="1">
        <v>1306100</v>
      </c>
      <c r="P1564" s="38">
        <f t="shared" si="192"/>
        <v>1302180.1320528211</v>
      </c>
      <c r="Q1564" s="170">
        <v>42662</v>
      </c>
      <c r="R1564" s="66">
        <v>42662</v>
      </c>
      <c r="S1564" s="113">
        <f t="shared" si="188"/>
        <v>60</v>
      </c>
    </row>
    <row r="1565" spans="1:22" s="3" customFormat="1" hidden="1" x14ac:dyDescent="0.25">
      <c r="A1565" s="30">
        <v>587</v>
      </c>
      <c r="B1565" s="24">
        <v>42594</v>
      </c>
      <c r="C1565" s="1">
        <v>103</v>
      </c>
      <c r="D1565" s="1">
        <v>3000032636</v>
      </c>
      <c r="E1565" s="1" t="s">
        <v>171</v>
      </c>
      <c r="F1565" s="16">
        <v>39</v>
      </c>
      <c r="G1565" s="25">
        <v>42587</v>
      </c>
      <c r="H1565" s="25"/>
      <c r="I1565" s="25">
        <v>42592</v>
      </c>
      <c r="J1565" s="1" t="s">
        <v>61</v>
      </c>
      <c r="K1565" s="77">
        <v>3.5</v>
      </c>
      <c r="L1565" s="1">
        <v>3.5</v>
      </c>
      <c r="M1565" s="1">
        <f t="shared" si="189"/>
        <v>3.5</v>
      </c>
      <c r="N1565" s="7">
        <f>+I1565+20-1</f>
        <v>42611</v>
      </c>
      <c r="O1565" s="1">
        <v>272320</v>
      </c>
      <c r="P1565" s="38">
        <f t="shared" si="192"/>
        <v>272320</v>
      </c>
      <c r="Q1565" s="170">
        <v>42662</v>
      </c>
      <c r="R1565" s="66">
        <v>42662</v>
      </c>
      <c r="S1565" s="113">
        <f t="shared" si="188"/>
        <v>51</v>
      </c>
    </row>
    <row r="1566" spans="1:22" s="3" customFormat="1" hidden="1" x14ac:dyDescent="0.25">
      <c r="A1566" s="30">
        <v>588</v>
      </c>
      <c r="B1566" s="24">
        <v>42594</v>
      </c>
      <c r="C1566" s="1">
        <v>103</v>
      </c>
      <c r="D1566" s="1">
        <v>3000032779</v>
      </c>
      <c r="E1566" s="1" t="s">
        <v>171</v>
      </c>
      <c r="F1566" s="16">
        <v>39</v>
      </c>
      <c r="G1566" s="25">
        <v>42587</v>
      </c>
      <c r="H1566" s="25"/>
      <c r="I1566" s="25">
        <v>42592</v>
      </c>
      <c r="J1566" s="1" t="s">
        <v>61</v>
      </c>
      <c r="K1566" s="77">
        <v>12.5</v>
      </c>
      <c r="L1566" s="1">
        <v>12.48</v>
      </c>
      <c r="M1566" s="1">
        <f t="shared" si="189"/>
        <v>12.48</v>
      </c>
      <c r="N1566" s="7">
        <f>+I1566+20-1</f>
        <v>42611</v>
      </c>
      <c r="O1566" s="1">
        <v>979965</v>
      </c>
      <c r="P1566" s="38">
        <f t="shared" si="192"/>
        <v>978397.05599999998</v>
      </c>
      <c r="Q1566" s="170">
        <v>42662</v>
      </c>
      <c r="R1566" s="66">
        <v>42662</v>
      </c>
      <c r="S1566" s="113">
        <f t="shared" si="188"/>
        <v>51</v>
      </c>
    </row>
    <row r="1567" spans="1:22" s="3" customFormat="1" hidden="1" x14ac:dyDescent="0.25">
      <c r="A1567" s="30">
        <v>659</v>
      </c>
      <c r="B1567" s="24">
        <v>42621</v>
      </c>
      <c r="C1567" s="1">
        <v>114</v>
      </c>
      <c r="D1567" s="1">
        <v>3000034216</v>
      </c>
      <c r="E1567" s="1" t="s">
        <v>37</v>
      </c>
      <c r="F1567" s="1">
        <v>122</v>
      </c>
      <c r="G1567" s="25">
        <v>42614</v>
      </c>
      <c r="H1567" s="25"/>
      <c r="I1567" s="25">
        <v>42617</v>
      </c>
      <c r="J1567" s="1" t="s">
        <v>16</v>
      </c>
      <c r="K1567" s="77">
        <v>33.125</v>
      </c>
      <c r="L1567" s="1">
        <v>32.9</v>
      </c>
      <c r="M1567" s="1">
        <f t="shared" si="189"/>
        <v>32.9</v>
      </c>
      <c r="N1567" s="7">
        <f>+I1567+15-1</f>
        <v>42631</v>
      </c>
      <c r="O1567" s="1">
        <v>1871563</v>
      </c>
      <c r="P1567" s="38">
        <f t="shared" si="192"/>
        <v>1858850.4966037734</v>
      </c>
      <c r="Q1567" s="170">
        <v>42662</v>
      </c>
      <c r="R1567" s="66">
        <v>42662</v>
      </c>
      <c r="S1567" s="113">
        <f t="shared" si="188"/>
        <v>31</v>
      </c>
    </row>
    <row r="1568" spans="1:22" s="3" customFormat="1" hidden="1" x14ac:dyDescent="0.25">
      <c r="A1568" s="30">
        <v>686</v>
      </c>
      <c r="B1568" s="24">
        <v>42622</v>
      </c>
      <c r="C1568" s="1">
        <v>114</v>
      </c>
      <c r="D1568" s="1">
        <v>3000030426</v>
      </c>
      <c r="E1568" s="1" t="s">
        <v>49</v>
      </c>
      <c r="F1568" s="1">
        <v>30</v>
      </c>
      <c r="G1568" s="25">
        <v>42616</v>
      </c>
      <c r="H1568" s="25"/>
      <c r="I1568" s="25">
        <v>42619</v>
      </c>
      <c r="J1568" s="1" t="s">
        <v>8</v>
      </c>
      <c r="K1568" s="77">
        <v>31.524999999999999</v>
      </c>
      <c r="L1568" s="1">
        <v>31.45</v>
      </c>
      <c r="M1568" s="1">
        <f t="shared" si="189"/>
        <v>31.45</v>
      </c>
      <c r="N1568" s="7">
        <f>+I1568+15-1</f>
        <v>42633</v>
      </c>
      <c r="O1568" s="1">
        <v>1721265</v>
      </c>
      <c r="P1568" s="38">
        <f t="shared" si="192"/>
        <v>1717170</v>
      </c>
      <c r="Q1568" s="170">
        <v>42662</v>
      </c>
      <c r="R1568" s="66">
        <v>42662</v>
      </c>
      <c r="S1568" s="113">
        <f t="shared" si="188"/>
        <v>29</v>
      </c>
    </row>
    <row r="1569" spans="1:19" s="3" customFormat="1" hidden="1" x14ac:dyDescent="0.25">
      <c r="A1569" s="30">
        <v>721</v>
      </c>
      <c r="B1569" s="24">
        <v>42628</v>
      </c>
      <c r="C1569" s="1">
        <v>114</v>
      </c>
      <c r="D1569" s="1">
        <v>3000032988</v>
      </c>
      <c r="E1569" s="1" t="s">
        <v>44</v>
      </c>
      <c r="F1569" s="16">
        <v>47</v>
      </c>
      <c r="G1569" s="25">
        <v>42618</v>
      </c>
      <c r="H1569" s="25"/>
      <c r="I1569" s="25">
        <v>42621</v>
      </c>
      <c r="J1569" s="1" t="s">
        <v>8</v>
      </c>
      <c r="K1569" s="77">
        <v>17.7</v>
      </c>
      <c r="L1569" s="1">
        <v>17.7</v>
      </c>
      <c r="M1569" s="1">
        <f t="shared" si="189"/>
        <v>17.7</v>
      </c>
      <c r="N1569" s="7">
        <f>+I1569+15-1</f>
        <v>42635</v>
      </c>
      <c r="O1569" s="1">
        <v>897390</v>
      </c>
      <c r="P1569" s="38">
        <f t="shared" si="192"/>
        <v>897390</v>
      </c>
      <c r="Q1569" s="170">
        <v>42662</v>
      </c>
      <c r="R1569" s="66">
        <v>42662</v>
      </c>
      <c r="S1569" s="113">
        <f t="shared" si="188"/>
        <v>27</v>
      </c>
    </row>
    <row r="1570" spans="1:19" s="3" customFormat="1" hidden="1" x14ac:dyDescent="0.25">
      <c r="A1570" s="30">
        <v>722</v>
      </c>
      <c r="B1570" s="24">
        <v>42628</v>
      </c>
      <c r="C1570" s="1">
        <v>114</v>
      </c>
      <c r="D1570" s="1">
        <v>3000034342</v>
      </c>
      <c r="E1570" s="1" t="s">
        <v>44</v>
      </c>
      <c r="F1570" s="16">
        <v>47</v>
      </c>
      <c r="G1570" s="25">
        <v>42618</v>
      </c>
      <c r="H1570" s="25"/>
      <c r="I1570" s="25">
        <v>42621</v>
      </c>
      <c r="J1570" s="1" t="s">
        <v>8</v>
      </c>
      <c r="K1570" s="77">
        <v>9.66</v>
      </c>
      <c r="L1570" s="1">
        <v>9.5299999999999994</v>
      </c>
      <c r="M1570" s="1">
        <f t="shared" si="189"/>
        <v>9.5299999999999994</v>
      </c>
      <c r="N1570" s="7">
        <f>+I1570+15-1</f>
        <v>42635</v>
      </c>
      <c r="O1570" s="1">
        <v>555450</v>
      </c>
      <c r="P1570" s="38">
        <f t="shared" si="192"/>
        <v>547975</v>
      </c>
      <c r="Q1570" s="170">
        <v>42662</v>
      </c>
      <c r="R1570" s="66">
        <v>42662</v>
      </c>
      <c r="S1570" s="113">
        <f t="shared" si="188"/>
        <v>27</v>
      </c>
    </row>
    <row r="1571" spans="1:19" s="3" customFormat="1" hidden="1" x14ac:dyDescent="0.25">
      <c r="A1571" s="30">
        <v>675</v>
      </c>
      <c r="B1571" s="24">
        <v>42621</v>
      </c>
      <c r="C1571" s="1">
        <v>103</v>
      </c>
      <c r="D1571" s="1">
        <v>3000032222</v>
      </c>
      <c r="E1571" s="1" t="s">
        <v>184</v>
      </c>
      <c r="F1571" s="1">
        <v>144</v>
      </c>
      <c r="G1571" s="25">
        <v>42613</v>
      </c>
      <c r="H1571" s="25"/>
      <c r="I1571" s="25">
        <v>42616</v>
      </c>
      <c r="J1571" s="1" t="s">
        <v>61</v>
      </c>
      <c r="K1571" s="77">
        <v>10.050000000000001</v>
      </c>
      <c r="L1571" s="1">
        <v>10.029999999999999</v>
      </c>
      <c r="M1571" s="1">
        <f t="shared" si="189"/>
        <v>10.029999999999999</v>
      </c>
      <c r="N1571" s="7">
        <f>+I1571+20-1</f>
        <v>42635</v>
      </c>
      <c r="O1571" s="1">
        <v>783996</v>
      </c>
      <c r="P1571" s="38">
        <f t="shared" si="192"/>
        <v>782435.80895522377</v>
      </c>
      <c r="Q1571" s="170">
        <v>42662</v>
      </c>
      <c r="R1571" s="66">
        <v>42662</v>
      </c>
      <c r="S1571" s="113">
        <f t="shared" si="188"/>
        <v>27</v>
      </c>
    </row>
    <row r="1572" spans="1:19" s="3" customFormat="1" hidden="1" x14ac:dyDescent="0.25">
      <c r="A1572" s="30">
        <v>676</v>
      </c>
      <c r="B1572" s="24">
        <v>42621</v>
      </c>
      <c r="C1572" s="1">
        <v>103</v>
      </c>
      <c r="D1572" s="1">
        <v>3000032310</v>
      </c>
      <c r="E1572" s="1" t="s">
        <v>184</v>
      </c>
      <c r="F1572" s="1">
        <v>145</v>
      </c>
      <c r="G1572" s="25">
        <v>42614</v>
      </c>
      <c r="H1572" s="25"/>
      <c r="I1572" s="25">
        <v>42618</v>
      </c>
      <c r="J1572" s="1" t="s">
        <v>61</v>
      </c>
      <c r="K1572" s="77">
        <v>20.22</v>
      </c>
      <c r="L1572" s="1">
        <v>20.2</v>
      </c>
      <c r="M1572" s="1">
        <f t="shared" si="189"/>
        <v>20.2</v>
      </c>
      <c r="N1572" s="7">
        <f>+I1572+20-1</f>
        <v>42637</v>
      </c>
      <c r="O1572" s="1">
        <v>1567041</v>
      </c>
      <c r="P1572" s="38">
        <f t="shared" si="192"/>
        <v>1565491.0089020771</v>
      </c>
      <c r="Q1572" s="170">
        <v>42662</v>
      </c>
      <c r="R1572" s="66">
        <v>42662</v>
      </c>
      <c r="S1572" s="113">
        <f t="shared" si="188"/>
        <v>25</v>
      </c>
    </row>
    <row r="1573" spans="1:19" s="3" customFormat="1" hidden="1" x14ac:dyDescent="0.25">
      <c r="A1573" s="30">
        <v>677</v>
      </c>
      <c r="B1573" s="24">
        <v>42621</v>
      </c>
      <c r="C1573" s="1">
        <v>103</v>
      </c>
      <c r="D1573" s="1">
        <v>3000032310</v>
      </c>
      <c r="E1573" s="1" t="s">
        <v>184</v>
      </c>
      <c r="F1573" s="1">
        <v>146</v>
      </c>
      <c r="G1573" s="25">
        <v>42614</v>
      </c>
      <c r="H1573" s="25"/>
      <c r="I1573" s="25">
        <v>42619</v>
      </c>
      <c r="J1573" s="1" t="s">
        <v>61</v>
      </c>
      <c r="K1573" s="77">
        <v>20.170000000000002</v>
      </c>
      <c r="L1573" s="1">
        <v>20.11</v>
      </c>
      <c r="M1573" s="1">
        <f t="shared" si="189"/>
        <v>20.11</v>
      </c>
      <c r="N1573" s="7">
        <f>+I1573+20-1</f>
        <v>42638</v>
      </c>
      <c r="O1573" s="1">
        <v>1563166</v>
      </c>
      <c r="P1573" s="38">
        <f t="shared" si="192"/>
        <v>1558516.0267724341</v>
      </c>
      <c r="Q1573" s="170">
        <v>42662</v>
      </c>
      <c r="R1573" s="66">
        <v>42662</v>
      </c>
      <c r="S1573" s="113">
        <f t="shared" si="188"/>
        <v>24</v>
      </c>
    </row>
    <row r="1574" spans="1:19" s="3" customFormat="1" hidden="1" x14ac:dyDescent="0.25">
      <c r="A1574" s="30">
        <v>698</v>
      </c>
      <c r="B1574" s="24">
        <v>42625</v>
      </c>
      <c r="C1574" s="1">
        <v>103</v>
      </c>
      <c r="D1574" s="1">
        <v>3000032310</v>
      </c>
      <c r="E1574" s="1" t="s">
        <v>184</v>
      </c>
      <c r="F1574" s="1">
        <v>154</v>
      </c>
      <c r="G1574" s="25">
        <v>42618</v>
      </c>
      <c r="H1574" s="25"/>
      <c r="I1574" s="25">
        <v>42622</v>
      </c>
      <c r="J1574" s="1" t="s">
        <v>61</v>
      </c>
      <c r="K1574" s="77">
        <v>19.77</v>
      </c>
      <c r="L1574" s="1">
        <v>19.7</v>
      </c>
      <c r="M1574" s="1">
        <f t="shared" si="189"/>
        <v>19.7</v>
      </c>
      <c r="N1574" s="7">
        <f>+I1574+20-1</f>
        <v>42641</v>
      </c>
      <c r="O1574" s="1">
        <v>1532116</v>
      </c>
      <c r="P1574" s="38">
        <f t="shared" si="192"/>
        <v>1526691.2089023772</v>
      </c>
      <c r="Q1574" s="170">
        <v>42662</v>
      </c>
      <c r="R1574" s="66">
        <v>42662</v>
      </c>
      <c r="S1574" s="113">
        <f t="shared" si="188"/>
        <v>21</v>
      </c>
    </row>
    <row r="1575" spans="1:19" s="3" customFormat="1" hidden="1" x14ac:dyDescent="0.25">
      <c r="A1575" s="30">
        <v>733</v>
      </c>
      <c r="B1575" s="24">
        <v>42632</v>
      </c>
      <c r="C1575" s="1">
        <v>114</v>
      </c>
      <c r="D1575" s="1">
        <v>3000032986</v>
      </c>
      <c r="E1575" s="1" t="s">
        <v>138</v>
      </c>
      <c r="F1575" s="1">
        <v>9054</v>
      </c>
      <c r="G1575" s="25">
        <v>42620</v>
      </c>
      <c r="H1575" s="25"/>
      <c r="I1575" s="25">
        <v>42623</v>
      </c>
      <c r="J1575" s="1" t="s">
        <v>8</v>
      </c>
      <c r="K1575" s="77">
        <v>19.97</v>
      </c>
      <c r="L1575" s="1">
        <v>19.899999999999999</v>
      </c>
      <c r="M1575" s="1">
        <f t="shared" si="189"/>
        <v>19.899999999999999</v>
      </c>
      <c r="N1575" s="7">
        <f t="shared" ref="N1575:N1580" si="193">+I1575+15-1</f>
        <v>42637</v>
      </c>
      <c r="O1575" s="1">
        <v>1012479</v>
      </c>
      <c r="P1575" s="38">
        <f t="shared" si="192"/>
        <v>1008929.9999999999</v>
      </c>
      <c r="Q1575" s="170">
        <v>42662</v>
      </c>
      <c r="R1575" s="66">
        <v>42662</v>
      </c>
      <c r="S1575" s="113">
        <f t="shared" si="188"/>
        <v>25</v>
      </c>
    </row>
    <row r="1576" spans="1:19" s="3" customFormat="1" hidden="1" x14ac:dyDescent="0.25">
      <c r="A1576" s="30">
        <v>730</v>
      </c>
      <c r="B1576" s="24">
        <v>42632</v>
      </c>
      <c r="C1576" s="1">
        <v>114</v>
      </c>
      <c r="D1576" s="1">
        <v>3000032982</v>
      </c>
      <c r="E1576" s="1" t="s">
        <v>27</v>
      </c>
      <c r="F1576" s="16">
        <v>892</v>
      </c>
      <c r="G1576" s="25">
        <v>42627</v>
      </c>
      <c r="H1576" s="25"/>
      <c r="I1576" s="25">
        <v>42629</v>
      </c>
      <c r="J1576" s="1" t="s">
        <v>8</v>
      </c>
      <c r="K1576" s="77">
        <v>9.83</v>
      </c>
      <c r="L1576" s="1">
        <v>9.83</v>
      </c>
      <c r="M1576" s="1">
        <f t="shared" si="189"/>
        <v>9.83</v>
      </c>
      <c r="N1576" s="7">
        <f t="shared" si="193"/>
        <v>42643</v>
      </c>
      <c r="O1576" s="1">
        <v>498381</v>
      </c>
      <c r="P1576" s="38">
        <f t="shared" si="192"/>
        <v>498381</v>
      </c>
      <c r="Q1576" s="170">
        <v>42662</v>
      </c>
      <c r="R1576" s="66">
        <v>42662</v>
      </c>
      <c r="S1576" s="113">
        <f t="shared" si="188"/>
        <v>19</v>
      </c>
    </row>
    <row r="1577" spans="1:19" s="3" customFormat="1" hidden="1" x14ac:dyDescent="0.25">
      <c r="A1577" s="30">
        <v>731</v>
      </c>
      <c r="B1577" s="24">
        <v>42632</v>
      </c>
      <c r="C1577" s="1">
        <v>114</v>
      </c>
      <c r="D1577" s="1">
        <v>3000033785</v>
      </c>
      <c r="E1577" s="1" t="s">
        <v>27</v>
      </c>
      <c r="F1577" s="16">
        <v>892</v>
      </c>
      <c r="G1577" s="25">
        <v>42627</v>
      </c>
      <c r="H1577" s="25"/>
      <c r="I1577" s="25">
        <v>42629</v>
      </c>
      <c r="J1577" s="1" t="s">
        <v>8</v>
      </c>
      <c r="K1577" s="77">
        <v>10</v>
      </c>
      <c r="L1577" s="1">
        <v>9.91</v>
      </c>
      <c r="M1577" s="1">
        <f t="shared" si="189"/>
        <v>9.91</v>
      </c>
      <c r="N1577" s="7">
        <f t="shared" si="193"/>
        <v>42643</v>
      </c>
      <c r="O1577" s="1">
        <v>570000</v>
      </c>
      <c r="P1577" s="38">
        <f t="shared" si="192"/>
        <v>564870</v>
      </c>
      <c r="Q1577" s="170">
        <v>42662</v>
      </c>
      <c r="R1577" s="66">
        <v>42662</v>
      </c>
      <c r="S1577" s="113">
        <f t="shared" si="188"/>
        <v>19</v>
      </c>
    </row>
    <row r="1578" spans="1:19" s="3" customFormat="1" hidden="1" x14ac:dyDescent="0.25">
      <c r="A1578" s="30">
        <v>732</v>
      </c>
      <c r="B1578" s="24">
        <v>42632</v>
      </c>
      <c r="C1578" s="1">
        <v>114</v>
      </c>
      <c r="D1578" s="1">
        <v>3000034486</v>
      </c>
      <c r="E1578" s="1" t="s">
        <v>27</v>
      </c>
      <c r="F1578" s="1">
        <v>24</v>
      </c>
      <c r="G1578" s="25">
        <v>42623</v>
      </c>
      <c r="H1578" s="25"/>
      <c r="I1578" s="25">
        <v>42629</v>
      </c>
      <c r="J1578" s="1" t="s">
        <v>16</v>
      </c>
      <c r="K1578" s="77">
        <v>23.2</v>
      </c>
      <c r="L1578" s="1">
        <v>23.22</v>
      </c>
      <c r="M1578" s="1">
        <f t="shared" si="189"/>
        <v>23.2</v>
      </c>
      <c r="N1578" s="7">
        <f t="shared" si="193"/>
        <v>42643</v>
      </c>
      <c r="O1578" s="1">
        <v>1310800</v>
      </c>
      <c r="P1578" s="38">
        <f t="shared" si="192"/>
        <v>1310800</v>
      </c>
      <c r="Q1578" s="170">
        <v>42662</v>
      </c>
      <c r="R1578" s="66">
        <v>42662</v>
      </c>
      <c r="S1578" s="113">
        <f t="shared" si="188"/>
        <v>19</v>
      </c>
    </row>
    <row r="1579" spans="1:19" s="3" customFormat="1" hidden="1" x14ac:dyDescent="0.25">
      <c r="A1579" s="30">
        <v>740</v>
      </c>
      <c r="B1579" s="24">
        <v>42636</v>
      </c>
      <c r="C1579" s="1">
        <v>114</v>
      </c>
      <c r="D1579" s="1">
        <v>3000034485</v>
      </c>
      <c r="E1579" s="1" t="s">
        <v>27</v>
      </c>
      <c r="F1579" s="16">
        <v>25</v>
      </c>
      <c r="G1579" s="25">
        <v>42629</v>
      </c>
      <c r="H1579" s="25"/>
      <c r="I1579" s="25">
        <v>42630</v>
      </c>
      <c r="J1579" s="1" t="s">
        <v>16</v>
      </c>
      <c r="K1579" s="77">
        <v>17.2</v>
      </c>
      <c r="L1579" s="1">
        <v>17.2</v>
      </c>
      <c r="M1579" s="1">
        <f t="shared" si="189"/>
        <v>17.2</v>
      </c>
      <c r="N1579" s="7">
        <f t="shared" si="193"/>
        <v>42644</v>
      </c>
      <c r="O1579" s="1">
        <v>854840</v>
      </c>
      <c r="P1579" s="38">
        <f t="shared" si="192"/>
        <v>854840</v>
      </c>
      <c r="Q1579" s="170">
        <v>42662</v>
      </c>
      <c r="R1579" s="66">
        <v>42662</v>
      </c>
      <c r="S1579" s="113">
        <f t="shared" ref="S1579:S1642" si="194">R1579-N1579</f>
        <v>18</v>
      </c>
    </row>
    <row r="1580" spans="1:19" s="3" customFormat="1" hidden="1" x14ac:dyDescent="0.25">
      <c r="A1580" s="30">
        <v>741</v>
      </c>
      <c r="B1580" s="24">
        <v>42636</v>
      </c>
      <c r="C1580" s="1">
        <v>114</v>
      </c>
      <c r="D1580" s="1">
        <v>3000034486</v>
      </c>
      <c r="E1580" s="1" t="s">
        <v>27</v>
      </c>
      <c r="F1580" s="16">
        <v>25</v>
      </c>
      <c r="G1580" s="25">
        <v>42629</v>
      </c>
      <c r="H1580" s="25"/>
      <c r="I1580" s="25">
        <v>42630</v>
      </c>
      <c r="J1580" s="1" t="s">
        <v>16</v>
      </c>
      <c r="K1580" s="77">
        <v>1.38</v>
      </c>
      <c r="L1580" s="1">
        <v>1.24</v>
      </c>
      <c r="M1580" s="1">
        <f t="shared" si="189"/>
        <v>1.24</v>
      </c>
      <c r="N1580" s="7">
        <f t="shared" si="193"/>
        <v>42644</v>
      </c>
      <c r="O1580" s="1">
        <v>77970</v>
      </c>
      <c r="P1580" s="38">
        <f t="shared" si="192"/>
        <v>70060.000000000015</v>
      </c>
      <c r="Q1580" s="170">
        <v>42662</v>
      </c>
      <c r="R1580" s="66">
        <v>42662</v>
      </c>
      <c r="S1580" s="113">
        <f t="shared" si="194"/>
        <v>18</v>
      </c>
    </row>
    <row r="1581" spans="1:19" s="3" customFormat="1" hidden="1" x14ac:dyDescent="0.25">
      <c r="A1581" s="30">
        <v>672</v>
      </c>
      <c r="B1581" s="24">
        <v>42621</v>
      </c>
      <c r="C1581" s="1">
        <v>103</v>
      </c>
      <c r="D1581" s="1">
        <v>3000033783</v>
      </c>
      <c r="E1581" s="1" t="s">
        <v>213</v>
      </c>
      <c r="F1581" s="1">
        <v>137</v>
      </c>
      <c r="G1581" s="25">
        <v>42612</v>
      </c>
      <c r="H1581" s="25"/>
      <c r="I1581" s="25">
        <v>42616</v>
      </c>
      <c r="J1581" s="1" t="s">
        <v>61</v>
      </c>
      <c r="K1581" s="77">
        <v>20.059999999999999</v>
      </c>
      <c r="L1581" s="1">
        <v>20.02</v>
      </c>
      <c r="M1581" s="1">
        <f t="shared" si="189"/>
        <v>20.02</v>
      </c>
      <c r="N1581" s="7">
        <f>+I1581+30-1</f>
        <v>42645</v>
      </c>
      <c r="O1581" s="1">
        <v>2086223</v>
      </c>
      <c r="P1581" s="38">
        <f t="shared" si="192"/>
        <v>2082063.0338983051</v>
      </c>
      <c r="Q1581" s="170">
        <v>42662</v>
      </c>
      <c r="R1581" s="66">
        <v>42662</v>
      </c>
      <c r="S1581" s="113">
        <f t="shared" si="194"/>
        <v>17</v>
      </c>
    </row>
    <row r="1582" spans="1:19" s="3" customFormat="1" hidden="1" x14ac:dyDescent="0.25">
      <c r="A1582" s="30">
        <v>761</v>
      </c>
      <c r="B1582" s="24">
        <v>42639</v>
      </c>
      <c r="C1582" s="1">
        <v>114</v>
      </c>
      <c r="D1582" s="1">
        <v>3000031770</v>
      </c>
      <c r="E1582" s="1" t="s">
        <v>29</v>
      </c>
      <c r="F1582" s="16">
        <v>186</v>
      </c>
      <c r="G1582" s="25">
        <v>42632</v>
      </c>
      <c r="H1582" s="25"/>
      <c r="I1582" s="25">
        <v>42635</v>
      </c>
      <c r="J1582" s="1" t="s">
        <v>16</v>
      </c>
      <c r="K1582" s="77">
        <v>14.1</v>
      </c>
      <c r="L1582" s="1">
        <v>14.1</v>
      </c>
      <c r="M1582" s="1">
        <f t="shared" si="189"/>
        <v>14.1</v>
      </c>
      <c r="N1582" s="7">
        <f t="shared" ref="N1582:N1590" si="195">+I1582+15-1</f>
        <v>42649</v>
      </c>
      <c r="O1582" s="1">
        <v>700770</v>
      </c>
      <c r="P1582" s="38">
        <f t="shared" ref="P1582:P1599" si="196">(+O1582/K1582*M1582)</f>
        <v>700770</v>
      </c>
      <c r="Q1582" s="170">
        <v>42662</v>
      </c>
      <c r="R1582" s="66">
        <v>42662</v>
      </c>
      <c r="S1582" s="113">
        <f t="shared" si="194"/>
        <v>13</v>
      </c>
    </row>
    <row r="1583" spans="1:19" s="3" customFormat="1" hidden="1" x14ac:dyDescent="0.25">
      <c r="A1583" s="30">
        <v>762</v>
      </c>
      <c r="B1583" s="24">
        <v>42639</v>
      </c>
      <c r="C1583" s="1">
        <v>114</v>
      </c>
      <c r="D1583" s="1">
        <v>3000034221</v>
      </c>
      <c r="E1583" s="1" t="s">
        <v>29</v>
      </c>
      <c r="F1583" s="16">
        <v>187</v>
      </c>
      <c r="G1583" s="25">
        <v>42632</v>
      </c>
      <c r="H1583" s="25"/>
      <c r="I1583" s="25">
        <v>42635</v>
      </c>
      <c r="J1583" s="1" t="s">
        <v>16</v>
      </c>
      <c r="K1583" s="77">
        <v>21.92</v>
      </c>
      <c r="L1583" s="1">
        <v>21.85</v>
      </c>
      <c r="M1583" s="1">
        <f t="shared" si="189"/>
        <v>21.85</v>
      </c>
      <c r="N1583" s="7">
        <f t="shared" si="195"/>
        <v>42649</v>
      </c>
      <c r="O1583" s="1">
        <v>1238480</v>
      </c>
      <c r="P1583" s="38">
        <f t="shared" si="196"/>
        <v>1234525</v>
      </c>
      <c r="Q1583" s="170">
        <v>42662</v>
      </c>
      <c r="R1583" s="66">
        <v>42662</v>
      </c>
      <c r="S1583" s="113">
        <f t="shared" si="194"/>
        <v>13</v>
      </c>
    </row>
    <row r="1584" spans="1:19" s="3" customFormat="1" hidden="1" x14ac:dyDescent="0.25">
      <c r="A1584" s="30">
        <v>763</v>
      </c>
      <c r="B1584" s="24">
        <v>42639</v>
      </c>
      <c r="C1584" s="1">
        <v>114</v>
      </c>
      <c r="D1584" s="1">
        <v>3000033784</v>
      </c>
      <c r="E1584" s="1" t="s">
        <v>29</v>
      </c>
      <c r="F1584" s="1">
        <v>188</v>
      </c>
      <c r="G1584" s="25">
        <v>42632</v>
      </c>
      <c r="H1584" s="25"/>
      <c r="I1584" s="25">
        <v>42635</v>
      </c>
      <c r="J1584" s="1" t="s">
        <v>8</v>
      </c>
      <c r="K1584" s="77">
        <v>29.17</v>
      </c>
      <c r="L1584" s="1">
        <v>28.97</v>
      </c>
      <c r="M1584" s="1">
        <f t="shared" si="189"/>
        <v>28.97</v>
      </c>
      <c r="N1584" s="7">
        <f t="shared" si="195"/>
        <v>42649</v>
      </c>
      <c r="O1584" s="1">
        <v>1662690</v>
      </c>
      <c r="P1584" s="38">
        <f t="shared" si="196"/>
        <v>1651290</v>
      </c>
      <c r="Q1584" s="170">
        <v>42662</v>
      </c>
      <c r="R1584" s="66">
        <v>42662</v>
      </c>
      <c r="S1584" s="113">
        <f t="shared" si="194"/>
        <v>13</v>
      </c>
    </row>
    <row r="1585" spans="1:22" s="3" customFormat="1" hidden="1" x14ac:dyDescent="0.25">
      <c r="A1585" s="30">
        <v>769</v>
      </c>
      <c r="B1585" s="24">
        <v>42641</v>
      </c>
      <c r="C1585" s="1">
        <v>114</v>
      </c>
      <c r="D1585" s="1">
        <v>3000033784</v>
      </c>
      <c r="E1585" s="1" t="s">
        <v>29</v>
      </c>
      <c r="F1585" s="16">
        <v>190</v>
      </c>
      <c r="G1585" s="25">
        <v>42633</v>
      </c>
      <c r="H1585" s="25"/>
      <c r="I1585" s="25">
        <v>42637</v>
      </c>
      <c r="J1585" s="1" t="s">
        <v>8</v>
      </c>
      <c r="K1585" s="77">
        <v>16.760000000000002</v>
      </c>
      <c r="L1585" s="1">
        <v>16.760000000000002</v>
      </c>
      <c r="M1585" s="1">
        <f t="shared" si="189"/>
        <v>16.760000000000002</v>
      </c>
      <c r="N1585" s="7">
        <f t="shared" si="195"/>
        <v>42651</v>
      </c>
      <c r="O1585" s="1">
        <v>955320</v>
      </c>
      <c r="P1585" s="38">
        <f t="shared" si="196"/>
        <v>955320</v>
      </c>
      <c r="Q1585" s="170">
        <v>42662</v>
      </c>
      <c r="R1585" s="66">
        <v>42662</v>
      </c>
      <c r="S1585" s="113">
        <f t="shared" si="194"/>
        <v>11</v>
      </c>
    </row>
    <row r="1586" spans="1:22" s="3" customFormat="1" hidden="1" x14ac:dyDescent="0.25">
      <c r="A1586" s="30">
        <v>770</v>
      </c>
      <c r="B1586" s="24">
        <v>42641</v>
      </c>
      <c r="C1586" s="1">
        <v>114</v>
      </c>
      <c r="D1586" s="1">
        <v>3000034345</v>
      </c>
      <c r="E1586" s="1" t="s">
        <v>29</v>
      </c>
      <c r="F1586" s="16">
        <v>191</v>
      </c>
      <c r="G1586" s="25">
        <v>42633</v>
      </c>
      <c r="H1586" s="25"/>
      <c r="I1586" s="25">
        <v>42637</v>
      </c>
      <c r="J1586" s="1" t="s">
        <v>8</v>
      </c>
      <c r="K1586" s="77">
        <v>2.76</v>
      </c>
      <c r="L1586" s="1">
        <v>2.65</v>
      </c>
      <c r="M1586" s="1">
        <f t="shared" si="189"/>
        <v>2.65</v>
      </c>
      <c r="N1586" s="7">
        <f t="shared" si="195"/>
        <v>42651</v>
      </c>
      <c r="O1586" s="1">
        <v>158700</v>
      </c>
      <c r="P1586" s="38">
        <f t="shared" si="196"/>
        <v>152375</v>
      </c>
      <c r="Q1586" s="170">
        <v>42662</v>
      </c>
      <c r="R1586" s="66">
        <v>42662</v>
      </c>
      <c r="S1586" s="113">
        <f t="shared" si="194"/>
        <v>11</v>
      </c>
    </row>
    <row r="1587" spans="1:22" s="3" customFormat="1" hidden="1" x14ac:dyDescent="0.25">
      <c r="A1587" s="30">
        <v>764</v>
      </c>
      <c r="B1587" s="24">
        <v>42639</v>
      </c>
      <c r="C1587" s="1">
        <v>114</v>
      </c>
      <c r="D1587" s="1">
        <v>3000034220</v>
      </c>
      <c r="E1587" s="1" t="s">
        <v>18</v>
      </c>
      <c r="F1587" s="1">
        <v>79</v>
      </c>
      <c r="G1587" s="25">
        <v>42633</v>
      </c>
      <c r="H1587" s="25"/>
      <c r="I1587" s="25">
        <v>42635</v>
      </c>
      <c r="J1587" s="1" t="s">
        <v>16</v>
      </c>
      <c r="K1587" s="77">
        <v>18.98</v>
      </c>
      <c r="L1587" s="1">
        <v>18.84</v>
      </c>
      <c r="M1587" s="1">
        <f t="shared" si="189"/>
        <v>18.84</v>
      </c>
      <c r="N1587" s="7">
        <f t="shared" si="195"/>
        <v>42649</v>
      </c>
      <c r="O1587" s="1">
        <v>1072370</v>
      </c>
      <c r="P1587" s="38">
        <f t="shared" si="196"/>
        <v>1064460</v>
      </c>
      <c r="Q1587" s="170">
        <v>42662</v>
      </c>
      <c r="R1587" s="66">
        <v>42662</v>
      </c>
      <c r="S1587" s="113">
        <f t="shared" si="194"/>
        <v>13</v>
      </c>
    </row>
    <row r="1588" spans="1:22" s="3" customFormat="1" hidden="1" x14ac:dyDescent="0.25">
      <c r="A1588" s="30">
        <v>789</v>
      </c>
      <c r="B1588" s="24">
        <v>42646</v>
      </c>
      <c r="C1588" s="1">
        <v>114</v>
      </c>
      <c r="D1588" s="1">
        <v>3000034199</v>
      </c>
      <c r="E1588" s="1" t="s">
        <v>18</v>
      </c>
      <c r="F1588" s="1">
        <v>83</v>
      </c>
      <c r="G1588" s="25">
        <v>42636</v>
      </c>
      <c r="H1588" s="25"/>
      <c r="I1588" s="25">
        <v>42639</v>
      </c>
      <c r="J1588" s="1" t="s">
        <v>8</v>
      </c>
      <c r="K1588" s="77">
        <v>27.9</v>
      </c>
      <c r="L1588" s="1">
        <v>27.66</v>
      </c>
      <c r="M1588" s="1">
        <f t="shared" si="189"/>
        <v>27.66</v>
      </c>
      <c r="N1588" s="7">
        <f t="shared" si="195"/>
        <v>42653</v>
      </c>
      <c r="O1588" s="1">
        <v>1590300</v>
      </c>
      <c r="P1588" s="38">
        <f t="shared" si="196"/>
        <v>1576620</v>
      </c>
      <c r="Q1588" s="170">
        <v>42662</v>
      </c>
      <c r="R1588" s="66">
        <v>42662</v>
      </c>
      <c r="S1588" s="113">
        <f t="shared" si="194"/>
        <v>9</v>
      </c>
    </row>
    <row r="1589" spans="1:22" s="3" customFormat="1" hidden="1" x14ac:dyDescent="0.25">
      <c r="A1589" s="30">
        <v>794</v>
      </c>
      <c r="B1589" s="24">
        <v>42646</v>
      </c>
      <c r="C1589" s="1">
        <v>114</v>
      </c>
      <c r="D1589" s="1">
        <v>3000034929</v>
      </c>
      <c r="E1589" s="1" t="s">
        <v>30</v>
      </c>
      <c r="F1589" s="1">
        <v>268</v>
      </c>
      <c r="G1589" s="25">
        <v>42638</v>
      </c>
      <c r="H1589" s="25"/>
      <c r="I1589" s="25">
        <v>42640</v>
      </c>
      <c r="J1589" s="1" t="s">
        <v>229</v>
      </c>
      <c r="K1589" s="77">
        <v>28.38</v>
      </c>
      <c r="L1589" s="1">
        <v>28.22</v>
      </c>
      <c r="M1589" s="1">
        <f t="shared" si="189"/>
        <v>28.22</v>
      </c>
      <c r="N1589" s="7">
        <f t="shared" si="195"/>
        <v>42654</v>
      </c>
      <c r="O1589" s="1">
        <v>1546711</v>
      </c>
      <c r="P1589" s="38">
        <f t="shared" si="196"/>
        <v>1537990.9943622269</v>
      </c>
      <c r="Q1589" s="170">
        <v>42662</v>
      </c>
      <c r="R1589" s="66">
        <v>42662</v>
      </c>
      <c r="S1589" s="113">
        <f t="shared" si="194"/>
        <v>8</v>
      </c>
    </row>
    <row r="1590" spans="1:22" s="3" customFormat="1" hidden="1" x14ac:dyDescent="0.25">
      <c r="A1590" s="30">
        <v>795</v>
      </c>
      <c r="B1590" s="24">
        <v>42646</v>
      </c>
      <c r="C1590" s="1">
        <v>114</v>
      </c>
      <c r="D1590" s="1">
        <v>3000034929</v>
      </c>
      <c r="E1590" s="1" t="s">
        <v>30</v>
      </c>
      <c r="F1590" s="1">
        <v>269</v>
      </c>
      <c r="G1590" s="25">
        <v>42638</v>
      </c>
      <c r="H1590" s="25"/>
      <c r="I1590" s="25">
        <v>42640</v>
      </c>
      <c r="J1590" s="1" t="s">
        <v>229</v>
      </c>
      <c r="K1590" s="77">
        <v>28.62</v>
      </c>
      <c r="L1590" s="1">
        <v>28.47</v>
      </c>
      <c r="M1590" s="1">
        <f t="shared" si="189"/>
        <v>28.47</v>
      </c>
      <c r="N1590" s="7">
        <f t="shared" si="195"/>
        <v>42654</v>
      </c>
      <c r="O1590" s="1">
        <v>1559791</v>
      </c>
      <c r="P1590" s="38">
        <f t="shared" si="196"/>
        <v>1551615.9947589098</v>
      </c>
      <c r="Q1590" s="170">
        <v>42662</v>
      </c>
      <c r="R1590" s="66">
        <v>42662</v>
      </c>
      <c r="S1590" s="113">
        <f t="shared" si="194"/>
        <v>8</v>
      </c>
      <c r="T1590" s="15" t="s">
        <v>330</v>
      </c>
      <c r="U1590" s="15"/>
      <c r="V1590" s="15"/>
    </row>
    <row r="1591" spans="1:22" s="234" customFormat="1" hidden="1" x14ac:dyDescent="0.25">
      <c r="A1591" s="226">
        <v>616</v>
      </c>
      <c r="B1591" s="227">
        <v>42605</v>
      </c>
      <c r="C1591" s="228">
        <v>103</v>
      </c>
      <c r="D1591" s="228">
        <v>3000031812</v>
      </c>
      <c r="E1591" s="228" t="s">
        <v>60</v>
      </c>
      <c r="F1591" s="228">
        <v>501</v>
      </c>
      <c r="G1591" s="229">
        <v>42595</v>
      </c>
      <c r="H1591" s="229"/>
      <c r="I1591" s="229">
        <v>42599</v>
      </c>
      <c r="J1591" s="228" t="s">
        <v>61</v>
      </c>
      <c r="K1591" s="230">
        <v>16.71</v>
      </c>
      <c r="L1591" s="228">
        <v>16.59</v>
      </c>
      <c r="M1591" s="228">
        <f t="shared" si="189"/>
        <v>16.59</v>
      </c>
      <c r="N1591" s="231">
        <f>+I1591+20-1</f>
        <v>42618</v>
      </c>
      <c r="O1591" s="228">
        <v>1315131</v>
      </c>
      <c r="P1591" s="232">
        <f t="shared" si="196"/>
        <v>1305686.6122082586</v>
      </c>
      <c r="Q1591" s="233">
        <v>42668</v>
      </c>
      <c r="R1591" s="231">
        <v>42669</v>
      </c>
      <c r="S1591" s="230">
        <f t="shared" si="194"/>
        <v>51</v>
      </c>
    </row>
    <row r="1592" spans="1:22" s="234" customFormat="1" hidden="1" x14ac:dyDescent="0.25">
      <c r="A1592" s="226">
        <v>617</v>
      </c>
      <c r="B1592" s="227">
        <v>42605</v>
      </c>
      <c r="C1592" s="228">
        <v>103</v>
      </c>
      <c r="D1592" s="228">
        <v>3000031812</v>
      </c>
      <c r="E1592" s="228" t="s">
        <v>60</v>
      </c>
      <c r="F1592" s="228">
        <v>510</v>
      </c>
      <c r="G1592" s="229">
        <v>42596</v>
      </c>
      <c r="H1592" s="229"/>
      <c r="I1592" s="229">
        <v>42599</v>
      </c>
      <c r="J1592" s="228" t="s">
        <v>61</v>
      </c>
      <c r="K1592" s="230">
        <v>15.68</v>
      </c>
      <c r="L1592" s="228">
        <v>15.7</v>
      </c>
      <c r="M1592" s="228">
        <f t="shared" si="189"/>
        <v>15.68</v>
      </c>
      <c r="N1592" s="231">
        <f>+I1592+20-1</f>
        <v>42618</v>
      </c>
      <c r="O1592" s="228">
        <v>1234066</v>
      </c>
      <c r="P1592" s="232">
        <f t="shared" si="196"/>
        <v>1234066</v>
      </c>
      <c r="Q1592" s="233">
        <v>42668</v>
      </c>
      <c r="R1592" s="231">
        <v>42669</v>
      </c>
      <c r="S1592" s="230">
        <f t="shared" si="194"/>
        <v>51</v>
      </c>
    </row>
    <row r="1593" spans="1:22" s="234" customFormat="1" hidden="1" x14ac:dyDescent="0.25">
      <c r="A1593" s="226">
        <v>623</v>
      </c>
      <c r="B1593" s="227">
        <v>42605</v>
      </c>
      <c r="C1593" s="228">
        <v>103</v>
      </c>
      <c r="D1593" s="228">
        <v>3000032360</v>
      </c>
      <c r="E1593" s="228" t="s">
        <v>60</v>
      </c>
      <c r="F1593" s="228">
        <v>514</v>
      </c>
      <c r="G1593" s="229">
        <v>42597</v>
      </c>
      <c r="H1593" s="229"/>
      <c r="I1593" s="229">
        <v>42602</v>
      </c>
      <c r="J1593" s="228" t="s">
        <v>61</v>
      </c>
      <c r="K1593" s="230">
        <v>20.22</v>
      </c>
      <c r="L1593" s="228">
        <v>20.21</v>
      </c>
      <c r="M1593" s="228">
        <f t="shared" si="189"/>
        <v>20.21</v>
      </c>
      <c r="N1593" s="231">
        <f>+I1593+20-1</f>
        <v>42621</v>
      </c>
      <c r="O1593" s="228">
        <v>1526618</v>
      </c>
      <c r="P1593" s="232">
        <f t="shared" si="196"/>
        <v>1525862.9960435214</v>
      </c>
      <c r="Q1593" s="233">
        <v>42668</v>
      </c>
      <c r="R1593" s="231">
        <v>42669</v>
      </c>
      <c r="S1593" s="230">
        <f t="shared" si="194"/>
        <v>48</v>
      </c>
    </row>
    <row r="1594" spans="1:22" s="234" customFormat="1" hidden="1" x14ac:dyDescent="0.25">
      <c r="A1594" s="226">
        <v>624</v>
      </c>
      <c r="B1594" s="227">
        <v>42605</v>
      </c>
      <c r="C1594" s="228">
        <v>103</v>
      </c>
      <c r="D1594" s="228">
        <v>3000032360</v>
      </c>
      <c r="E1594" s="228" t="s">
        <v>60</v>
      </c>
      <c r="F1594" s="228">
        <v>520</v>
      </c>
      <c r="G1594" s="229">
        <v>42598</v>
      </c>
      <c r="H1594" s="229"/>
      <c r="I1594" s="229">
        <v>42602</v>
      </c>
      <c r="J1594" s="228" t="s">
        <v>61</v>
      </c>
      <c r="K1594" s="230">
        <v>20.03</v>
      </c>
      <c r="L1594" s="228">
        <v>20.010000000000002</v>
      </c>
      <c r="M1594" s="228">
        <f t="shared" si="189"/>
        <v>20.010000000000002</v>
      </c>
      <c r="N1594" s="231">
        <f>+I1594+20-1</f>
        <v>42621</v>
      </c>
      <c r="O1594" s="228">
        <v>1512273</v>
      </c>
      <c r="P1594" s="232">
        <f t="shared" si="196"/>
        <v>1510762.992011982</v>
      </c>
      <c r="Q1594" s="233">
        <v>42668</v>
      </c>
      <c r="R1594" s="231">
        <v>42669</v>
      </c>
      <c r="S1594" s="230">
        <f t="shared" si="194"/>
        <v>48</v>
      </c>
    </row>
    <row r="1595" spans="1:22" s="234" customFormat="1" hidden="1" x14ac:dyDescent="0.25">
      <c r="A1595" s="226">
        <v>666</v>
      </c>
      <c r="B1595" s="227">
        <v>42621</v>
      </c>
      <c r="C1595" s="228">
        <v>103</v>
      </c>
      <c r="D1595" s="228">
        <v>3000033679</v>
      </c>
      <c r="E1595" s="228" t="s">
        <v>60</v>
      </c>
      <c r="F1595" s="228">
        <v>572</v>
      </c>
      <c r="G1595" s="229">
        <v>42612</v>
      </c>
      <c r="H1595" s="229"/>
      <c r="I1595" s="229">
        <v>42616</v>
      </c>
      <c r="J1595" s="228" t="s">
        <v>61</v>
      </c>
      <c r="K1595" s="230">
        <v>16.04</v>
      </c>
      <c r="L1595" s="228">
        <v>15.95</v>
      </c>
      <c r="M1595" s="228">
        <f t="shared" si="189"/>
        <v>15.95</v>
      </c>
      <c r="N1595" s="231">
        <f>+I1595+20-1</f>
        <v>42635</v>
      </c>
      <c r="O1595" s="228">
        <v>1475744</v>
      </c>
      <c r="P1595" s="232">
        <f t="shared" si="196"/>
        <v>1467463.6408977557</v>
      </c>
      <c r="Q1595" s="233">
        <v>42668</v>
      </c>
      <c r="R1595" s="231">
        <v>42669</v>
      </c>
      <c r="S1595" s="230">
        <f t="shared" si="194"/>
        <v>34</v>
      </c>
    </row>
    <row r="1596" spans="1:22" s="234" customFormat="1" hidden="1" x14ac:dyDescent="0.25">
      <c r="A1596" s="226">
        <v>888</v>
      </c>
      <c r="B1596" s="227">
        <v>42662</v>
      </c>
      <c r="C1596" s="228">
        <v>103</v>
      </c>
      <c r="D1596" s="228">
        <v>3000030955</v>
      </c>
      <c r="E1596" s="228" t="s">
        <v>60</v>
      </c>
      <c r="F1596" s="228">
        <v>274</v>
      </c>
      <c r="G1596" s="229">
        <v>42539</v>
      </c>
      <c r="H1596" s="229"/>
      <c r="I1596" s="229">
        <v>42550</v>
      </c>
      <c r="J1596" s="228" t="s">
        <v>61</v>
      </c>
      <c r="K1596" s="230">
        <v>24.53</v>
      </c>
      <c r="L1596" s="228">
        <v>24.46</v>
      </c>
      <c r="M1596" s="228">
        <f t="shared" si="189"/>
        <v>24.46</v>
      </c>
      <c r="N1596" s="231">
        <f>+I1596+20-'V V F India Out Standing'!O1107</f>
        <v>42570</v>
      </c>
      <c r="O1596" s="228">
        <v>1950105</v>
      </c>
      <c r="P1596" s="232">
        <f t="shared" si="196"/>
        <v>1944540.0856094577</v>
      </c>
      <c r="Q1596" s="233">
        <v>42668</v>
      </c>
      <c r="R1596" s="231">
        <v>42669</v>
      </c>
      <c r="S1596" s="230">
        <f t="shared" si="194"/>
        <v>99</v>
      </c>
    </row>
    <row r="1597" spans="1:22" s="241" customFormat="1" hidden="1" x14ac:dyDescent="0.25">
      <c r="A1597" s="242">
        <v>506</v>
      </c>
      <c r="B1597" s="236">
        <v>42587</v>
      </c>
      <c r="C1597" s="237">
        <v>103</v>
      </c>
      <c r="D1597" s="237">
        <v>3000032314</v>
      </c>
      <c r="E1597" s="228" t="s">
        <v>158</v>
      </c>
      <c r="F1597" s="237">
        <v>69</v>
      </c>
      <c r="G1597" s="238">
        <v>42578</v>
      </c>
      <c r="H1597" s="238"/>
      <c r="I1597" s="238">
        <v>42582</v>
      </c>
      <c r="J1597" s="237" t="s">
        <v>61</v>
      </c>
      <c r="K1597" s="239">
        <v>19.95</v>
      </c>
      <c r="L1597" s="237">
        <v>19.96</v>
      </c>
      <c r="M1597" s="237">
        <f t="shared" si="189"/>
        <v>19.95</v>
      </c>
      <c r="N1597" s="240">
        <f>+I1597+20-1</f>
        <v>42601</v>
      </c>
      <c r="O1597" s="237">
        <v>1546125</v>
      </c>
      <c r="P1597" s="232">
        <f t="shared" si="196"/>
        <v>1546125</v>
      </c>
      <c r="Q1597" s="233">
        <v>42668</v>
      </c>
      <c r="R1597" s="231">
        <v>42669</v>
      </c>
      <c r="S1597" s="230">
        <f t="shared" si="194"/>
        <v>68</v>
      </c>
    </row>
    <row r="1598" spans="1:22" s="241" customFormat="1" hidden="1" x14ac:dyDescent="0.25">
      <c r="A1598" s="242">
        <v>569</v>
      </c>
      <c r="B1598" s="236">
        <v>42591</v>
      </c>
      <c r="C1598" s="237">
        <v>103</v>
      </c>
      <c r="D1598" s="237">
        <v>3000032771</v>
      </c>
      <c r="E1598" s="237" t="s">
        <v>184</v>
      </c>
      <c r="F1598" s="237">
        <v>129</v>
      </c>
      <c r="G1598" s="238">
        <v>42585</v>
      </c>
      <c r="H1598" s="238"/>
      <c r="I1598" s="238">
        <v>42590</v>
      </c>
      <c r="J1598" s="237" t="s">
        <v>61</v>
      </c>
      <c r="K1598" s="239">
        <v>20.66</v>
      </c>
      <c r="L1598" s="237">
        <v>20.63</v>
      </c>
      <c r="M1598" s="237">
        <f t="shared" si="189"/>
        <v>20.63</v>
      </c>
      <c r="N1598" s="240">
        <f>+I1598+20-1</f>
        <v>42609</v>
      </c>
      <c r="O1598" s="237">
        <v>1619896</v>
      </c>
      <c r="P1598" s="232">
        <f t="shared" si="196"/>
        <v>1617543.7792836397</v>
      </c>
      <c r="Q1598" s="233">
        <v>42668</v>
      </c>
      <c r="R1598" s="231">
        <v>42669</v>
      </c>
      <c r="S1598" s="230">
        <f t="shared" si="194"/>
        <v>60</v>
      </c>
    </row>
    <row r="1599" spans="1:22" s="241" customFormat="1" hidden="1" x14ac:dyDescent="0.25">
      <c r="A1599" s="242">
        <v>702</v>
      </c>
      <c r="B1599" s="236">
        <v>42626</v>
      </c>
      <c r="C1599" s="237">
        <v>103</v>
      </c>
      <c r="D1599" s="237">
        <v>3000032310</v>
      </c>
      <c r="E1599" s="237" t="s">
        <v>184</v>
      </c>
      <c r="F1599" s="237">
        <v>147</v>
      </c>
      <c r="G1599" s="238">
        <v>42615</v>
      </c>
      <c r="H1599" s="238"/>
      <c r="I1599" s="238">
        <v>42622</v>
      </c>
      <c r="J1599" s="237" t="s">
        <v>61</v>
      </c>
      <c r="K1599" s="239">
        <v>15.6</v>
      </c>
      <c r="L1599" s="237">
        <v>15.59</v>
      </c>
      <c r="M1599" s="237">
        <f t="shared" si="189"/>
        <v>15.59</v>
      </c>
      <c r="N1599" s="240">
        <f>+I1599+20-1</f>
        <v>42641</v>
      </c>
      <c r="O1599" s="237">
        <v>1216790</v>
      </c>
      <c r="P1599" s="232">
        <f t="shared" si="196"/>
        <v>1216010.0064102563</v>
      </c>
      <c r="Q1599" s="233">
        <v>42668</v>
      </c>
      <c r="R1599" s="231">
        <v>42669</v>
      </c>
      <c r="S1599" s="230">
        <f t="shared" si="194"/>
        <v>28</v>
      </c>
    </row>
    <row r="1600" spans="1:22" s="250" customFormat="1" hidden="1" x14ac:dyDescent="0.25">
      <c r="A1600" s="253">
        <v>693</v>
      </c>
      <c r="B1600" s="245">
        <v>42625</v>
      </c>
      <c r="C1600" s="246">
        <v>103</v>
      </c>
      <c r="D1600" s="246"/>
      <c r="E1600" s="246" t="s">
        <v>307</v>
      </c>
      <c r="F1600" s="246" t="s">
        <v>297</v>
      </c>
      <c r="G1600" s="247">
        <v>42590</v>
      </c>
      <c r="H1600" s="247"/>
      <c r="I1600" s="247">
        <v>42590</v>
      </c>
      <c r="J1600" s="246" t="s">
        <v>16</v>
      </c>
      <c r="K1600" s="248"/>
      <c r="L1600" s="246"/>
      <c r="M1600" s="246">
        <f t="shared" ref="M1600:M1663" si="197">IF(L1600&gt;K1600,K1600,L1600)</f>
        <v>0</v>
      </c>
      <c r="N1600" s="249">
        <f>+I1600+15-1</f>
        <v>42604</v>
      </c>
      <c r="O1600" s="246">
        <v>22174</v>
      </c>
      <c r="P1600" s="254">
        <f>(O1600- (O1600*10%))</f>
        <v>19956.599999999999</v>
      </c>
      <c r="Q1600" s="255">
        <v>42668</v>
      </c>
      <c r="R1600" s="249">
        <v>42669</v>
      </c>
      <c r="S1600" s="248">
        <f t="shared" si="194"/>
        <v>65</v>
      </c>
    </row>
    <row r="1601" spans="1:19" s="241" customFormat="1" hidden="1" x14ac:dyDescent="0.25">
      <c r="A1601" s="242">
        <v>643</v>
      </c>
      <c r="B1601" s="236">
        <v>42613</v>
      </c>
      <c r="C1601" s="237">
        <v>103</v>
      </c>
      <c r="D1601" s="237">
        <v>3000033774</v>
      </c>
      <c r="E1601" s="228" t="s">
        <v>202</v>
      </c>
      <c r="F1601" s="237">
        <v>115</v>
      </c>
      <c r="G1601" s="238">
        <v>42606</v>
      </c>
      <c r="H1601" s="238"/>
      <c r="I1601" s="238">
        <v>42611</v>
      </c>
      <c r="J1601" s="237" t="s">
        <v>61</v>
      </c>
      <c r="K1601" s="239">
        <v>15.83</v>
      </c>
      <c r="L1601" s="237">
        <v>15.8</v>
      </c>
      <c r="M1601" s="237">
        <f t="shared" si="197"/>
        <v>15.8</v>
      </c>
      <c r="N1601" s="240">
        <f>+I1601+20-1</f>
        <v>42630</v>
      </c>
      <c r="O1601" s="237">
        <v>1646320</v>
      </c>
      <c r="P1601" s="232">
        <f t="shared" ref="P1601:P1633" si="198">(+O1601/K1601*M1601)</f>
        <v>1643200</v>
      </c>
      <c r="Q1601" s="233">
        <v>42668</v>
      </c>
      <c r="R1601" s="231">
        <v>42669</v>
      </c>
      <c r="S1601" s="230">
        <f t="shared" si="194"/>
        <v>39</v>
      </c>
    </row>
    <row r="1602" spans="1:19" s="241" customFormat="1" hidden="1" x14ac:dyDescent="0.25">
      <c r="A1602" s="242">
        <v>642</v>
      </c>
      <c r="B1602" s="236">
        <v>42613</v>
      </c>
      <c r="C1602" s="237">
        <v>103</v>
      </c>
      <c r="D1602" s="237">
        <v>3000032224</v>
      </c>
      <c r="E1602" s="237" t="s">
        <v>192</v>
      </c>
      <c r="F1602" s="237">
        <v>27</v>
      </c>
      <c r="G1602" s="238">
        <v>42608</v>
      </c>
      <c r="H1602" s="238"/>
      <c r="I1602" s="238">
        <v>42611</v>
      </c>
      <c r="J1602" s="237" t="s">
        <v>61</v>
      </c>
      <c r="K1602" s="239">
        <v>20</v>
      </c>
      <c r="L1602" s="237">
        <v>19.96</v>
      </c>
      <c r="M1602" s="237">
        <f t="shared" si="197"/>
        <v>19.96</v>
      </c>
      <c r="N1602" s="240">
        <f>+I1602+20-1</f>
        <v>42630</v>
      </c>
      <c r="O1602" s="237">
        <v>1560000</v>
      </c>
      <c r="P1602" s="232">
        <f t="shared" si="198"/>
        <v>1556880</v>
      </c>
      <c r="Q1602" s="233">
        <v>42668</v>
      </c>
      <c r="R1602" s="231">
        <v>42669</v>
      </c>
      <c r="S1602" s="230">
        <f t="shared" si="194"/>
        <v>39</v>
      </c>
    </row>
    <row r="1603" spans="1:19" s="241" customFormat="1" hidden="1" x14ac:dyDescent="0.25">
      <c r="A1603" s="242">
        <v>683</v>
      </c>
      <c r="B1603" s="236">
        <v>42621</v>
      </c>
      <c r="C1603" s="237">
        <v>103</v>
      </c>
      <c r="D1603" s="237">
        <v>3000034023</v>
      </c>
      <c r="E1603" s="237" t="s">
        <v>225</v>
      </c>
      <c r="F1603" s="237">
        <v>120</v>
      </c>
      <c r="G1603" s="238">
        <v>42613</v>
      </c>
      <c r="H1603" s="238"/>
      <c r="I1603" s="238">
        <v>42616</v>
      </c>
      <c r="J1603" s="237" t="s">
        <v>61</v>
      </c>
      <c r="K1603" s="239">
        <v>20.2</v>
      </c>
      <c r="L1603" s="237">
        <v>20.14</v>
      </c>
      <c r="M1603" s="237">
        <f t="shared" si="197"/>
        <v>20.14</v>
      </c>
      <c r="N1603" s="240">
        <f>+I1603+30-1</f>
        <v>42645</v>
      </c>
      <c r="O1603" s="237">
        <v>1898800</v>
      </c>
      <c r="P1603" s="232">
        <f t="shared" si="198"/>
        <v>1893160</v>
      </c>
      <c r="Q1603" s="233">
        <v>42668</v>
      </c>
      <c r="R1603" s="231">
        <v>42669</v>
      </c>
      <c r="S1603" s="230">
        <f t="shared" si="194"/>
        <v>24</v>
      </c>
    </row>
    <row r="1604" spans="1:19" s="241" customFormat="1" hidden="1" x14ac:dyDescent="0.25">
      <c r="A1604" s="242">
        <v>671</v>
      </c>
      <c r="B1604" s="236">
        <v>42621</v>
      </c>
      <c r="C1604" s="237">
        <v>103</v>
      </c>
      <c r="D1604" s="237">
        <v>3000032780</v>
      </c>
      <c r="E1604" s="237" t="s">
        <v>267</v>
      </c>
      <c r="F1604" s="237">
        <v>30</v>
      </c>
      <c r="G1604" s="238">
        <v>42613</v>
      </c>
      <c r="H1604" s="238"/>
      <c r="I1604" s="238">
        <v>42617</v>
      </c>
      <c r="J1604" s="237" t="s">
        <v>61</v>
      </c>
      <c r="K1604" s="239">
        <v>20.16</v>
      </c>
      <c r="L1604" s="237">
        <v>20.14</v>
      </c>
      <c r="M1604" s="237">
        <f t="shared" si="197"/>
        <v>20.14</v>
      </c>
      <c r="N1604" s="240">
        <f>+I1604+20-1</f>
        <v>42636</v>
      </c>
      <c r="O1604" s="237">
        <v>1580544</v>
      </c>
      <c r="P1604" s="232">
        <f t="shared" si="198"/>
        <v>1578976</v>
      </c>
      <c r="Q1604" s="233">
        <v>42668</v>
      </c>
      <c r="R1604" s="231">
        <v>42669</v>
      </c>
      <c r="S1604" s="230">
        <f t="shared" si="194"/>
        <v>33</v>
      </c>
    </row>
    <row r="1605" spans="1:19" s="234" customFormat="1" hidden="1" x14ac:dyDescent="0.25">
      <c r="A1605" s="226">
        <v>678</v>
      </c>
      <c r="B1605" s="227">
        <v>42621</v>
      </c>
      <c r="C1605" s="228">
        <v>103</v>
      </c>
      <c r="D1605" s="228">
        <v>3000033775</v>
      </c>
      <c r="E1605" s="228" t="s">
        <v>169</v>
      </c>
      <c r="F1605" s="228">
        <v>175</v>
      </c>
      <c r="G1605" s="229">
        <v>42615</v>
      </c>
      <c r="H1605" s="229"/>
      <c r="I1605" s="229">
        <v>42618</v>
      </c>
      <c r="J1605" s="228" t="s">
        <v>61</v>
      </c>
      <c r="K1605" s="230">
        <v>22.33</v>
      </c>
      <c r="L1605" s="228">
        <v>22.27</v>
      </c>
      <c r="M1605" s="228">
        <f t="shared" si="197"/>
        <v>22.27</v>
      </c>
      <c r="N1605" s="231">
        <f>+I1605+30-1</f>
        <v>42647</v>
      </c>
      <c r="O1605" s="228">
        <v>2322320</v>
      </c>
      <c r="P1605" s="232">
        <f t="shared" si="198"/>
        <v>2316080.0000000005</v>
      </c>
      <c r="Q1605" s="233">
        <v>42668</v>
      </c>
      <c r="R1605" s="231">
        <v>42669</v>
      </c>
      <c r="S1605" s="230">
        <f t="shared" si="194"/>
        <v>22</v>
      </c>
    </row>
    <row r="1606" spans="1:19" s="234" customFormat="1" hidden="1" x14ac:dyDescent="0.25">
      <c r="A1606" s="226">
        <v>690</v>
      </c>
      <c r="B1606" s="227">
        <v>42622</v>
      </c>
      <c r="C1606" s="228">
        <v>103</v>
      </c>
      <c r="D1606" s="228">
        <v>3000033775</v>
      </c>
      <c r="E1606" s="228" t="s">
        <v>169</v>
      </c>
      <c r="F1606" s="228">
        <v>176</v>
      </c>
      <c r="G1606" s="229">
        <v>42615</v>
      </c>
      <c r="H1606" s="229"/>
      <c r="I1606" s="229">
        <v>42619</v>
      </c>
      <c r="J1606" s="228" t="s">
        <v>61</v>
      </c>
      <c r="K1606" s="230">
        <v>19.57</v>
      </c>
      <c r="L1606" s="228">
        <v>19.5</v>
      </c>
      <c r="M1606" s="228">
        <f t="shared" si="197"/>
        <v>19.5</v>
      </c>
      <c r="N1606" s="231">
        <f>+I1606+30-1</f>
        <v>42648</v>
      </c>
      <c r="O1606" s="228">
        <v>2035280</v>
      </c>
      <c r="P1606" s="232">
        <f t="shared" si="198"/>
        <v>2028000</v>
      </c>
      <c r="Q1606" s="233">
        <v>42668</v>
      </c>
      <c r="R1606" s="231">
        <v>42669</v>
      </c>
      <c r="S1606" s="230">
        <f t="shared" si="194"/>
        <v>21</v>
      </c>
    </row>
    <row r="1607" spans="1:19" s="234" customFormat="1" hidden="1" x14ac:dyDescent="0.25">
      <c r="A1607" s="226">
        <v>691</v>
      </c>
      <c r="B1607" s="227">
        <v>42622</v>
      </c>
      <c r="C1607" s="228">
        <v>103</v>
      </c>
      <c r="D1607" s="228">
        <v>3000033775</v>
      </c>
      <c r="E1607" s="228" t="s">
        <v>169</v>
      </c>
      <c r="F1607" s="228">
        <v>177</v>
      </c>
      <c r="G1607" s="229">
        <v>42615</v>
      </c>
      <c r="H1607" s="229"/>
      <c r="I1607" s="229">
        <v>42620</v>
      </c>
      <c r="J1607" s="228" t="s">
        <v>61</v>
      </c>
      <c r="K1607" s="230">
        <v>20.18</v>
      </c>
      <c r="L1607" s="228">
        <v>20.11</v>
      </c>
      <c r="M1607" s="228">
        <f t="shared" si="197"/>
        <v>20.11</v>
      </c>
      <c r="N1607" s="231">
        <f>+I1607+30-1</f>
        <v>42649</v>
      </c>
      <c r="O1607" s="228">
        <v>2098720</v>
      </c>
      <c r="P1607" s="232">
        <f t="shared" si="198"/>
        <v>2091440</v>
      </c>
      <c r="Q1607" s="233">
        <v>42668</v>
      </c>
      <c r="R1607" s="231">
        <v>42669</v>
      </c>
      <c r="S1607" s="230">
        <f t="shared" si="194"/>
        <v>20</v>
      </c>
    </row>
    <row r="1608" spans="1:19" s="234" customFormat="1" hidden="1" x14ac:dyDescent="0.25">
      <c r="A1608" s="226">
        <v>879</v>
      </c>
      <c r="B1608" s="227">
        <v>42662</v>
      </c>
      <c r="C1608" s="228">
        <v>114</v>
      </c>
      <c r="D1608" s="228">
        <v>3000035086</v>
      </c>
      <c r="E1608" s="228" t="s">
        <v>169</v>
      </c>
      <c r="F1608" s="228">
        <v>199</v>
      </c>
      <c r="G1608" s="229">
        <v>42649</v>
      </c>
      <c r="H1608" s="229"/>
      <c r="I1608" s="229">
        <v>42657</v>
      </c>
      <c r="J1608" s="228" t="s">
        <v>61</v>
      </c>
      <c r="K1608" s="230">
        <v>20.57</v>
      </c>
      <c r="L1608" s="228">
        <v>20.45</v>
      </c>
      <c r="M1608" s="228">
        <f t="shared" si="197"/>
        <v>20.45</v>
      </c>
      <c r="N1608" s="231">
        <f>+I1608+20-1</f>
        <v>42676</v>
      </c>
      <c r="O1608" s="228">
        <v>2015860</v>
      </c>
      <c r="P1608" s="232">
        <f t="shared" si="198"/>
        <v>2004100</v>
      </c>
      <c r="Q1608" s="233">
        <v>42668</v>
      </c>
      <c r="R1608" s="231">
        <v>42669</v>
      </c>
      <c r="S1608" s="230">
        <f t="shared" si="194"/>
        <v>-7</v>
      </c>
    </row>
    <row r="1609" spans="1:19" s="234" customFormat="1" hidden="1" x14ac:dyDescent="0.25">
      <c r="A1609" s="226">
        <v>880</v>
      </c>
      <c r="B1609" s="227">
        <v>42662</v>
      </c>
      <c r="C1609" s="228">
        <v>114</v>
      </c>
      <c r="D1609" s="228">
        <v>3000035086</v>
      </c>
      <c r="E1609" s="228" t="s">
        <v>169</v>
      </c>
      <c r="F1609" s="228">
        <v>197</v>
      </c>
      <c r="G1609" s="229">
        <v>42647</v>
      </c>
      <c r="H1609" s="229"/>
      <c r="I1609" s="229">
        <v>42657</v>
      </c>
      <c r="J1609" s="228" t="s">
        <v>61</v>
      </c>
      <c r="K1609" s="230">
        <v>21.07</v>
      </c>
      <c r="L1609" s="228">
        <v>21.04</v>
      </c>
      <c r="M1609" s="228">
        <f t="shared" si="197"/>
        <v>21.04</v>
      </c>
      <c r="N1609" s="231">
        <f>+I1609+20-1</f>
        <v>42676</v>
      </c>
      <c r="O1609" s="228">
        <v>2064860</v>
      </c>
      <c r="P1609" s="232">
        <f t="shared" si="198"/>
        <v>2061920</v>
      </c>
      <c r="Q1609" s="233">
        <v>42668</v>
      </c>
      <c r="R1609" s="231">
        <v>42669</v>
      </c>
      <c r="S1609" s="230">
        <f t="shared" si="194"/>
        <v>-7</v>
      </c>
    </row>
    <row r="1610" spans="1:19" s="234" customFormat="1" hidden="1" x14ac:dyDescent="0.25">
      <c r="A1610" s="226">
        <v>886</v>
      </c>
      <c r="B1610" s="227">
        <v>42662</v>
      </c>
      <c r="C1610" s="228">
        <v>114</v>
      </c>
      <c r="D1610" s="228">
        <v>3000035086</v>
      </c>
      <c r="E1610" s="228" t="s">
        <v>169</v>
      </c>
      <c r="F1610" s="228">
        <v>195</v>
      </c>
      <c r="G1610" s="229">
        <v>42646</v>
      </c>
      <c r="H1610" s="229"/>
      <c r="I1610" s="229">
        <v>42658</v>
      </c>
      <c r="J1610" s="228" t="s">
        <v>61</v>
      </c>
      <c r="K1610" s="230">
        <v>20.239999999999998</v>
      </c>
      <c r="L1610" s="228">
        <v>20.18</v>
      </c>
      <c r="M1610" s="228">
        <f t="shared" si="197"/>
        <v>20.18</v>
      </c>
      <c r="N1610" s="231">
        <f>+I1610+20-'V V F India Out Standing'!O1105</f>
        <v>42678</v>
      </c>
      <c r="O1610" s="228">
        <v>1983520</v>
      </c>
      <c r="P1610" s="232">
        <f t="shared" si="198"/>
        <v>1977640.0000000002</v>
      </c>
      <c r="Q1610" s="233">
        <v>42668</v>
      </c>
      <c r="R1610" s="231">
        <v>42669</v>
      </c>
      <c r="S1610" s="230">
        <f t="shared" si="194"/>
        <v>-9</v>
      </c>
    </row>
    <row r="1611" spans="1:19" s="234" customFormat="1" hidden="1" x14ac:dyDescent="0.25">
      <c r="A1611" s="226">
        <v>887</v>
      </c>
      <c r="B1611" s="227">
        <v>42662</v>
      </c>
      <c r="C1611" s="228">
        <v>114</v>
      </c>
      <c r="D1611" s="228">
        <v>3000035086</v>
      </c>
      <c r="E1611" s="228" t="s">
        <v>169</v>
      </c>
      <c r="F1611" s="228">
        <v>196</v>
      </c>
      <c r="G1611" s="229">
        <v>42647</v>
      </c>
      <c r="H1611" s="229"/>
      <c r="I1611" s="229">
        <v>42658</v>
      </c>
      <c r="J1611" s="228" t="s">
        <v>61</v>
      </c>
      <c r="K1611" s="230">
        <v>20.29</v>
      </c>
      <c r="L1611" s="228">
        <v>20.21</v>
      </c>
      <c r="M1611" s="228">
        <f t="shared" si="197"/>
        <v>20.21</v>
      </c>
      <c r="N1611" s="231">
        <f>+I1611+20-'V V F India Out Standing'!O1106</f>
        <v>42678</v>
      </c>
      <c r="O1611" s="228">
        <v>1988420</v>
      </c>
      <c r="P1611" s="232">
        <f t="shared" si="198"/>
        <v>1980580</v>
      </c>
      <c r="Q1611" s="233">
        <v>42668</v>
      </c>
      <c r="R1611" s="231">
        <v>42669</v>
      </c>
      <c r="S1611" s="230">
        <f t="shared" si="194"/>
        <v>-9</v>
      </c>
    </row>
    <row r="1612" spans="1:19" s="241" customFormat="1" hidden="1" x14ac:dyDescent="0.25">
      <c r="A1612" s="235">
        <v>697</v>
      </c>
      <c r="B1612" s="236">
        <v>42625</v>
      </c>
      <c r="C1612" s="237">
        <v>103</v>
      </c>
      <c r="D1612" s="237">
        <v>3000032779</v>
      </c>
      <c r="E1612" s="237" t="s">
        <v>171</v>
      </c>
      <c r="F1612" s="237">
        <v>41</v>
      </c>
      <c r="G1612" s="238">
        <v>42617</v>
      </c>
      <c r="H1612" s="238"/>
      <c r="I1612" s="238">
        <v>42622</v>
      </c>
      <c r="J1612" s="237" t="s">
        <v>61</v>
      </c>
      <c r="K1612" s="239">
        <v>19.489999999999998</v>
      </c>
      <c r="L1612" s="237">
        <v>19.48</v>
      </c>
      <c r="M1612" s="237">
        <f t="shared" si="197"/>
        <v>19.48</v>
      </c>
      <c r="N1612" s="240">
        <f>+I1612+20-1</f>
        <v>42641</v>
      </c>
      <c r="O1612" s="237">
        <v>1527961</v>
      </c>
      <c r="P1612" s="232">
        <f t="shared" si="198"/>
        <v>1527177.0282196</v>
      </c>
      <c r="Q1612" s="233">
        <v>42668</v>
      </c>
      <c r="R1612" s="231">
        <v>42669</v>
      </c>
      <c r="S1612" s="230">
        <f t="shared" si="194"/>
        <v>28</v>
      </c>
    </row>
    <row r="1613" spans="1:19" s="241" customFormat="1" hidden="1" x14ac:dyDescent="0.25">
      <c r="A1613" s="235">
        <v>673</v>
      </c>
      <c r="B1613" s="236">
        <v>42621</v>
      </c>
      <c r="C1613" s="237">
        <v>103</v>
      </c>
      <c r="D1613" s="237">
        <v>3000033783</v>
      </c>
      <c r="E1613" s="237" t="s">
        <v>213</v>
      </c>
      <c r="F1613" s="237">
        <v>138</v>
      </c>
      <c r="G1613" s="238">
        <v>42613</v>
      </c>
      <c r="H1613" s="238"/>
      <c r="I1613" s="238">
        <v>42618</v>
      </c>
      <c r="J1613" s="237" t="s">
        <v>61</v>
      </c>
      <c r="K1613" s="239">
        <v>19.91</v>
      </c>
      <c r="L1613" s="237">
        <v>19.899999999999999</v>
      </c>
      <c r="M1613" s="237">
        <f t="shared" si="197"/>
        <v>19.899999999999999</v>
      </c>
      <c r="N1613" s="240">
        <f>+I1613+30-1</f>
        <v>42647</v>
      </c>
      <c r="O1613" s="237">
        <v>2070628</v>
      </c>
      <c r="P1613" s="232">
        <f t="shared" si="198"/>
        <v>2069588.0060271218</v>
      </c>
      <c r="Q1613" s="233">
        <v>42668</v>
      </c>
      <c r="R1613" s="231">
        <v>42669</v>
      </c>
      <c r="S1613" s="230">
        <f t="shared" si="194"/>
        <v>22</v>
      </c>
    </row>
    <row r="1614" spans="1:19" s="234" customFormat="1" hidden="1" x14ac:dyDescent="0.25">
      <c r="A1614" s="226">
        <v>706</v>
      </c>
      <c r="B1614" s="227">
        <v>42626</v>
      </c>
      <c r="C1614" s="228">
        <v>103</v>
      </c>
      <c r="D1614" s="228">
        <v>3000033782</v>
      </c>
      <c r="E1614" s="228" t="s">
        <v>215</v>
      </c>
      <c r="F1614" s="228">
        <v>166</v>
      </c>
      <c r="G1614" s="229">
        <v>42619</v>
      </c>
      <c r="H1614" s="229"/>
      <c r="I1614" s="229">
        <v>42623</v>
      </c>
      <c r="J1614" s="228" t="s">
        <v>61</v>
      </c>
      <c r="K1614" s="230">
        <v>16.96</v>
      </c>
      <c r="L1614" s="228">
        <v>16.920000000000002</v>
      </c>
      <c r="M1614" s="228">
        <f t="shared" si="197"/>
        <v>16.920000000000002</v>
      </c>
      <c r="N1614" s="231">
        <f>+I1614+30-1</f>
        <v>42652</v>
      </c>
      <c r="O1614" s="228">
        <v>1712960</v>
      </c>
      <c r="P1614" s="232">
        <f t="shared" si="198"/>
        <v>1708920.0000000002</v>
      </c>
      <c r="Q1614" s="233">
        <v>42668</v>
      </c>
      <c r="R1614" s="231">
        <v>42669</v>
      </c>
      <c r="S1614" s="230">
        <f t="shared" si="194"/>
        <v>17</v>
      </c>
    </row>
    <row r="1615" spans="1:19" s="234" customFormat="1" hidden="1" x14ac:dyDescent="0.25">
      <c r="A1615" s="226">
        <v>707</v>
      </c>
      <c r="B1615" s="227">
        <v>42626</v>
      </c>
      <c r="C1615" s="228">
        <v>103</v>
      </c>
      <c r="D1615" s="228">
        <v>3000033782</v>
      </c>
      <c r="E1615" s="228" t="s">
        <v>215</v>
      </c>
      <c r="F1615" s="228">
        <v>167</v>
      </c>
      <c r="G1615" s="229">
        <v>42619</v>
      </c>
      <c r="H1615" s="229"/>
      <c r="I1615" s="229">
        <v>42622</v>
      </c>
      <c r="J1615" s="228" t="s">
        <v>61</v>
      </c>
      <c r="K1615" s="230">
        <v>19.829999999999998</v>
      </c>
      <c r="L1615" s="228">
        <v>19.760000000000002</v>
      </c>
      <c r="M1615" s="228">
        <f t="shared" si="197"/>
        <v>19.760000000000002</v>
      </c>
      <c r="N1615" s="231">
        <f>+I1615+30-1</f>
        <v>42651</v>
      </c>
      <c r="O1615" s="228">
        <v>2002830</v>
      </c>
      <c r="P1615" s="232">
        <f t="shared" si="198"/>
        <v>1995760.0000000005</v>
      </c>
      <c r="Q1615" s="233">
        <v>42668</v>
      </c>
      <c r="R1615" s="231">
        <v>42669</v>
      </c>
      <c r="S1615" s="230">
        <f t="shared" si="194"/>
        <v>18</v>
      </c>
    </row>
    <row r="1616" spans="1:19" s="234" customFormat="1" hidden="1" x14ac:dyDescent="0.25">
      <c r="A1616" s="226">
        <v>714</v>
      </c>
      <c r="B1616" s="227">
        <v>42628</v>
      </c>
      <c r="C1616" s="228">
        <v>103</v>
      </c>
      <c r="D1616" s="228">
        <v>3000033782</v>
      </c>
      <c r="E1616" s="228" t="s">
        <v>215</v>
      </c>
      <c r="F1616" s="228">
        <v>169</v>
      </c>
      <c r="G1616" s="229">
        <v>42621</v>
      </c>
      <c r="H1616" s="229"/>
      <c r="I1616" s="229">
        <v>42625</v>
      </c>
      <c r="J1616" s="228" t="s">
        <v>61</v>
      </c>
      <c r="K1616" s="230">
        <v>20.23</v>
      </c>
      <c r="L1616" s="228">
        <v>20.14</v>
      </c>
      <c r="M1616" s="228">
        <f t="shared" si="197"/>
        <v>20.14</v>
      </c>
      <c r="N1616" s="231">
        <f>+I1616+30-1</f>
        <v>42654</v>
      </c>
      <c r="O1616" s="228">
        <v>2043230</v>
      </c>
      <c r="P1616" s="232">
        <f t="shared" si="198"/>
        <v>2034140</v>
      </c>
      <c r="Q1616" s="233">
        <v>42668</v>
      </c>
      <c r="R1616" s="231">
        <v>42669</v>
      </c>
      <c r="S1616" s="230">
        <f t="shared" si="194"/>
        <v>15</v>
      </c>
    </row>
    <row r="1617" spans="1:19" s="234" customFormat="1" hidden="1" x14ac:dyDescent="0.25">
      <c r="A1617" s="226">
        <v>715</v>
      </c>
      <c r="B1617" s="227">
        <v>42628</v>
      </c>
      <c r="C1617" s="228">
        <v>103</v>
      </c>
      <c r="D1617" s="228">
        <v>3000033782</v>
      </c>
      <c r="E1617" s="228" t="s">
        <v>215</v>
      </c>
      <c r="F1617" s="228">
        <v>170</v>
      </c>
      <c r="G1617" s="229">
        <v>42621</v>
      </c>
      <c r="H1617" s="229"/>
      <c r="I1617" s="229">
        <v>42626</v>
      </c>
      <c r="J1617" s="228" t="s">
        <v>61</v>
      </c>
      <c r="K1617" s="230">
        <v>19.82</v>
      </c>
      <c r="L1617" s="228">
        <v>19.760000000000002</v>
      </c>
      <c r="M1617" s="228">
        <f t="shared" si="197"/>
        <v>19.760000000000002</v>
      </c>
      <c r="N1617" s="231">
        <f>+I1617+30-1</f>
        <v>42655</v>
      </c>
      <c r="O1617" s="228">
        <v>2001820</v>
      </c>
      <c r="P1617" s="232">
        <f t="shared" si="198"/>
        <v>1995760.0000000002</v>
      </c>
      <c r="Q1617" s="233">
        <v>42668</v>
      </c>
      <c r="R1617" s="231">
        <v>42669</v>
      </c>
      <c r="S1617" s="230">
        <f t="shared" si="194"/>
        <v>14</v>
      </c>
    </row>
    <row r="1618" spans="1:19" s="241" customFormat="1" hidden="1" x14ac:dyDescent="0.25">
      <c r="A1618" s="235">
        <v>734</v>
      </c>
      <c r="B1618" s="236">
        <v>42632</v>
      </c>
      <c r="C1618" s="237">
        <v>114</v>
      </c>
      <c r="D1618" s="237">
        <v>3000032986</v>
      </c>
      <c r="E1618" s="237" t="s">
        <v>138</v>
      </c>
      <c r="F1618" s="237">
        <v>9057</v>
      </c>
      <c r="G1618" s="238">
        <v>42622</v>
      </c>
      <c r="H1618" s="238"/>
      <c r="I1618" s="238">
        <v>42624</v>
      </c>
      <c r="J1618" s="237" t="s">
        <v>8</v>
      </c>
      <c r="K1618" s="239">
        <v>19.920000000000002</v>
      </c>
      <c r="L1618" s="237">
        <v>19.89</v>
      </c>
      <c r="M1618" s="237">
        <f t="shared" si="197"/>
        <v>19.89</v>
      </c>
      <c r="N1618" s="240">
        <f>+I1618+15-1</f>
        <v>42638</v>
      </c>
      <c r="O1618" s="237">
        <v>1009944</v>
      </c>
      <c r="P1618" s="232">
        <f t="shared" si="198"/>
        <v>1008422.9999999999</v>
      </c>
      <c r="Q1618" s="233">
        <v>42668</v>
      </c>
      <c r="R1618" s="231">
        <v>42669</v>
      </c>
      <c r="S1618" s="230">
        <f t="shared" si="194"/>
        <v>31</v>
      </c>
    </row>
    <row r="1619" spans="1:19" s="241" customFormat="1" hidden="1" x14ac:dyDescent="0.25">
      <c r="A1619" s="235">
        <v>744</v>
      </c>
      <c r="B1619" s="236">
        <v>42636</v>
      </c>
      <c r="C1619" s="237">
        <v>114</v>
      </c>
      <c r="D1619" s="237">
        <v>3000032986</v>
      </c>
      <c r="E1619" s="237" t="s">
        <v>138</v>
      </c>
      <c r="F1619" s="237">
        <v>9063</v>
      </c>
      <c r="G1619" s="238">
        <v>42629</v>
      </c>
      <c r="H1619" s="238"/>
      <c r="I1619" s="238">
        <v>42632</v>
      </c>
      <c r="J1619" s="237" t="s">
        <v>8</v>
      </c>
      <c r="K1619" s="239">
        <v>17.5</v>
      </c>
      <c r="L1619" s="237">
        <v>17.5</v>
      </c>
      <c r="M1619" s="237">
        <f t="shared" si="197"/>
        <v>17.5</v>
      </c>
      <c r="N1619" s="240">
        <f>+I1619+15-1</f>
        <v>42646</v>
      </c>
      <c r="O1619" s="237">
        <v>887250</v>
      </c>
      <c r="P1619" s="232">
        <f t="shared" si="198"/>
        <v>887250</v>
      </c>
      <c r="Q1619" s="233">
        <v>42668</v>
      </c>
      <c r="R1619" s="231">
        <v>42669</v>
      </c>
      <c r="S1619" s="230">
        <f t="shared" si="194"/>
        <v>23</v>
      </c>
    </row>
    <row r="1620" spans="1:19" s="241" customFormat="1" hidden="1" x14ac:dyDescent="0.25">
      <c r="A1620" s="235">
        <v>745</v>
      </c>
      <c r="B1620" s="236">
        <v>42636</v>
      </c>
      <c r="C1620" s="237">
        <v>114</v>
      </c>
      <c r="D1620" s="237">
        <v>3000034494</v>
      </c>
      <c r="E1620" s="237" t="s">
        <v>138</v>
      </c>
      <c r="F1620" s="237">
        <v>9064</v>
      </c>
      <c r="G1620" s="238">
        <v>42629</v>
      </c>
      <c r="H1620" s="238"/>
      <c r="I1620" s="238">
        <v>42632</v>
      </c>
      <c r="J1620" s="237" t="s">
        <v>8</v>
      </c>
      <c r="K1620" s="239">
        <v>2.21</v>
      </c>
      <c r="L1620" s="237">
        <v>2.2799999999999998</v>
      </c>
      <c r="M1620" s="237">
        <f t="shared" si="197"/>
        <v>2.21</v>
      </c>
      <c r="N1620" s="240">
        <f>+I1620+15-1</f>
        <v>42646</v>
      </c>
      <c r="O1620" s="237">
        <v>112489</v>
      </c>
      <c r="P1620" s="232">
        <f t="shared" si="198"/>
        <v>112489</v>
      </c>
      <c r="Q1620" s="233">
        <v>42668</v>
      </c>
      <c r="R1620" s="231">
        <v>42669</v>
      </c>
      <c r="S1620" s="230">
        <f t="shared" si="194"/>
        <v>23</v>
      </c>
    </row>
    <row r="1621" spans="1:19" s="234" customFormat="1" hidden="1" x14ac:dyDescent="0.25">
      <c r="A1621" s="226">
        <v>738</v>
      </c>
      <c r="B1621" s="227">
        <v>42636</v>
      </c>
      <c r="C1621" s="228">
        <v>103</v>
      </c>
      <c r="D1621" s="228">
        <v>3000033126</v>
      </c>
      <c r="E1621" s="228" t="s">
        <v>145</v>
      </c>
      <c r="F1621" s="228">
        <v>57</v>
      </c>
      <c r="G1621" s="229">
        <v>42615</v>
      </c>
      <c r="H1621" s="229"/>
      <c r="I1621" s="229">
        <v>42626</v>
      </c>
      <c r="J1621" s="228" t="s">
        <v>61</v>
      </c>
      <c r="K1621" s="230">
        <v>20.18</v>
      </c>
      <c r="L1621" s="228">
        <v>20.14</v>
      </c>
      <c r="M1621" s="228">
        <f t="shared" si="197"/>
        <v>20.14</v>
      </c>
      <c r="N1621" s="231">
        <f>+I1621+20-1</f>
        <v>42645</v>
      </c>
      <c r="O1621" s="228">
        <v>1634544</v>
      </c>
      <c r="P1621" s="232">
        <f t="shared" si="198"/>
        <v>1631304.0713577801</v>
      </c>
      <c r="Q1621" s="233">
        <v>42668</v>
      </c>
      <c r="R1621" s="231">
        <v>42669</v>
      </c>
      <c r="S1621" s="230">
        <f t="shared" si="194"/>
        <v>24</v>
      </c>
    </row>
    <row r="1622" spans="1:19" s="241" customFormat="1" hidden="1" x14ac:dyDescent="0.25">
      <c r="A1622" s="235">
        <v>717</v>
      </c>
      <c r="B1622" s="236">
        <v>42628</v>
      </c>
      <c r="C1622" s="237">
        <v>103</v>
      </c>
      <c r="D1622" s="237">
        <v>3000033761</v>
      </c>
      <c r="E1622" s="237" t="s">
        <v>145</v>
      </c>
      <c r="F1622" s="237">
        <v>58</v>
      </c>
      <c r="G1622" s="238">
        <v>42618</v>
      </c>
      <c r="H1622" s="238"/>
      <c r="I1622" s="238">
        <v>42625</v>
      </c>
      <c r="J1622" s="237" t="s">
        <v>61</v>
      </c>
      <c r="K1622" s="239">
        <v>20.12</v>
      </c>
      <c r="L1622" s="237">
        <v>20.04</v>
      </c>
      <c r="M1622" s="237">
        <f t="shared" si="197"/>
        <v>20.04</v>
      </c>
      <c r="N1622" s="240">
        <f>+I1622+20-1</f>
        <v>42644</v>
      </c>
      <c r="O1622" s="237">
        <v>2102520</v>
      </c>
      <c r="P1622" s="232">
        <f t="shared" si="198"/>
        <v>2094160.0795228628</v>
      </c>
      <c r="Q1622" s="233">
        <v>42668</v>
      </c>
      <c r="R1622" s="231">
        <v>42669</v>
      </c>
      <c r="S1622" s="230">
        <f t="shared" si="194"/>
        <v>25</v>
      </c>
    </row>
    <row r="1623" spans="1:19" s="234" customFormat="1" hidden="1" x14ac:dyDescent="0.25">
      <c r="A1623" s="226">
        <v>765</v>
      </c>
      <c r="B1623" s="227">
        <v>42639</v>
      </c>
      <c r="C1623" s="228">
        <v>103</v>
      </c>
      <c r="D1623" s="228">
        <v>3000033761</v>
      </c>
      <c r="E1623" s="228" t="s">
        <v>145</v>
      </c>
      <c r="F1623" s="228">
        <v>60</v>
      </c>
      <c r="G1623" s="229">
        <v>42625</v>
      </c>
      <c r="H1623" s="229"/>
      <c r="I1623" s="229">
        <v>42635</v>
      </c>
      <c r="J1623" s="228" t="s">
        <v>61</v>
      </c>
      <c r="K1623" s="230">
        <v>20.295000000000002</v>
      </c>
      <c r="L1623" s="228">
        <v>20.3</v>
      </c>
      <c r="M1623" s="228">
        <f t="shared" si="197"/>
        <v>20.295000000000002</v>
      </c>
      <c r="N1623" s="231">
        <f>+I1623+20-1</f>
        <v>42654</v>
      </c>
      <c r="O1623" s="228">
        <v>2120807</v>
      </c>
      <c r="P1623" s="232">
        <f t="shared" si="198"/>
        <v>2120807</v>
      </c>
      <c r="Q1623" s="233">
        <v>42668</v>
      </c>
      <c r="R1623" s="231">
        <v>42669</v>
      </c>
      <c r="S1623" s="230">
        <f t="shared" si="194"/>
        <v>15</v>
      </c>
    </row>
    <row r="1624" spans="1:19" s="241" customFormat="1" hidden="1" x14ac:dyDescent="0.25">
      <c r="A1624" s="235">
        <v>784</v>
      </c>
      <c r="B1624" s="236">
        <v>42641</v>
      </c>
      <c r="C1624" s="237">
        <v>103</v>
      </c>
      <c r="D1624" s="237">
        <v>3000033823</v>
      </c>
      <c r="E1624" s="228" t="s">
        <v>182</v>
      </c>
      <c r="F1624" s="237">
        <v>103</v>
      </c>
      <c r="G1624" s="238">
        <v>42622</v>
      </c>
      <c r="H1624" s="238"/>
      <c r="I1624" s="238">
        <v>42627</v>
      </c>
      <c r="J1624" s="237" t="s">
        <v>61</v>
      </c>
      <c r="K1624" s="239">
        <v>20.47</v>
      </c>
      <c r="L1624" s="237">
        <v>20.47</v>
      </c>
      <c r="M1624" s="237">
        <f t="shared" si="197"/>
        <v>20.47</v>
      </c>
      <c r="N1624" s="240">
        <f>+I1624+30-1</f>
        <v>42656</v>
      </c>
      <c r="O1624" s="237">
        <v>2047017</v>
      </c>
      <c r="P1624" s="232">
        <f t="shared" si="198"/>
        <v>2047017</v>
      </c>
      <c r="Q1624" s="233">
        <v>42668</v>
      </c>
      <c r="R1624" s="231">
        <v>42669</v>
      </c>
      <c r="S1624" s="230">
        <f t="shared" si="194"/>
        <v>13</v>
      </c>
    </row>
    <row r="1625" spans="1:19" s="241" customFormat="1" hidden="1" x14ac:dyDescent="0.25">
      <c r="A1625" s="235">
        <v>775</v>
      </c>
      <c r="B1625" s="236">
        <v>42641</v>
      </c>
      <c r="C1625" s="237">
        <v>103</v>
      </c>
      <c r="D1625" s="237">
        <v>3000034626</v>
      </c>
      <c r="E1625" s="237" t="s">
        <v>227</v>
      </c>
      <c r="F1625" s="237">
        <v>46</v>
      </c>
      <c r="G1625" s="238">
        <v>42625</v>
      </c>
      <c r="H1625" s="238"/>
      <c r="I1625" s="238">
        <v>42629</v>
      </c>
      <c r="J1625" s="237" t="s">
        <v>61</v>
      </c>
      <c r="K1625" s="239">
        <v>20.92</v>
      </c>
      <c r="L1625" s="237">
        <v>20.95</v>
      </c>
      <c r="M1625" s="237">
        <f t="shared" si="197"/>
        <v>20.92</v>
      </c>
      <c r="N1625" s="240">
        <f>+I1625+20-1</f>
        <v>42648</v>
      </c>
      <c r="O1625" s="237">
        <v>2008320</v>
      </c>
      <c r="P1625" s="232">
        <f t="shared" si="198"/>
        <v>2008319.9999999998</v>
      </c>
      <c r="Q1625" s="233">
        <v>42668</v>
      </c>
      <c r="R1625" s="231">
        <v>42669</v>
      </c>
      <c r="S1625" s="230">
        <f t="shared" si="194"/>
        <v>21</v>
      </c>
    </row>
    <row r="1626" spans="1:19" s="234" customFormat="1" hidden="1" x14ac:dyDescent="0.25">
      <c r="A1626" s="226">
        <v>739</v>
      </c>
      <c r="B1626" s="227">
        <v>42636</v>
      </c>
      <c r="C1626" s="228">
        <v>114</v>
      </c>
      <c r="D1626" s="228">
        <v>3000033785</v>
      </c>
      <c r="E1626" s="228" t="s">
        <v>27</v>
      </c>
      <c r="F1626" s="228">
        <v>894</v>
      </c>
      <c r="G1626" s="229">
        <v>42628</v>
      </c>
      <c r="H1626" s="229"/>
      <c r="I1626" s="229">
        <v>42631</v>
      </c>
      <c r="J1626" s="228" t="s">
        <v>8</v>
      </c>
      <c r="K1626" s="230">
        <v>19.34</v>
      </c>
      <c r="L1626" s="228">
        <v>19.21</v>
      </c>
      <c r="M1626" s="228">
        <f t="shared" si="197"/>
        <v>19.21</v>
      </c>
      <c r="N1626" s="231">
        <f t="shared" ref="N1626:N1635" si="199">+I1626+15-1</f>
        <v>42645</v>
      </c>
      <c r="O1626" s="228">
        <v>1102380</v>
      </c>
      <c r="P1626" s="232">
        <f t="shared" si="198"/>
        <v>1094970</v>
      </c>
      <c r="Q1626" s="233">
        <v>42668</v>
      </c>
      <c r="R1626" s="231">
        <v>42669</v>
      </c>
      <c r="S1626" s="230">
        <f t="shared" si="194"/>
        <v>24</v>
      </c>
    </row>
    <row r="1627" spans="1:19" s="234" customFormat="1" hidden="1" x14ac:dyDescent="0.25">
      <c r="A1627" s="226">
        <v>758</v>
      </c>
      <c r="B1627" s="227">
        <v>42639</v>
      </c>
      <c r="C1627" s="228">
        <v>114</v>
      </c>
      <c r="D1627" s="228">
        <v>3000033785</v>
      </c>
      <c r="E1627" s="228" t="s">
        <v>27</v>
      </c>
      <c r="F1627" s="228">
        <v>895</v>
      </c>
      <c r="G1627" s="229">
        <v>42632</v>
      </c>
      <c r="H1627" s="229"/>
      <c r="I1627" s="229">
        <v>42634</v>
      </c>
      <c r="J1627" s="228" t="s">
        <v>8</v>
      </c>
      <c r="K1627" s="230">
        <v>5</v>
      </c>
      <c r="L1627" s="228">
        <v>5</v>
      </c>
      <c r="M1627" s="228">
        <f t="shared" si="197"/>
        <v>5</v>
      </c>
      <c r="N1627" s="231">
        <f t="shared" si="199"/>
        <v>42648</v>
      </c>
      <c r="O1627" s="228">
        <v>285000</v>
      </c>
      <c r="P1627" s="232">
        <f t="shared" si="198"/>
        <v>285000</v>
      </c>
      <c r="Q1627" s="233">
        <v>42668</v>
      </c>
      <c r="R1627" s="231">
        <v>42669</v>
      </c>
      <c r="S1627" s="230">
        <f t="shared" si="194"/>
        <v>21</v>
      </c>
    </row>
    <row r="1628" spans="1:19" s="234" customFormat="1" hidden="1" x14ac:dyDescent="0.25">
      <c r="A1628" s="226">
        <v>759</v>
      </c>
      <c r="B1628" s="227">
        <v>42639</v>
      </c>
      <c r="C1628" s="228">
        <v>114</v>
      </c>
      <c r="D1628" s="228">
        <v>3000034347</v>
      </c>
      <c r="E1628" s="228" t="s">
        <v>27</v>
      </c>
      <c r="F1628" s="228">
        <v>895</v>
      </c>
      <c r="G1628" s="229">
        <v>42632</v>
      </c>
      <c r="H1628" s="229"/>
      <c r="I1628" s="229">
        <v>42634</v>
      </c>
      <c r="J1628" s="228" t="s">
        <v>8</v>
      </c>
      <c r="K1628" s="230">
        <v>14.95</v>
      </c>
      <c r="L1628" s="228">
        <v>15.01</v>
      </c>
      <c r="M1628" s="228">
        <f t="shared" si="197"/>
        <v>14.95</v>
      </c>
      <c r="N1628" s="231">
        <f t="shared" si="199"/>
        <v>42648</v>
      </c>
      <c r="O1628" s="228">
        <v>859625</v>
      </c>
      <c r="P1628" s="232">
        <f t="shared" si="198"/>
        <v>859625</v>
      </c>
      <c r="Q1628" s="233">
        <v>42668</v>
      </c>
      <c r="R1628" s="231">
        <v>42669</v>
      </c>
      <c r="S1628" s="230">
        <f t="shared" si="194"/>
        <v>21</v>
      </c>
    </row>
    <row r="1629" spans="1:19" s="234" customFormat="1" hidden="1" x14ac:dyDescent="0.25">
      <c r="A1629" s="226">
        <v>760</v>
      </c>
      <c r="B1629" s="227">
        <v>42639</v>
      </c>
      <c r="C1629" s="228">
        <v>114</v>
      </c>
      <c r="D1629" s="228">
        <v>3000034486</v>
      </c>
      <c r="E1629" s="228" t="s">
        <v>27</v>
      </c>
      <c r="F1629" s="228">
        <v>27</v>
      </c>
      <c r="G1629" s="229">
        <v>42632</v>
      </c>
      <c r="H1629" s="229"/>
      <c r="I1629" s="229">
        <v>42634</v>
      </c>
      <c r="J1629" s="228" t="s">
        <v>16</v>
      </c>
      <c r="K1629" s="230">
        <v>28.19</v>
      </c>
      <c r="L1629" s="228">
        <v>28.11</v>
      </c>
      <c r="M1629" s="228">
        <f t="shared" si="197"/>
        <v>28.11</v>
      </c>
      <c r="N1629" s="231">
        <f t="shared" si="199"/>
        <v>42648</v>
      </c>
      <c r="O1629" s="228">
        <v>1592735</v>
      </c>
      <c r="P1629" s="232">
        <f t="shared" si="198"/>
        <v>1588215</v>
      </c>
      <c r="Q1629" s="233">
        <v>42668</v>
      </c>
      <c r="R1629" s="231">
        <v>42669</v>
      </c>
      <c r="S1629" s="230">
        <f t="shared" si="194"/>
        <v>21</v>
      </c>
    </row>
    <row r="1630" spans="1:19" s="234" customFormat="1" hidden="1" x14ac:dyDescent="0.25">
      <c r="A1630" s="226">
        <v>786</v>
      </c>
      <c r="B1630" s="227">
        <v>42646</v>
      </c>
      <c r="C1630" s="228">
        <v>114</v>
      </c>
      <c r="D1630" s="228">
        <v>3000032157</v>
      </c>
      <c r="E1630" s="228" t="s">
        <v>27</v>
      </c>
      <c r="F1630" s="228">
        <v>898</v>
      </c>
      <c r="G1630" s="229">
        <v>42635</v>
      </c>
      <c r="H1630" s="229"/>
      <c r="I1630" s="229">
        <v>42640</v>
      </c>
      <c r="J1630" s="228" t="s">
        <v>8</v>
      </c>
      <c r="K1630" s="230">
        <v>1</v>
      </c>
      <c r="L1630" s="228">
        <v>1</v>
      </c>
      <c r="M1630" s="228">
        <f t="shared" si="197"/>
        <v>1</v>
      </c>
      <c r="N1630" s="231">
        <f t="shared" si="199"/>
        <v>42654</v>
      </c>
      <c r="O1630" s="228">
        <v>50900</v>
      </c>
      <c r="P1630" s="232">
        <f t="shared" si="198"/>
        <v>50900</v>
      </c>
      <c r="Q1630" s="233">
        <v>42668</v>
      </c>
      <c r="R1630" s="231">
        <v>42669</v>
      </c>
      <c r="S1630" s="230">
        <f t="shared" si="194"/>
        <v>15</v>
      </c>
    </row>
    <row r="1631" spans="1:19" s="234" customFormat="1" hidden="1" x14ac:dyDescent="0.25">
      <c r="A1631" s="226">
        <v>787</v>
      </c>
      <c r="B1631" s="227">
        <v>42646</v>
      </c>
      <c r="C1631" s="228">
        <v>114</v>
      </c>
      <c r="D1631" s="228">
        <v>3000034347</v>
      </c>
      <c r="E1631" s="228" t="s">
        <v>27</v>
      </c>
      <c r="F1631" s="228">
        <v>898</v>
      </c>
      <c r="G1631" s="229">
        <v>42635</v>
      </c>
      <c r="H1631" s="229"/>
      <c r="I1631" s="229">
        <v>42640</v>
      </c>
      <c r="J1631" s="228" t="s">
        <v>8</v>
      </c>
      <c r="K1631" s="230">
        <v>28.41</v>
      </c>
      <c r="L1631" s="228">
        <v>28.29</v>
      </c>
      <c r="M1631" s="228">
        <f t="shared" si="197"/>
        <v>28.29</v>
      </c>
      <c r="N1631" s="231">
        <f t="shared" si="199"/>
        <v>42654</v>
      </c>
      <c r="O1631" s="228">
        <v>1633575</v>
      </c>
      <c r="P1631" s="232">
        <f t="shared" si="198"/>
        <v>1626675</v>
      </c>
      <c r="Q1631" s="233">
        <v>42668</v>
      </c>
      <c r="R1631" s="231">
        <v>42669</v>
      </c>
      <c r="S1631" s="230">
        <f t="shared" si="194"/>
        <v>15</v>
      </c>
    </row>
    <row r="1632" spans="1:19" s="234" customFormat="1" hidden="1" x14ac:dyDescent="0.25">
      <c r="A1632" s="226">
        <v>821</v>
      </c>
      <c r="B1632" s="227">
        <v>42655</v>
      </c>
      <c r="C1632" s="228">
        <v>114</v>
      </c>
      <c r="D1632" s="228">
        <v>3000034347</v>
      </c>
      <c r="E1632" s="228" t="s">
        <v>27</v>
      </c>
      <c r="F1632" s="228">
        <v>899</v>
      </c>
      <c r="G1632" s="229">
        <v>42643</v>
      </c>
      <c r="H1632" s="229"/>
      <c r="I1632" s="229">
        <v>42647</v>
      </c>
      <c r="J1632" s="228" t="s">
        <v>8</v>
      </c>
      <c r="K1632" s="230">
        <v>26.6</v>
      </c>
      <c r="L1632" s="228">
        <v>26.6</v>
      </c>
      <c r="M1632" s="228">
        <f t="shared" si="197"/>
        <v>26.6</v>
      </c>
      <c r="N1632" s="231">
        <f t="shared" si="199"/>
        <v>42661</v>
      </c>
      <c r="O1632" s="228">
        <v>1529500</v>
      </c>
      <c r="P1632" s="232">
        <f t="shared" si="198"/>
        <v>1529500</v>
      </c>
      <c r="Q1632" s="233">
        <v>42668</v>
      </c>
      <c r="R1632" s="231">
        <v>42669</v>
      </c>
      <c r="S1632" s="230">
        <f t="shared" si="194"/>
        <v>8</v>
      </c>
    </row>
    <row r="1633" spans="1:19" s="234" customFormat="1" hidden="1" x14ac:dyDescent="0.25">
      <c r="A1633" s="226">
        <v>822</v>
      </c>
      <c r="B1633" s="227">
        <v>42655</v>
      </c>
      <c r="C1633" s="228">
        <v>114</v>
      </c>
      <c r="D1633" s="228">
        <v>3000034721</v>
      </c>
      <c r="E1633" s="228" t="s">
        <v>27</v>
      </c>
      <c r="F1633" s="228">
        <v>899</v>
      </c>
      <c r="G1633" s="229">
        <v>42643</v>
      </c>
      <c r="H1633" s="229"/>
      <c r="I1633" s="229">
        <v>42647</v>
      </c>
      <c r="J1633" s="228" t="s">
        <v>8</v>
      </c>
      <c r="K1633" s="230">
        <v>2.44</v>
      </c>
      <c r="L1633" s="228">
        <v>2.34</v>
      </c>
      <c r="M1633" s="228">
        <f t="shared" si="197"/>
        <v>2.34</v>
      </c>
      <c r="N1633" s="231">
        <f t="shared" si="199"/>
        <v>42661</v>
      </c>
      <c r="O1633" s="228">
        <v>142740</v>
      </c>
      <c r="P1633" s="232">
        <f t="shared" si="198"/>
        <v>136890</v>
      </c>
      <c r="Q1633" s="233">
        <v>42668</v>
      </c>
      <c r="R1633" s="231">
        <v>42669</v>
      </c>
      <c r="S1633" s="230">
        <f t="shared" si="194"/>
        <v>8</v>
      </c>
    </row>
    <row r="1634" spans="1:19" s="241" customFormat="1" hidden="1" x14ac:dyDescent="0.25">
      <c r="A1634" s="235">
        <v>768</v>
      </c>
      <c r="B1634" s="236">
        <v>42641</v>
      </c>
      <c r="C1634" s="237">
        <v>114</v>
      </c>
      <c r="D1634" s="237">
        <v>3000034343</v>
      </c>
      <c r="E1634" s="237" t="s">
        <v>49</v>
      </c>
      <c r="F1634" s="237">
        <v>31</v>
      </c>
      <c r="G1634" s="238">
        <v>42633</v>
      </c>
      <c r="H1634" s="238"/>
      <c r="I1634" s="238">
        <v>42635</v>
      </c>
      <c r="J1634" s="237" t="s">
        <v>8</v>
      </c>
      <c r="K1634" s="239">
        <v>29.33</v>
      </c>
      <c r="L1634" s="237">
        <v>29.23</v>
      </c>
      <c r="M1634" s="237">
        <f t="shared" si="197"/>
        <v>29.23</v>
      </c>
      <c r="N1634" s="240">
        <f t="shared" si="199"/>
        <v>42649</v>
      </c>
      <c r="O1634" s="237">
        <v>1657145</v>
      </c>
      <c r="P1634" s="232">
        <f>(+O1634/K1634*M1634)-22273</f>
        <v>1629222</v>
      </c>
      <c r="Q1634" s="233">
        <v>42668</v>
      </c>
      <c r="R1634" s="231">
        <v>42669</v>
      </c>
      <c r="S1634" s="230">
        <f t="shared" si="194"/>
        <v>20</v>
      </c>
    </row>
    <row r="1635" spans="1:19" s="241" customFormat="1" hidden="1" x14ac:dyDescent="0.25">
      <c r="A1635" s="235">
        <v>818</v>
      </c>
      <c r="B1635" s="236">
        <v>42641</v>
      </c>
      <c r="C1635" s="237">
        <v>103</v>
      </c>
      <c r="D1635" s="237">
        <v>3000034343</v>
      </c>
      <c r="E1635" s="237" t="s">
        <v>49</v>
      </c>
      <c r="F1635" s="243" t="s">
        <v>323</v>
      </c>
      <c r="G1635" s="238">
        <v>42647</v>
      </c>
      <c r="H1635" s="238"/>
      <c r="I1635" s="238">
        <v>42638</v>
      </c>
      <c r="J1635" s="237"/>
      <c r="K1635" s="239"/>
      <c r="L1635" s="237"/>
      <c r="M1635" s="237">
        <f t="shared" si="197"/>
        <v>0</v>
      </c>
      <c r="N1635" s="240">
        <f t="shared" si="199"/>
        <v>42652</v>
      </c>
      <c r="O1635" s="237">
        <v>22273</v>
      </c>
      <c r="P1635" s="232"/>
      <c r="Q1635" s="233">
        <v>42668</v>
      </c>
      <c r="R1635" s="231">
        <v>42669</v>
      </c>
      <c r="S1635" s="230">
        <f t="shared" si="194"/>
        <v>17</v>
      </c>
    </row>
    <row r="1636" spans="1:19" s="241" customFormat="1" hidden="1" x14ac:dyDescent="0.25">
      <c r="A1636" s="235">
        <v>780</v>
      </c>
      <c r="B1636" s="236">
        <v>42641</v>
      </c>
      <c r="C1636" s="237">
        <v>103</v>
      </c>
      <c r="D1636" s="237">
        <v>3000032316</v>
      </c>
      <c r="E1636" s="237" t="s">
        <v>183</v>
      </c>
      <c r="F1636" s="237">
        <v>43</v>
      </c>
      <c r="G1636" s="238">
        <v>42627</v>
      </c>
      <c r="H1636" s="238"/>
      <c r="I1636" s="238">
        <v>42637</v>
      </c>
      <c r="J1636" s="237" t="s">
        <v>61</v>
      </c>
      <c r="K1636" s="239">
        <v>19.48</v>
      </c>
      <c r="L1636" s="237">
        <v>19.440000000000001</v>
      </c>
      <c r="M1636" s="237">
        <f t="shared" si="197"/>
        <v>19.440000000000001</v>
      </c>
      <c r="N1636" s="240">
        <f>+I1636+20-1</f>
        <v>42656</v>
      </c>
      <c r="O1636" s="237">
        <v>1509700</v>
      </c>
      <c r="P1636" s="232">
        <f t="shared" ref="P1636:P1667" si="200">(+O1636/K1636*M1636)</f>
        <v>1506600</v>
      </c>
      <c r="Q1636" s="233">
        <v>42668</v>
      </c>
      <c r="R1636" s="231">
        <v>42669</v>
      </c>
      <c r="S1636" s="230">
        <f t="shared" si="194"/>
        <v>13</v>
      </c>
    </row>
    <row r="1637" spans="1:19" s="241" customFormat="1" hidden="1" x14ac:dyDescent="0.25">
      <c r="A1637" s="235">
        <v>771</v>
      </c>
      <c r="B1637" s="236">
        <v>42641</v>
      </c>
      <c r="C1637" s="237">
        <v>114</v>
      </c>
      <c r="D1637" s="237">
        <v>3000034374</v>
      </c>
      <c r="E1637" s="228" t="s">
        <v>55</v>
      </c>
      <c r="F1637" s="237">
        <v>24</v>
      </c>
      <c r="G1637" s="238">
        <v>42636</v>
      </c>
      <c r="H1637" s="238"/>
      <c r="I1637" s="238">
        <v>42638</v>
      </c>
      <c r="J1637" s="237" t="s">
        <v>8</v>
      </c>
      <c r="K1637" s="239">
        <v>27.27</v>
      </c>
      <c r="L1637" s="237">
        <v>27.14</v>
      </c>
      <c r="M1637" s="237">
        <f t="shared" si="197"/>
        <v>27.14</v>
      </c>
      <c r="N1637" s="240">
        <f t="shared" ref="N1637:N1663" si="201">+I1637+15-1</f>
        <v>42652</v>
      </c>
      <c r="O1637" s="237">
        <v>1568025</v>
      </c>
      <c r="P1637" s="232">
        <f t="shared" si="200"/>
        <v>1560550</v>
      </c>
      <c r="Q1637" s="233">
        <v>42668</v>
      </c>
      <c r="R1637" s="231">
        <v>42669</v>
      </c>
      <c r="S1637" s="230">
        <f t="shared" si="194"/>
        <v>17</v>
      </c>
    </row>
    <row r="1638" spans="1:19" s="241" customFormat="1" hidden="1" x14ac:dyDescent="0.25">
      <c r="A1638" s="235">
        <v>823</v>
      </c>
      <c r="B1638" s="236">
        <v>42655</v>
      </c>
      <c r="C1638" s="237">
        <v>114</v>
      </c>
      <c r="D1638" s="237">
        <v>3000034375</v>
      </c>
      <c r="E1638" s="237" t="s">
        <v>55</v>
      </c>
      <c r="F1638" s="237">
        <v>25</v>
      </c>
      <c r="G1638" s="238">
        <v>42640</v>
      </c>
      <c r="H1638" s="238"/>
      <c r="I1638" s="238">
        <v>42644</v>
      </c>
      <c r="J1638" s="237" t="s">
        <v>8</v>
      </c>
      <c r="K1638" s="239">
        <v>26.87</v>
      </c>
      <c r="L1638" s="237">
        <v>26.75</v>
      </c>
      <c r="M1638" s="237">
        <f t="shared" si="197"/>
        <v>26.75</v>
      </c>
      <c r="N1638" s="240">
        <f t="shared" si="201"/>
        <v>42658</v>
      </c>
      <c r="O1638" s="237">
        <v>1545025</v>
      </c>
      <c r="P1638" s="232">
        <f t="shared" si="200"/>
        <v>1538125</v>
      </c>
      <c r="Q1638" s="233">
        <v>42668</v>
      </c>
      <c r="R1638" s="231">
        <v>42669</v>
      </c>
      <c r="S1638" s="230">
        <f t="shared" si="194"/>
        <v>11</v>
      </c>
    </row>
    <row r="1639" spans="1:19" s="234" customFormat="1" hidden="1" x14ac:dyDescent="0.25">
      <c r="A1639" s="226">
        <v>788</v>
      </c>
      <c r="B1639" s="227">
        <v>42646</v>
      </c>
      <c r="C1639" s="228">
        <v>114</v>
      </c>
      <c r="D1639" s="228">
        <v>3000034345</v>
      </c>
      <c r="E1639" s="228" t="s">
        <v>29</v>
      </c>
      <c r="F1639" s="228">
        <v>192</v>
      </c>
      <c r="G1639" s="229">
        <v>42635</v>
      </c>
      <c r="H1639" s="229"/>
      <c r="I1639" s="229">
        <v>42639</v>
      </c>
      <c r="J1639" s="228" t="s">
        <v>8</v>
      </c>
      <c r="K1639" s="230">
        <v>29.4</v>
      </c>
      <c r="L1639" s="228">
        <v>29.13</v>
      </c>
      <c r="M1639" s="228">
        <f t="shared" si="197"/>
        <v>29.13</v>
      </c>
      <c r="N1639" s="231">
        <f t="shared" si="201"/>
        <v>42653</v>
      </c>
      <c r="O1639" s="228">
        <v>1690500</v>
      </c>
      <c r="P1639" s="232">
        <f t="shared" si="200"/>
        <v>1674975</v>
      </c>
      <c r="Q1639" s="233">
        <v>42668</v>
      </c>
      <c r="R1639" s="231">
        <v>42669</v>
      </c>
      <c r="S1639" s="230">
        <f t="shared" si="194"/>
        <v>16</v>
      </c>
    </row>
    <row r="1640" spans="1:19" s="234" customFormat="1" hidden="1" x14ac:dyDescent="0.25">
      <c r="A1640" s="226">
        <v>831</v>
      </c>
      <c r="B1640" s="227">
        <v>42655</v>
      </c>
      <c r="C1640" s="228">
        <v>114</v>
      </c>
      <c r="D1640" s="228">
        <v>3000035024</v>
      </c>
      <c r="E1640" s="228" t="s">
        <v>29</v>
      </c>
      <c r="F1640" s="228">
        <v>44</v>
      </c>
      <c r="G1640" s="229">
        <v>42640</v>
      </c>
      <c r="H1640" s="229"/>
      <c r="I1640" s="229">
        <v>42644</v>
      </c>
      <c r="J1640" s="228" t="s">
        <v>16</v>
      </c>
      <c r="K1640" s="230">
        <v>20.29</v>
      </c>
      <c r="L1640" s="228">
        <v>20.3</v>
      </c>
      <c r="M1640" s="228">
        <f t="shared" si="197"/>
        <v>20.29</v>
      </c>
      <c r="N1640" s="231">
        <f t="shared" si="201"/>
        <v>42658</v>
      </c>
      <c r="O1640" s="228">
        <v>1138269</v>
      </c>
      <c r="P1640" s="232">
        <f t="shared" si="200"/>
        <v>1138269</v>
      </c>
      <c r="Q1640" s="233">
        <v>42668</v>
      </c>
      <c r="R1640" s="231">
        <v>42669</v>
      </c>
      <c r="S1640" s="230">
        <f t="shared" si="194"/>
        <v>11</v>
      </c>
    </row>
    <row r="1641" spans="1:19" s="234" customFormat="1" hidden="1" x14ac:dyDescent="0.25">
      <c r="A1641" s="226">
        <v>832</v>
      </c>
      <c r="B1641" s="227">
        <v>42655</v>
      </c>
      <c r="C1641" s="228">
        <v>114</v>
      </c>
      <c r="D1641" s="228">
        <v>3000035024</v>
      </c>
      <c r="E1641" s="228" t="s">
        <v>29</v>
      </c>
      <c r="F1641" s="228">
        <v>45</v>
      </c>
      <c r="G1641" s="229">
        <v>42640</v>
      </c>
      <c r="H1641" s="229"/>
      <c r="I1641" s="229">
        <v>42644</v>
      </c>
      <c r="J1641" s="228" t="s">
        <v>16</v>
      </c>
      <c r="K1641" s="230">
        <v>17.73</v>
      </c>
      <c r="L1641" s="228">
        <v>17.73</v>
      </c>
      <c r="M1641" s="228">
        <f t="shared" si="197"/>
        <v>17.73</v>
      </c>
      <c r="N1641" s="231">
        <f t="shared" si="201"/>
        <v>42658</v>
      </c>
      <c r="O1641" s="228">
        <v>994653</v>
      </c>
      <c r="P1641" s="232">
        <f t="shared" si="200"/>
        <v>994653</v>
      </c>
      <c r="Q1641" s="233">
        <v>42668</v>
      </c>
      <c r="R1641" s="231">
        <v>42669</v>
      </c>
      <c r="S1641" s="230">
        <f t="shared" si="194"/>
        <v>11</v>
      </c>
    </row>
    <row r="1642" spans="1:19" s="234" customFormat="1" hidden="1" x14ac:dyDescent="0.25">
      <c r="A1642" s="226">
        <v>833</v>
      </c>
      <c r="B1642" s="227">
        <v>42655</v>
      </c>
      <c r="C1642" s="228">
        <v>114</v>
      </c>
      <c r="D1642" s="228">
        <v>3000035024</v>
      </c>
      <c r="E1642" s="228" t="s">
        <v>29</v>
      </c>
      <c r="F1642" s="228">
        <v>45</v>
      </c>
      <c r="G1642" s="229">
        <v>42640</v>
      </c>
      <c r="H1642" s="229"/>
      <c r="I1642" s="229">
        <v>42644</v>
      </c>
      <c r="J1642" s="228" t="s">
        <v>16</v>
      </c>
      <c r="K1642" s="230">
        <v>9.9</v>
      </c>
      <c r="L1642" s="228">
        <v>9.84</v>
      </c>
      <c r="M1642" s="228">
        <f t="shared" si="197"/>
        <v>9.84</v>
      </c>
      <c r="N1642" s="231">
        <f t="shared" si="201"/>
        <v>42658</v>
      </c>
      <c r="O1642" s="228">
        <v>555390</v>
      </c>
      <c r="P1642" s="232">
        <f t="shared" si="200"/>
        <v>552024</v>
      </c>
      <c r="Q1642" s="233">
        <v>42668</v>
      </c>
      <c r="R1642" s="231">
        <v>42669</v>
      </c>
      <c r="S1642" s="230">
        <f t="shared" si="194"/>
        <v>11</v>
      </c>
    </row>
    <row r="1643" spans="1:19" s="234" customFormat="1" hidden="1" x14ac:dyDescent="0.25">
      <c r="A1643" s="226">
        <v>834</v>
      </c>
      <c r="B1643" s="227">
        <v>42655</v>
      </c>
      <c r="C1643" s="228">
        <v>114</v>
      </c>
      <c r="D1643" s="228">
        <v>3000035024</v>
      </c>
      <c r="E1643" s="228" t="s">
        <v>29</v>
      </c>
      <c r="F1643" s="228">
        <v>46</v>
      </c>
      <c r="G1643" s="229">
        <v>42640</v>
      </c>
      <c r="H1643" s="229"/>
      <c r="I1643" s="229">
        <v>42644</v>
      </c>
      <c r="J1643" s="228" t="s">
        <v>16</v>
      </c>
      <c r="K1643" s="230">
        <v>2.08</v>
      </c>
      <c r="L1643" s="228">
        <v>2.08</v>
      </c>
      <c r="M1643" s="228">
        <f t="shared" si="197"/>
        <v>2.08</v>
      </c>
      <c r="N1643" s="231">
        <f t="shared" si="201"/>
        <v>42658</v>
      </c>
      <c r="O1643" s="228">
        <v>116688</v>
      </c>
      <c r="P1643" s="232">
        <f t="shared" si="200"/>
        <v>116688</v>
      </c>
      <c r="Q1643" s="233">
        <v>42668</v>
      </c>
      <c r="R1643" s="231">
        <v>42669</v>
      </c>
      <c r="S1643" s="230">
        <f t="shared" ref="S1643:S1669" si="202">R1643-N1643</f>
        <v>11</v>
      </c>
    </row>
    <row r="1644" spans="1:19" s="234" customFormat="1" hidden="1" x14ac:dyDescent="0.25">
      <c r="A1644" s="226">
        <v>835</v>
      </c>
      <c r="B1644" s="227">
        <v>42655</v>
      </c>
      <c r="C1644" s="228">
        <v>114</v>
      </c>
      <c r="D1644" s="228">
        <v>3000035026</v>
      </c>
      <c r="E1644" s="228" t="s">
        <v>29</v>
      </c>
      <c r="F1644" s="228">
        <v>46</v>
      </c>
      <c r="G1644" s="229">
        <v>42640</v>
      </c>
      <c r="H1644" s="229"/>
      <c r="I1644" s="229">
        <v>42644</v>
      </c>
      <c r="J1644" s="228" t="s">
        <v>16</v>
      </c>
      <c r="K1644" s="230">
        <v>19.34</v>
      </c>
      <c r="L1644" s="228">
        <v>19.350000000000001</v>
      </c>
      <c r="M1644" s="228">
        <f t="shared" si="197"/>
        <v>19.34</v>
      </c>
      <c r="N1644" s="231">
        <f t="shared" si="201"/>
        <v>42658</v>
      </c>
      <c r="O1644" s="228">
        <v>1102380</v>
      </c>
      <c r="P1644" s="232">
        <f t="shared" si="200"/>
        <v>1102380</v>
      </c>
      <c r="Q1644" s="233">
        <v>42668</v>
      </c>
      <c r="R1644" s="231">
        <v>42669</v>
      </c>
      <c r="S1644" s="230">
        <f t="shared" si="202"/>
        <v>11</v>
      </c>
    </row>
    <row r="1645" spans="1:19" s="234" customFormat="1" hidden="1" x14ac:dyDescent="0.25">
      <c r="A1645" s="226">
        <v>840</v>
      </c>
      <c r="B1645" s="227">
        <v>42655</v>
      </c>
      <c r="C1645" s="228">
        <v>114</v>
      </c>
      <c r="D1645" s="228">
        <v>3000035026</v>
      </c>
      <c r="E1645" s="228" t="s">
        <v>29</v>
      </c>
      <c r="F1645" s="228">
        <v>51</v>
      </c>
      <c r="G1645" s="229">
        <v>42644</v>
      </c>
      <c r="H1645" s="229"/>
      <c r="I1645" s="229">
        <v>42647</v>
      </c>
      <c r="J1645" s="228" t="s">
        <v>16</v>
      </c>
      <c r="K1645" s="230">
        <v>9.0399999999999991</v>
      </c>
      <c r="L1645" s="228">
        <v>9.0399999999999991</v>
      </c>
      <c r="M1645" s="228">
        <f t="shared" si="197"/>
        <v>9.0399999999999991</v>
      </c>
      <c r="N1645" s="231">
        <f t="shared" si="201"/>
        <v>42661</v>
      </c>
      <c r="O1645" s="228">
        <v>515280</v>
      </c>
      <c r="P1645" s="232">
        <f t="shared" si="200"/>
        <v>515280</v>
      </c>
      <c r="Q1645" s="233">
        <v>42668</v>
      </c>
      <c r="R1645" s="231">
        <v>42669</v>
      </c>
      <c r="S1645" s="230">
        <f t="shared" si="202"/>
        <v>8</v>
      </c>
    </row>
    <row r="1646" spans="1:19" s="234" customFormat="1" hidden="1" x14ac:dyDescent="0.25">
      <c r="A1646" s="226">
        <v>841</v>
      </c>
      <c r="B1646" s="227">
        <v>42655</v>
      </c>
      <c r="C1646" s="228">
        <v>114</v>
      </c>
      <c r="D1646" s="228">
        <v>3000035026</v>
      </c>
      <c r="E1646" s="228" t="s">
        <v>29</v>
      </c>
      <c r="F1646" s="228">
        <v>51</v>
      </c>
      <c r="G1646" s="229">
        <v>42644</v>
      </c>
      <c r="H1646" s="229"/>
      <c r="I1646" s="229">
        <v>42647</v>
      </c>
      <c r="J1646" s="228" t="s">
        <v>16</v>
      </c>
      <c r="K1646" s="230">
        <v>16.149999999999999</v>
      </c>
      <c r="L1646" s="228">
        <v>16.170000000000002</v>
      </c>
      <c r="M1646" s="228">
        <f t="shared" si="197"/>
        <v>16.149999999999999</v>
      </c>
      <c r="N1646" s="231">
        <f t="shared" si="201"/>
        <v>42661</v>
      </c>
      <c r="O1646" s="228">
        <v>920550</v>
      </c>
      <c r="P1646" s="232">
        <f t="shared" si="200"/>
        <v>920550</v>
      </c>
      <c r="Q1646" s="233">
        <v>42668</v>
      </c>
      <c r="R1646" s="231">
        <v>42669</v>
      </c>
      <c r="S1646" s="230">
        <f t="shared" si="202"/>
        <v>8</v>
      </c>
    </row>
    <row r="1647" spans="1:19" s="234" customFormat="1" hidden="1" x14ac:dyDescent="0.25">
      <c r="A1647" s="226">
        <v>842</v>
      </c>
      <c r="B1647" s="227">
        <v>42655</v>
      </c>
      <c r="C1647" s="228">
        <v>114</v>
      </c>
      <c r="D1647" s="228">
        <v>3000035026</v>
      </c>
      <c r="E1647" s="228" t="s">
        <v>29</v>
      </c>
      <c r="F1647" s="228">
        <v>52</v>
      </c>
      <c r="G1647" s="229">
        <v>42644</v>
      </c>
      <c r="H1647" s="229"/>
      <c r="I1647" s="229">
        <v>42647</v>
      </c>
      <c r="J1647" s="228" t="s">
        <v>16</v>
      </c>
      <c r="K1647" s="230">
        <v>5.99</v>
      </c>
      <c r="L1647" s="228">
        <v>5.99</v>
      </c>
      <c r="M1647" s="228">
        <f t="shared" si="197"/>
        <v>5.99</v>
      </c>
      <c r="N1647" s="231">
        <f t="shared" si="201"/>
        <v>42661</v>
      </c>
      <c r="O1647" s="228">
        <v>341430</v>
      </c>
      <c r="P1647" s="232">
        <f t="shared" si="200"/>
        <v>341430</v>
      </c>
      <c r="Q1647" s="233">
        <v>42668</v>
      </c>
      <c r="R1647" s="231">
        <v>42669</v>
      </c>
      <c r="S1647" s="230">
        <f t="shared" si="202"/>
        <v>8</v>
      </c>
    </row>
    <row r="1648" spans="1:19" s="234" customFormat="1" hidden="1" x14ac:dyDescent="0.25">
      <c r="A1648" s="226">
        <v>843</v>
      </c>
      <c r="B1648" s="227">
        <v>42655</v>
      </c>
      <c r="C1648" s="228">
        <v>114</v>
      </c>
      <c r="D1648" s="228">
        <v>3000035100</v>
      </c>
      <c r="E1648" s="228" t="s">
        <v>29</v>
      </c>
      <c r="F1648" s="228">
        <v>53</v>
      </c>
      <c r="G1648" s="229">
        <v>42644</v>
      </c>
      <c r="H1648" s="229"/>
      <c r="I1648" s="229">
        <v>42647</v>
      </c>
      <c r="J1648" s="228" t="s">
        <v>16</v>
      </c>
      <c r="K1648" s="230">
        <v>19.84</v>
      </c>
      <c r="L1648" s="228">
        <v>19.850000000000001</v>
      </c>
      <c r="M1648" s="228">
        <f t="shared" si="197"/>
        <v>19.84</v>
      </c>
      <c r="N1648" s="231">
        <f t="shared" si="201"/>
        <v>42661</v>
      </c>
      <c r="O1648" s="228">
        <v>1134848</v>
      </c>
      <c r="P1648" s="232">
        <f t="shared" si="200"/>
        <v>1134848</v>
      </c>
      <c r="Q1648" s="233">
        <v>42668</v>
      </c>
      <c r="R1648" s="231">
        <v>42669</v>
      </c>
      <c r="S1648" s="230">
        <f t="shared" si="202"/>
        <v>8</v>
      </c>
    </row>
    <row r="1649" spans="1:19" s="234" customFormat="1" hidden="1" x14ac:dyDescent="0.25">
      <c r="A1649" s="226">
        <v>790</v>
      </c>
      <c r="B1649" s="227">
        <v>42646</v>
      </c>
      <c r="C1649" s="228">
        <v>114</v>
      </c>
      <c r="D1649" s="228">
        <v>3000034220</v>
      </c>
      <c r="E1649" s="228" t="s">
        <v>18</v>
      </c>
      <c r="F1649" s="228">
        <v>84</v>
      </c>
      <c r="G1649" s="229">
        <v>42636</v>
      </c>
      <c r="H1649" s="229"/>
      <c r="I1649" s="229">
        <v>42639</v>
      </c>
      <c r="J1649" s="228" t="s">
        <v>16</v>
      </c>
      <c r="K1649" s="230">
        <v>13.83</v>
      </c>
      <c r="L1649" s="228">
        <v>13.83</v>
      </c>
      <c r="M1649" s="228">
        <f t="shared" si="197"/>
        <v>13.83</v>
      </c>
      <c r="N1649" s="231">
        <f t="shared" si="201"/>
        <v>42653</v>
      </c>
      <c r="O1649" s="228">
        <v>781395</v>
      </c>
      <c r="P1649" s="232">
        <f t="shared" si="200"/>
        <v>781395</v>
      </c>
      <c r="Q1649" s="233">
        <v>42668</v>
      </c>
      <c r="R1649" s="231">
        <v>42669</v>
      </c>
      <c r="S1649" s="230">
        <f t="shared" si="202"/>
        <v>16</v>
      </c>
    </row>
    <row r="1650" spans="1:19" s="234" customFormat="1" hidden="1" x14ac:dyDescent="0.25">
      <c r="A1650" s="226">
        <v>791</v>
      </c>
      <c r="B1650" s="227">
        <v>42646</v>
      </c>
      <c r="C1650" s="228">
        <v>114</v>
      </c>
      <c r="D1650" s="228">
        <v>3000034726</v>
      </c>
      <c r="E1650" s="228" t="s">
        <v>18</v>
      </c>
      <c r="F1650" s="228">
        <v>84</v>
      </c>
      <c r="G1650" s="229">
        <v>42636</v>
      </c>
      <c r="H1650" s="229"/>
      <c r="I1650" s="229">
        <v>42639</v>
      </c>
      <c r="J1650" s="228" t="s">
        <v>16</v>
      </c>
      <c r="K1650" s="230">
        <v>14</v>
      </c>
      <c r="L1650" s="228">
        <v>13.79</v>
      </c>
      <c r="M1650" s="228">
        <f t="shared" si="197"/>
        <v>13.79</v>
      </c>
      <c r="N1650" s="231">
        <f t="shared" si="201"/>
        <v>42653</v>
      </c>
      <c r="O1650" s="228">
        <v>798000</v>
      </c>
      <c r="P1650" s="232">
        <f t="shared" si="200"/>
        <v>786030</v>
      </c>
      <c r="Q1650" s="233">
        <v>42668</v>
      </c>
      <c r="R1650" s="231">
        <v>42669</v>
      </c>
      <c r="S1650" s="230">
        <f t="shared" si="202"/>
        <v>16</v>
      </c>
    </row>
    <row r="1651" spans="1:19" s="234" customFormat="1" hidden="1" x14ac:dyDescent="0.25">
      <c r="A1651" s="226">
        <v>792</v>
      </c>
      <c r="B1651" s="227">
        <v>42646</v>
      </c>
      <c r="C1651" s="228">
        <v>114</v>
      </c>
      <c r="D1651" s="228">
        <v>3000034199</v>
      </c>
      <c r="E1651" s="228" t="s">
        <v>18</v>
      </c>
      <c r="F1651" s="228">
        <v>85</v>
      </c>
      <c r="G1651" s="229">
        <v>42637</v>
      </c>
      <c r="H1651" s="229"/>
      <c r="I1651" s="229">
        <v>42641</v>
      </c>
      <c r="J1651" s="228" t="s">
        <v>8</v>
      </c>
      <c r="K1651" s="230">
        <v>8.0350000000000001</v>
      </c>
      <c r="L1651" s="228">
        <v>8.0350000000000001</v>
      </c>
      <c r="M1651" s="228">
        <f t="shared" si="197"/>
        <v>8.0350000000000001</v>
      </c>
      <c r="N1651" s="231">
        <f t="shared" si="201"/>
        <v>42655</v>
      </c>
      <c r="O1651" s="228">
        <v>457995</v>
      </c>
      <c r="P1651" s="232">
        <f t="shared" si="200"/>
        <v>457995</v>
      </c>
      <c r="Q1651" s="233">
        <v>42668</v>
      </c>
      <c r="R1651" s="231">
        <v>42669</v>
      </c>
      <c r="S1651" s="230">
        <f t="shared" si="202"/>
        <v>14</v>
      </c>
    </row>
    <row r="1652" spans="1:19" s="234" customFormat="1" hidden="1" x14ac:dyDescent="0.25">
      <c r="A1652" s="226">
        <v>793</v>
      </c>
      <c r="B1652" s="227">
        <v>42646</v>
      </c>
      <c r="C1652" s="228">
        <v>114</v>
      </c>
      <c r="D1652" s="228">
        <v>3000034344</v>
      </c>
      <c r="E1652" s="228" t="s">
        <v>18</v>
      </c>
      <c r="F1652" s="228">
        <v>85</v>
      </c>
      <c r="G1652" s="229">
        <v>42637</v>
      </c>
      <c r="H1652" s="229"/>
      <c r="I1652" s="229">
        <v>42641</v>
      </c>
      <c r="J1652" s="228" t="s">
        <v>8</v>
      </c>
      <c r="K1652" s="230">
        <v>21</v>
      </c>
      <c r="L1652" s="228">
        <v>20.895</v>
      </c>
      <c r="M1652" s="228">
        <f t="shared" si="197"/>
        <v>20.895</v>
      </c>
      <c r="N1652" s="231">
        <f t="shared" si="201"/>
        <v>42655</v>
      </c>
      <c r="O1652" s="228">
        <v>1207500</v>
      </c>
      <c r="P1652" s="232">
        <f t="shared" si="200"/>
        <v>1201462.5</v>
      </c>
      <c r="Q1652" s="233">
        <v>42668</v>
      </c>
      <c r="R1652" s="231">
        <v>42669</v>
      </c>
      <c r="S1652" s="230">
        <f t="shared" si="202"/>
        <v>14</v>
      </c>
    </row>
    <row r="1653" spans="1:19" s="234" customFormat="1" hidden="1" x14ac:dyDescent="0.25">
      <c r="A1653" s="226">
        <v>825</v>
      </c>
      <c r="B1653" s="227">
        <v>42655</v>
      </c>
      <c r="C1653" s="228">
        <v>114</v>
      </c>
      <c r="D1653" s="228">
        <v>3000034368</v>
      </c>
      <c r="E1653" s="228" t="s">
        <v>18</v>
      </c>
      <c r="F1653" s="228">
        <v>87</v>
      </c>
      <c r="G1653" s="229">
        <v>42640</v>
      </c>
      <c r="H1653" s="229"/>
      <c r="I1653" s="229">
        <v>42643</v>
      </c>
      <c r="J1653" s="228" t="s">
        <v>8</v>
      </c>
      <c r="K1653" s="230">
        <v>20.34</v>
      </c>
      <c r="L1653" s="228">
        <v>20.260000000000002</v>
      </c>
      <c r="M1653" s="228">
        <f t="shared" si="197"/>
        <v>20.260000000000002</v>
      </c>
      <c r="N1653" s="231">
        <f t="shared" si="201"/>
        <v>42657</v>
      </c>
      <c r="O1653" s="228">
        <v>1169550</v>
      </c>
      <c r="P1653" s="232">
        <f t="shared" si="200"/>
        <v>1164950</v>
      </c>
      <c r="Q1653" s="233">
        <v>42668</v>
      </c>
      <c r="R1653" s="231">
        <v>42669</v>
      </c>
      <c r="S1653" s="230">
        <f t="shared" si="202"/>
        <v>12</v>
      </c>
    </row>
    <row r="1654" spans="1:19" s="234" customFormat="1" hidden="1" x14ac:dyDescent="0.25">
      <c r="A1654" s="226">
        <v>826</v>
      </c>
      <c r="B1654" s="227">
        <v>42655</v>
      </c>
      <c r="C1654" s="228">
        <v>114</v>
      </c>
      <c r="D1654" s="228">
        <v>3000034368</v>
      </c>
      <c r="E1654" s="228" t="s">
        <v>18</v>
      </c>
      <c r="F1654" s="228">
        <v>88</v>
      </c>
      <c r="G1654" s="229">
        <v>42640</v>
      </c>
      <c r="H1654" s="229"/>
      <c r="I1654" s="229">
        <v>42643</v>
      </c>
      <c r="J1654" s="228" t="s">
        <v>8</v>
      </c>
      <c r="K1654" s="230">
        <v>19.77</v>
      </c>
      <c r="L1654" s="228">
        <v>19.670000000000002</v>
      </c>
      <c r="M1654" s="228">
        <f t="shared" si="197"/>
        <v>19.670000000000002</v>
      </c>
      <c r="N1654" s="231">
        <f t="shared" si="201"/>
        <v>42657</v>
      </c>
      <c r="O1654" s="228">
        <v>1136775</v>
      </c>
      <c r="P1654" s="232">
        <f t="shared" si="200"/>
        <v>1131025</v>
      </c>
      <c r="Q1654" s="233">
        <v>42668</v>
      </c>
      <c r="R1654" s="231">
        <v>42669</v>
      </c>
      <c r="S1654" s="230">
        <f t="shared" si="202"/>
        <v>12</v>
      </c>
    </row>
    <row r="1655" spans="1:19" s="241" customFormat="1" hidden="1" x14ac:dyDescent="0.25">
      <c r="A1655" s="235">
        <v>824</v>
      </c>
      <c r="B1655" s="236">
        <v>42655</v>
      </c>
      <c r="C1655" s="237">
        <v>114</v>
      </c>
      <c r="D1655" s="237">
        <v>3000034603</v>
      </c>
      <c r="E1655" s="237" t="s">
        <v>37</v>
      </c>
      <c r="F1655" s="237">
        <v>145</v>
      </c>
      <c r="G1655" s="238">
        <v>42640</v>
      </c>
      <c r="H1655" s="238"/>
      <c r="I1655" s="238">
        <v>42642</v>
      </c>
      <c r="J1655" s="237" t="s">
        <v>16</v>
      </c>
      <c r="K1655" s="239">
        <v>20.149999999999999</v>
      </c>
      <c r="L1655" s="237">
        <v>20.16</v>
      </c>
      <c r="M1655" s="237">
        <f t="shared" si="197"/>
        <v>20.149999999999999</v>
      </c>
      <c r="N1655" s="240">
        <f t="shared" si="201"/>
        <v>42656</v>
      </c>
      <c r="O1655" s="237">
        <v>1130415</v>
      </c>
      <c r="P1655" s="232">
        <f t="shared" si="200"/>
        <v>1130415</v>
      </c>
      <c r="Q1655" s="233">
        <v>42668</v>
      </c>
      <c r="R1655" s="231">
        <v>42669</v>
      </c>
      <c r="S1655" s="230">
        <f t="shared" si="202"/>
        <v>13</v>
      </c>
    </row>
    <row r="1656" spans="1:19" s="234" customFormat="1" hidden="1" x14ac:dyDescent="0.25">
      <c r="A1656" s="226">
        <v>827</v>
      </c>
      <c r="B1656" s="227">
        <v>42655</v>
      </c>
      <c r="C1656" s="228">
        <v>114</v>
      </c>
      <c r="D1656" s="228">
        <v>3000034348</v>
      </c>
      <c r="E1656" s="228" t="s">
        <v>44</v>
      </c>
      <c r="F1656" s="228">
        <v>55</v>
      </c>
      <c r="G1656" s="229">
        <v>42640</v>
      </c>
      <c r="H1656" s="229"/>
      <c r="I1656" s="229">
        <v>42644</v>
      </c>
      <c r="J1656" s="228" t="s">
        <v>8</v>
      </c>
      <c r="K1656" s="230">
        <v>19.489999999999998</v>
      </c>
      <c r="L1656" s="228">
        <v>19.399999999999999</v>
      </c>
      <c r="M1656" s="228">
        <f t="shared" si="197"/>
        <v>19.399999999999999</v>
      </c>
      <c r="N1656" s="231">
        <f t="shared" si="201"/>
        <v>42658</v>
      </c>
      <c r="O1656" s="228">
        <v>1120675</v>
      </c>
      <c r="P1656" s="232">
        <f t="shared" si="200"/>
        <v>1115500</v>
      </c>
      <c r="Q1656" s="233">
        <v>42668</v>
      </c>
      <c r="R1656" s="231">
        <v>42669</v>
      </c>
      <c r="S1656" s="230">
        <f t="shared" si="202"/>
        <v>11</v>
      </c>
    </row>
    <row r="1657" spans="1:19" s="234" customFormat="1" hidden="1" x14ac:dyDescent="0.25">
      <c r="A1657" s="226">
        <v>828</v>
      </c>
      <c r="B1657" s="227">
        <v>42655</v>
      </c>
      <c r="C1657" s="228">
        <v>114</v>
      </c>
      <c r="D1657" s="228">
        <v>3000034367</v>
      </c>
      <c r="E1657" s="228" t="s">
        <v>44</v>
      </c>
      <c r="F1657" s="228">
        <v>56</v>
      </c>
      <c r="G1657" s="229">
        <v>42640</v>
      </c>
      <c r="H1657" s="229"/>
      <c r="I1657" s="229">
        <v>42644</v>
      </c>
      <c r="J1657" s="228" t="s">
        <v>8</v>
      </c>
      <c r="K1657" s="230">
        <v>15.42</v>
      </c>
      <c r="L1657" s="228">
        <v>15.42</v>
      </c>
      <c r="M1657" s="228">
        <f t="shared" si="197"/>
        <v>15.42</v>
      </c>
      <c r="N1657" s="231">
        <f t="shared" si="201"/>
        <v>42658</v>
      </c>
      <c r="O1657" s="228">
        <v>886650</v>
      </c>
      <c r="P1657" s="232">
        <f t="shared" si="200"/>
        <v>886650</v>
      </c>
      <c r="Q1657" s="233">
        <v>42668</v>
      </c>
      <c r="R1657" s="231">
        <v>42669</v>
      </c>
      <c r="S1657" s="230">
        <f t="shared" si="202"/>
        <v>11</v>
      </c>
    </row>
    <row r="1658" spans="1:19" s="234" customFormat="1" hidden="1" x14ac:dyDescent="0.25">
      <c r="A1658" s="226">
        <v>829</v>
      </c>
      <c r="B1658" s="227">
        <v>42655</v>
      </c>
      <c r="C1658" s="228">
        <v>114</v>
      </c>
      <c r="D1658" s="228">
        <v>3000034367</v>
      </c>
      <c r="E1658" s="228" t="s">
        <v>44</v>
      </c>
      <c r="F1658" s="228">
        <v>56</v>
      </c>
      <c r="G1658" s="229">
        <v>42640</v>
      </c>
      <c r="H1658" s="229"/>
      <c r="I1658" s="229">
        <v>42644</v>
      </c>
      <c r="J1658" s="228" t="s">
        <v>8</v>
      </c>
      <c r="K1658" s="230">
        <v>4</v>
      </c>
      <c r="L1658" s="228">
        <v>3.96</v>
      </c>
      <c r="M1658" s="228">
        <f t="shared" si="197"/>
        <v>3.96</v>
      </c>
      <c r="N1658" s="231">
        <f t="shared" si="201"/>
        <v>42658</v>
      </c>
      <c r="O1658" s="228">
        <v>230000</v>
      </c>
      <c r="P1658" s="232">
        <f t="shared" si="200"/>
        <v>227700</v>
      </c>
      <c r="Q1658" s="233">
        <v>42668</v>
      </c>
      <c r="R1658" s="231">
        <v>42669</v>
      </c>
      <c r="S1658" s="230">
        <f t="shared" si="202"/>
        <v>11</v>
      </c>
    </row>
    <row r="1659" spans="1:19" s="234" customFormat="1" hidden="1" x14ac:dyDescent="0.25">
      <c r="A1659" s="226">
        <v>856</v>
      </c>
      <c r="B1659" s="227">
        <v>42655</v>
      </c>
      <c r="C1659" s="228">
        <v>114</v>
      </c>
      <c r="D1659" s="228">
        <v>3000034929</v>
      </c>
      <c r="E1659" s="228" t="s">
        <v>30</v>
      </c>
      <c r="F1659" s="228">
        <v>274</v>
      </c>
      <c r="G1659" s="229">
        <v>42642</v>
      </c>
      <c r="H1659" s="229"/>
      <c r="I1659" s="229">
        <v>42644</v>
      </c>
      <c r="J1659" s="228" t="s">
        <v>229</v>
      </c>
      <c r="K1659" s="230">
        <v>28.23</v>
      </c>
      <c r="L1659" s="228">
        <v>28.06</v>
      </c>
      <c r="M1659" s="228">
        <f t="shared" si="197"/>
        <v>28.06</v>
      </c>
      <c r="N1659" s="231">
        <f t="shared" si="201"/>
        <v>42658</v>
      </c>
      <c r="O1659" s="228">
        <v>1538536</v>
      </c>
      <c r="P1659" s="232">
        <f t="shared" si="200"/>
        <v>1529270.9939780375</v>
      </c>
      <c r="Q1659" s="233">
        <v>42668</v>
      </c>
      <c r="R1659" s="231">
        <v>42669</v>
      </c>
      <c r="S1659" s="230">
        <f t="shared" si="202"/>
        <v>11</v>
      </c>
    </row>
    <row r="1660" spans="1:19" s="234" customFormat="1" hidden="1" x14ac:dyDescent="0.25">
      <c r="A1660" s="226">
        <v>857</v>
      </c>
      <c r="B1660" s="227">
        <v>42655</v>
      </c>
      <c r="C1660" s="228">
        <v>114</v>
      </c>
      <c r="D1660" s="228">
        <v>3000034929</v>
      </c>
      <c r="E1660" s="228" t="s">
        <v>30</v>
      </c>
      <c r="F1660" s="228">
        <v>275</v>
      </c>
      <c r="G1660" s="229">
        <v>42642</v>
      </c>
      <c r="H1660" s="229"/>
      <c r="I1660" s="229">
        <v>42644</v>
      </c>
      <c r="J1660" s="228" t="s">
        <v>229</v>
      </c>
      <c r="K1660" s="230">
        <v>28.13</v>
      </c>
      <c r="L1660" s="228">
        <v>27.97</v>
      </c>
      <c r="M1660" s="228">
        <f t="shared" si="197"/>
        <v>27.97</v>
      </c>
      <c r="N1660" s="231">
        <f t="shared" si="201"/>
        <v>42658</v>
      </c>
      <c r="O1660" s="228">
        <v>1533086</v>
      </c>
      <c r="P1660" s="232">
        <f t="shared" si="200"/>
        <v>1524365.9943121222</v>
      </c>
      <c r="Q1660" s="233">
        <v>42668</v>
      </c>
      <c r="R1660" s="231">
        <v>42669</v>
      </c>
      <c r="S1660" s="230">
        <f t="shared" si="202"/>
        <v>11</v>
      </c>
    </row>
    <row r="1661" spans="1:19" s="234" customFormat="1" hidden="1" x14ac:dyDescent="0.25">
      <c r="A1661" s="226">
        <v>858</v>
      </c>
      <c r="B1661" s="227">
        <v>42655</v>
      </c>
      <c r="C1661" s="228">
        <v>114</v>
      </c>
      <c r="D1661" s="228">
        <v>3000034929</v>
      </c>
      <c r="E1661" s="228" t="s">
        <v>30</v>
      </c>
      <c r="F1661" s="228">
        <v>279</v>
      </c>
      <c r="G1661" s="229">
        <v>42643</v>
      </c>
      <c r="H1661" s="229"/>
      <c r="I1661" s="229">
        <v>42645</v>
      </c>
      <c r="J1661" s="228" t="s">
        <v>229</v>
      </c>
      <c r="K1661" s="230">
        <v>28.48</v>
      </c>
      <c r="L1661" s="228">
        <v>28.31</v>
      </c>
      <c r="M1661" s="228">
        <f t="shared" si="197"/>
        <v>28.31</v>
      </c>
      <c r="N1661" s="231">
        <f t="shared" si="201"/>
        <v>42659</v>
      </c>
      <c r="O1661" s="228">
        <v>1552161</v>
      </c>
      <c r="P1661" s="232">
        <f t="shared" si="200"/>
        <v>1542895.9940308987</v>
      </c>
      <c r="Q1661" s="233">
        <v>42668</v>
      </c>
      <c r="R1661" s="231">
        <v>42669</v>
      </c>
      <c r="S1661" s="230">
        <f t="shared" si="202"/>
        <v>10</v>
      </c>
    </row>
    <row r="1662" spans="1:19" s="234" customFormat="1" hidden="1" x14ac:dyDescent="0.25">
      <c r="A1662" s="226">
        <v>859</v>
      </c>
      <c r="B1662" s="227">
        <v>42655</v>
      </c>
      <c r="C1662" s="228">
        <v>114</v>
      </c>
      <c r="D1662" s="228">
        <v>3000034929</v>
      </c>
      <c r="E1662" s="228" t="s">
        <v>30</v>
      </c>
      <c r="F1662" s="228">
        <v>280</v>
      </c>
      <c r="G1662" s="229">
        <v>42644</v>
      </c>
      <c r="H1662" s="229"/>
      <c r="I1662" s="229">
        <v>42648</v>
      </c>
      <c r="J1662" s="228" t="s">
        <v>229</v>
      </c>
      <c r="K1662" s="230">
        <v>5</v>
      </c>
      <c r="L1662" s="228">
        <v>4.84</v>
      </c>
      <c r="M1662" s="228">
        <f t="shared" si="197"/>
        <v>4.84</v>
      </c>
      <c r="N1662" s="231">
        <f t="shared" si="201"/>
        <v>42662</v>
      </c>
      <c r="O1662" s="228">
        <v>272500</v>
      </c>
      <c r="P1662" s="232">
        <f t="shared" si="200"/>
        <v>263780</v>
      </c>
      <c r="Q1662" s="233">
        <v>42668</v>
      </c>
      <c r="R1662" s="231">
        <v>42669</v>
      </c>
      <c r="S1662" s="230">
        <f t="shared" si="202"/>
        <v>7</v>
      </c>
    </row>
    <row r="1663" spans="1:19" s="234" customFormat="1" hidden="1" x14ac:dyDescent="0.25">
      <c r="A1663" s="226">
        <v>860</v>
      </c>
      <c r="B1663" s="227">
        <v>42655</v>
      </c>
      <c r="C1663" s="228">
        <v>114</v>
      </c>
      <c r="D1663" s="228">
        <v>3000035088</v>
      </c>
      <c r="E1663" s="228" t="s">
        <v>30</v>
      </c>
      <c r="F1663" s="228">
        <v>280</v>
      </c>
      <c r="G1663" s="229">
        <v>42644</v>
      </c>
      <c r="H1663" s="229"/>
      <c r="I1663" s="229">
        <v>42648</v>
      </c>
      <c r="J1663" s="228" t="s">
        <v>229</v>
      </c>
      <c r="K1663" s="230">
        <v>23.59</v>
      </c>
      <c r="L1663" s="228">
        <v>23.59</v>
      </c>
      <c r="M1663" s="228">
        <f t="shared" si="197"/>
        <v>23.59</v>
      </c>
      <c r="N1663" s="231">
        <f t="shared" si="201"/>
        <v>42662</v>
      </c>
      <c r="O1663" s="228">
        <v>1262065</v>
      </c>
      <c r="P1663" s="232">
        <f t="shared" si="200"/>
        <v>1262065</v>
      </c>
      <c r="Q1663" s="233">
        <v>42668</v>
      </c>
      <c r="R1663" s="231">
        <v>42669</v>
      </c>
      <c r="S1663" s="230">
        <f t="shared" si="202"/>
        <v>7</v>
      </c>
    </row>
    <row r="1664" spans="1:19" s="241" customFormat="1" hidden="1" x14ac:dyDescent="0.25">
      <c r="A1664" s="235">
        <v>898</v>
      </c>
      <c r="B1664" s="236">
        <v>42667</v>
      </c>
      <c r="C1664" s="237">
        <v>116</v>
      </c>
      <c r="D1664" s="237">
        <v>3000034876</v>
      </c>
      <c r="E1664" s="237" t="s">
        <v>320</v>
      </c>
      <c r="F1664" s="237">
        <v>9601988087</v>
      </c>
      <c r="G1664" s="238">
        <v>42663</v>
      </c>
      <c r="H1664" s="238"/>
      <c r="I1664" s="238">
        <v>42663</v>
      </c>
      <c r="J1664" s="237" t="s">
        <v>16</v>
      </c>
      <c r="K1664" s="239">
        <v>12.42</v>
      </c>
      <c r="L1664" s="237">
        <v>12.42</v>
      </c>
      <c r="M1664" s="237">
        <f t="shared" ref="M1664:M1669" si="203">IF(L1664&gt;K1664,K1664,L1664)</f>
        <v>12.42</v>
      </c>
      <c r="N1664" s="240">
        <f>+I1664+7-'V V F India Out Standing'!O1117</f>
        <v>42670</v>
      </c>
      <c r="O1664" s="237">
        <v>660201</v>
      </c>
      <c r="P1664" s="232">
        <f t="shared" si="200"/>
        <v>660201</v>
      </c>
      <c r="Q1664" s="233">
        <v>42668</v>
      </c>
      <c r="R1664" s="231">
        <v>42669</v>
      </c>
      <c r="S1664" s="230">
        <f t="shared" si="202"/>
        <v>-1</v>
      </c>
    </row>
    <row r="1665" spans="1:22" s="241" customFormat="1" hidden="1" x14ac:dyDescent="0.25">
      <c r="A1665" s="235">
        <v>905</v>
      </c>
      <c r="B1665" s="236">
        <v>42669</v>
      </c>
      <c r="C1665" s="237">
        <v>116</v>
      </c>
      <c r="D1665" s="237">
        <v>3000033167</v>
      </c>
      <c r="E1665" s="228" t="s">
        <v>333</v>
      </c>
      <c r="F1665" s="237">
        <v>62862850</v>
      </c>
      <c r="G1665" s="238">
        <v>42664</v>
      </c>
      <c r="H1665" s="238"/>
      <c r="I1665" s="238">
        <v>42664</v>
      </c>
      <c r="J1665" s="237" t="s">
        <v>16</v>
      </c>
      <c r="K1665" s="239">
        <v>9.81</v>
      </c>
      <c r="L1665" s="237">
        <v>9.81</v>
      </c>
      <c r="M1665" s="237">
        <f t="shared" si="203"/>
        <v>9.81</v>
      </c>
      <c r="N1665" s="240">
        <f>+I1665+4-'V V F India Out Standing'!O1124</f>
        <v>42668</v>
      </c>
      <c r="O1665" s="237">
        <v>475111</v>
      </c>
      <c r="P1665" s="232">
        <f t="shared" si="200"/>
        <v>475111</v>
      </c>
      <c r="Q1665" s="233">
        <v>42668</v>
      </c>
      <c r="R1665" s="231">
        <v>42669</v>
      </c>
      <c r="S1665" s="230">
        <f t="shared" si="202"/>
        <v>1</v>
      </c>
    </row>
    <row r="1666" spans="1:22" s="241" customFormat="1" hidden="1" x14ac:dyDescent="0.25">
      <c r="A1666" s="235">
        <v>906</v>
      </c>
      <c r="B1666" s="236">
        <v>42669</v>
      </c>
      <c r="C1666" s="237">
        <v>116</v>
      </c>
      <c r="D1666" s="237">
        <v>3000034876</v>
      </c>
      <c r="E1666" s="237" t="s">
        <v>320</v>
      </c>
      <c r="F1666" s="237">
        <v>9601988124</v>
      </c>
      <c r="G1666" s="238">
        <v>42665</v>
      </c>
      <c r="H1666" s="238"/>
      <c r="I1666" s="238">
        <v>42665</v>
      </c>
      <c r="J1666" s="237" t="s">
        <v>16</v>
      </c>
      <c r="K1666" s="239">
        <v>10.27</v>
      </c>
      <c r="L1666" s="237">
        <v>10.27</v>
      </c>
      <c r="M1666" s="237">
        <f t="shared" si="203"/>
        <v>10.27</v>
      </c>
      <c r="N1666" s="240">
        <f>+I1666+7-'V V F India Out Standing'!O1125</f>
        <v>42672</v>
      </c>
      <c r="O1666" s="237">
        <v>545915</v>
      </c>
      <c r="P1666" s="232">
        <f t="shared" si="200"/>
        <v>545915</v>
      </c>
      <c r="Q1666" s="233">
        <v>42668</v>
      </c>
      <c r="R1666" s="231">
        <v>42669</v>
      </c>
      <c r="S1666" s="230">
        <f t="shared" si="202"/>
        <v>-3</v>
      </c>
    </row>
    <row r="1667" spans="1:22" s="250" customFormat="1" hidden="1" x14ac:dyDescent="0.25">
      <c r="A1667" s="244">
        <v>727</v>
      </c>
      <c r="B1667" s="245">
        <v>42632</v>
      </c>
      <c r="C1667" s="246">
        <v>103</v>
      </c>
      <c r="D1667" s="246">
        <v>3000033945</v>
      </c>
      <c r="E1667" s="246" t="s">
        <v>303</v>
      </c>
      <c r="F1667" s="246">
        <v>17</v>
      </c>
      <c r="G1667" s="247">
        <v>42623</v>
      </c>
      <c r="H1667" s="247"/>
      <c r="I1667" s="247">
        <v>42626</v>
      </c>
      <c r="J1667" s="246" t="s">
        <v>61</v>
      </c>
      <c r="K1667" s="248">
        <v>19.93</v>
      </c>
      <c r="L1667" s="246">
        <v>19.86</v>
      </c>
      <c r="M1667" s="246">
        <f t="shared" si="203"/>
        <v>19.86</v>
      </c>
      <c r="N1667" s="249">
        <f>+I1667+30-1</f>
        <v>42655</v>
      </c>
      <c r="O1667" s="246">
        <v>1993000</v>
      </c>
      <c r="P1667" s="232">
        <f t="shared" si="200"/>
        <v>1986000</v>
      </c>
      <c r="Q1667" s="233">
        <v>42668</v>
      </c>
      <c r="R1667" s="231">
        <v>42670</v>
      </c>
      <c r="S1667" s="230">
        <f t="shared" si="202"/>
        <v>15</v>
      </c>
    </row>
    <row r="1668" spans="1:22" s="250" customFormat="1" hidden="1" x14ac:dyDescent="0.25">
      <c r="A1668" s="244">
        <v>864</v>
      </c>
      <c r="B1668" s="245">
        <v>42656</v>
      </c>
      <c r="C1668" s="246">
        <v>114</v>
      </c>
      <c r="D1668" s="246">
        <v>3000034730</v>
      </c>
      <c r="E1668" s="246" t="s">
        <v>44</v>
      </c>
      <c r="F1668" s="246" t="s">
        <v>327</v>
      </c>
      <c r="G1668" s="247">
        <v>42656</v>
      </c>
      <c r="H1668" s="247"/>
      <c r="I1668" s="247">
        <v>42643</v>
      </c>
      <c r="J1668" s="246" t="s">
        <v>16</v>
      </c>
      <c r="K1668" s="248"/>
      <c r="L1668" s="246"/>
      <c r="M1668" s="246">
        <f t="shared" si="203"/>
        <v>0</v>
      </c>
      <c r="N1668" s="249">
        <f>+I1668+15-1</f>
        <v>42657</v>
      </c>
      <c r="O1668" s="246">
        <v>13978</v>
      </c>
      <c r="P1668" s="232"/>
      <c r="Q1668" s="233">
        <v>42668</v>
      </c>
      <c r="R1668" s="231">
        <v>42670</v>
      </c>
      <c r="S1668" s="230">
        <f t="shared" si="202"/>
        <v>13</v>
      </c>
      <c r="T1668" s="251"/>
      <c r="U1668" s="251"/>
      <c r="V1668" s="251"/>
    </row>
    <row r="1669" spans="1:22" s="250" customFormat="1" hidden="1" x14ac:dyDescent="0.25">
      <c r="A1669" s="244">
        <v>865</v>
      </c>
      <c r="B1669" s="245">
        <v>42656</v>
      </c>
      <c r="C1669" s="246">
        <v>114</v>
      </c>
      <c r="D1669" s="246">
        <v>3000034730</v>
      </c>
      <c r="E1669" s="246" t="s">
        <v>44</v>
      </c>
      <c r="F1669" s="246">
        <v>51</v>
      </c>
      <c r="G1669" s="247">
        <v>42656</v>
      </c>
      <c r="H1669" s="247"/>
      <c r="I1669" s="247">
        <v>42643</v>
      </c>
      <c r="J1669" s="246" t="s">
        <v>16</v>
      </c>
      <c r="K1669" s="248">
        <v>27.87</v>
      </c>
      <c r="L1669" s="246">
        <v>27.68</v>
      </c>
      <c r="M1669" s="246">
        <f t="shared" si="203"/>
        <v>27.68</v>
      </c>
      <c r="N1669" s="249">
        <f>+I1669+15-1</f>
        <v>42657</v>
      </c>
      <c r="O1669" s="246">
        <v>1588590</v>
      </c>
      <c r="P1669" s="232">
        <f>(+O1669/K1669*M1669)-13978</f>
        <v>1563782</v>
      </c>
      <c r="Q1669" s="233">
        <v>42668</v>
      </c>
      <c r="R1669" s="231">
        <v>42670</v>
      </c>
      <c r="S1669" s="230">
        <f t="shared" si="202"/>
        <v>13</v>
      </c>
      <c r="T1669" s="251" t="s">
        <v>334</v>
      </c>
      <c r="U1669" s="251"/>
      <c r="V1669" s="251"/>
    </row>
    <row r="1670" spans="1:22" hidden="1" x14ac:dyDescent="0.25">
      <c r="A1670" s="122">
        <v>539</v>
      </c>
      <c r="B1670" s="51">
        <v>42590</v>
      </c>
      <c r="C1670" s="21">
        <v>103</v>
      </c>
      <c r="D1670" s="21">
        <v>3000031854</v>
      </c>
      <c r="E1670" s="21" t="s">
        <v>23</v>
      </c>
      <c r="F1670" s="21">
        <v>2602049701</v>
      </c>
      <c r="G1670" s="52">
        <v>42559</v>
      </c>
      <c r="H1670" s="52"/>
      <c r="I1670" s="52">
        <v>42561</v>
      </c>
      <c r="J1670" s="21" t="s">
        <v>43</v>
      </c>
      <c r="K1670" s="124">
        <v>25.74</v>
      </c>
      <c r="L1670" s="21">
        <v>25.74</v>
      </c>
      <c r="M1670" s="21">
        <v>25.74</v>
      </c>
      <c r="N1670" s="22"/>
      <c r="O1670" s="21">
        <v>1341555</v>
      </c>
      <c r="P1670" s="36">
        <v>1341555</v>
      </c>
      <c r="Q1670" s="170">
        <v>42669</v>
      </c>
      <c r="R1670" s="66">
        <v>42671</v>
      </c>
      <c r="S1670" s="3"/>
    </row>
    <row r="1671" spans="1:22" hidden="1" x14ac:dyDescent="0.25">
      <c r="A1671" s="122">
        <v>540</v>
      </c>
      <c r="B1671" s="51">
        <v>42590</v>
      </c>
      <c r="C1671" s="21">
        <v>103</v>
      </c>
      <c r="D1671" s="21">
        <v>3000031854</v>
      </c>
      <c r="E1671" s="21" t="s">
        <v>23</v>
      </c>
      <c r="F1671" s="21">
        <v>2602049636</v>
      </c>
      <c r="G1671" s="52">
        <v>42557</v>
      </c>
      <c r="H1671" s="52"/>
      <c r="I1671" s="52">
        <v>42559</v>
      </c>
      <c r="J1671" s="21" t="s">
        <v>43</v>
      </c>
      <c r="K1671" s="124">
        <v>25.97</v>
      </c>
      <c r="L1671" s="21">
        <v>25.99</v>
      </c>
      <c r="M1671" s="21">
        <v>25.97</v>
      </c>
      <c r="N1671" s="22"/>
      <c r="O1671" s="21">
        <v>1353542</v>
      </c>
      <c r="P1671" s="36">
        <v>1353542</v>
      </c>
      <c r="Q1671" s="170">
        <v>42669</v>
      </c>
      <c r="R1671" s="66">
        <v>42671</v>
      </c>
      <c r="S1671" s="3"/>
    </row>
    <row r="1672" spans="1:22" hidden="1" x14ac:dyDescent="0.25">
      <c r="A1672" s="122">
        <v>541</v>
      </c>
      <c r="B1672" s="51">
        <v>42590</v>
      </c>
      <c r="C1672" s="21">
        <v>103</v>
      </c>
      <c r="D1672" s="21">
        <v>3000031854</v>
      </c>
      <c r="E1672" s="21" t="s">
        <v>23</v>
      </c>
      <c r="F1672" s="21">
        <v>2602049700</v>
      </c>
      <c r="G1672" s="52">
        <v>42559</v>
      </c>
      <c r="H1672" s="52"/>
      <c r="I1672" s="52">
        <v>42561</v>
      </c>
      <c r="J1672" s="21" t="s">
        <v>43</v>
      </c>
      <c r="K1672" s="124">
        <v>20.329999999999998</v>
      </c>
      <c r="L1672" s="21">
        <v>20.399999999999999</v>
      </c>
      <c r="M1672" s="21">
        <v>20.329999999999998</v>
      </c>
      <c r="N1672" s="22"/>
      <c r="O1672" s="21">
        <v>1059589</v>
      </c>
      <c r="P1672" s="36">
        <v>1059589</v>
      </c>
      <c r="Q1672" s="170">
        <v>42669</v>
      </c>
      <c r="R1672" s="66">
        <v>42671</v>
      </c>
      <c r="S1672" s="3"/>
    </row>
    <row r="1673" spans="1:22" hidden="1" x14ac:dyDescent="0.25">
      <c r="A1673" s="122">
        <v>542</v>
      </c>
      <c r="B1673" s="51">
        <v>42590</v>
      </c>
      <c r="C1673" s="21">
        <v>103</v>
      </c>
      <c r="D1673" s="21">
        <v>3000031854</v>
      </c>
      <c r="E1673" s="21" t="s">
        <v>23</v>
      </c>
      <c r="F1673" s="21">
        <v>2602049585</v>
      </c>
      <c r="G1673" s="52">
        <v>42554</v>
      </c>
      <c r="H1673" s="52"/>
      <c r="I1673" s="52">
        <v>42557</v>
      </c>
      <c r="J1673" s="21" t="s">
        <v>43</v>
      </c>
      <c r="K1673" s="124">
        <v>25.88</v>
      </c>
      <c r="L1673" s="21">
        <v>25.87</v>
      </c>
      <c r="M1673" s="21">
        <v>25.87</v>
      </c>
      <c r="N1673" s="22"/>
      <c r="O1673" s="21">
        <v>1348852</v>
      </c>
      <c r="P1673" s="36">
        <v>1348330.8052550233</v>
      </c>
      <c r="Q1673" s="170">
        <v>42669</v>
      </c>
      <c r="R1673" s="66">
        <v>42671</v>
      </c>
      <c r="S1673" s="3"/>
    </row>
    <row r="1674" spans="1:22" hidden="1" x14ac:dyDescent="0.25">
      <c r="A1674" s="122">
        <v>543</v>
      </c>
      <c r="B1674" s="51">
        <v>42590</v>
      </c>
      <c r="C1674" s="21">
        <v>103</v>
      </c>
      <c r="D1674" s="21">
        <v>3000031854</v>
      </c>
      <c r="E1674" s="21" t="s">
        <v>23</v>
      </c>
      <c r="F1674" s="21">
        <v>2602049586</v>
      </c>
      <c r="G1674" s="52">
        <v>42554</v>
      </c>
      <c r="H1674" s="52"/>
      <c r="I1674" s="52">
        <v>42556</v>
      </c>
      <c r="J1674" s="21" t="s">
        <v>43</v>
      </c>
      <c r="K1674" s="124">
        <v>20.475000000000001</v>
      </c>
      <c r="L1674" s="21">
        <v>20.440000000000001</v>
      </c>
      <c r="M1674" s="21">
        <v>20.440000000000001</v>
      </c>
      <c r="N1674" s="22"/>
      <c r="O1674" s="21">
        <v>1067146</v>
      </c>
      <c r="P1674" s="36">
        <v>1065321.8188034187</v>
      </c>
      <c r="Q1674" s="170">
        <v>42669</v>
      </c>
      <c r="R1674" s="66">
        <v>42671</v>
      </c>
      <c r="S1674" s="3"/>
    </row>
    <row r="1675" spans="1:22" hidden="1" x14ac:dyDescent="0.25">
      <c r="A1675" s="122">
        <v>544</v>
      </c>
      <c r="B1675" s="51">
        <v>42590</v>
      </c>
      <c r="C1675" s="21">
        <v>103</v>
      </c>
      <c r="D1675" s="21">
        <v>3000031854</v>
      </c>
      <c r="E1675" s="21" t="s">
        <v>23</v>
      </c>
      <c r="F1675" s="21">
        <v>2602049587</v>
      </c>
      <c r="G1675" s="52">
        <v>42555</v>
      </c>
      <c r="H1675" s="52"/>
      <c r="I1675" s="52">
        <v>42556</v>
      </c>
      <c r="J1675" s="21" t="s">
        <v>43</v>
      </c>
      <c r="K1675" s="124">
        <v>19.78</v>
      </c>
      <c r="L1675" s="21">
        <v>19.79</v>
      </c>
      <c r="M1675" s="21">
        <v>19.78</v>
      </c>
      <c r="N1675" s="22"/>
      <c r="O1675" s="21">
        <v>1030923</v>
      </c>
      <c r="P1675" s="36">
        <v>1030923</v>
      </c>
      <c r="Q1675" s="170">
        <v>42669</v>
      </c>
      <c r="R1675" s="66">
        <v>42671</v>
      </c>
      <c r="S1675" s="3"/>
    </row>
    <row r="1676" spans="1:22" hidden="1" x14ac:dyDescent="0.25">
      <c r="A1676" s="122">
        <v>545</v>
      </c>
      <c r="B1676" s="51">
        <v>42590</v>
      </c>
      <c r="C1676" s="21">
        <v>103</v>
      </c>
      <c r="D1676" s="21">
        <v>3000031854</v>
      </c>
      <c r="E1676" s="21" t="s">
        <v>23</v>
      </c>
      <c r="F1676" s="21">
        <v>2602049602</v>
      </c>
      <c r="G1676" s="52">
        <v>42556</v>
      </c>
      <c r="H1676" s="52"/>
      <c r="I1676" s="52">
        <v>42558</v>
      </c>
      <c r="J1676" s="21" t="s">
        <v>43</v>
      </c>
      <c r="K1676" s="124">
        <v>20.355</v>
      </c>
      <c r="L1676" s="21">
        <v>20.43</v>
      </c>
      <c r="M1676" s="21">
        <v>20.355</v>
      </c>
      <c r="N1676" s="22"/>
      <c r="O1676" s="21">
        <v>1060892</v>
      </c>
      <c r="P1676" s="36">
        <v>1060892</v>
      </c>
      <c r="Q1676" s="170">
        <v>42669</v>
      </c>
      <c r="R1676" s="66">
        <v>42671</v>
      </c>
      <c r="S1676" s="3"/>
    </row>
    <row r="1677" spans="1:22" hidden="1" x14ac:dyDescent="0.25">
      <c r="A1677" s="122">
        <v>546</v>
      </c>
      <c r="B1677" s="51">
        <v>42590</v>
      </c>
      <c r="C1677" s="21">
        <v>103</v>
      </c>
      <c r="D1677" s="21">
        <v>3000031854</v>
      </c>
      <c r="E1677" s="21" t="s">
        <v>23</v>
      </c>
      <c r="F1677" s="21">
        <v>2602049624</v>
      </c>
      <c r="G1677" s="52">
        <v>42557</v>
      </c>
      <c r="H1677" s="52"/>
      <c r="I1677" s="52">
        <v>42558</v>
      </c>
      <c r="J1677" s="21" t="s">
        <v>43</v>
      </c>
      <c r="K1677" s="124">
        <v>20.23</v>
      </c>
      <c r="L1677" s="21">
        <v>20.260000000000002</v>
      </c>
      <c r="M1677" s="21">
        <v>20.23</v>
      </c>
      <c r="N1677" s="22"/>
      <c r="O1677" s="21">
        <v>1054377</v>
      </c>
      <c r="P1677" s="36">
        <v>1054377</v>
      </c>
      <c r="Q1677" s="170">
        <v>42669</v>
      </c>
      <c r="R1677" s="66">
        <v>42671</v>
      </c>
      <c r="S1677" s="3"/>
    </row>
    <row r="1678" spans="1:22" hidden="1" x14ac:dyDescent="0.25">
      <c r="A1678" s="122">
        <v>547</v>
      </c>
      <c r="B1678" s="51">
        <v>42590</v>
      </c>
      <c r="C1678" s="21">
        <v>103</v>
      </c>
      <c r="D1678" s="21">
        <v>3000031854</v>
      </c>
      <c r="E1678" s="21" t="s">
        <v>23</v>
      </c>
      <c r="F1678" s="21">
        <v>2602049554</v>
      </c>
      <c r="G1678" s="52">
        <v>42553</v>
      </c>
      <c r="H1678" s="52"/>
      <c r="I1678" s="52">
        <v>42556</v>
      </c>
      <c r="J1678" s="21" t="s">
        <v>43</v>
      </c>
      <c r="K1678" s="124">
        <v>20.41</v>
      </c>
      <c r="L1678" s="21">
        <v>20.49</v>
      </c>
      <c r="M1678" s="21">
        <v>20.41</v>
      </c>
      <c r="N1678" s="22"/>
      <c r="O1678" s="21">
        <v>1063758</v>
      </c>
      <c r="P1678" s="36">
        <v>1063758</v>
      </c>
      <c r="Q1678" s="170">
        <v>42669</v>
      </c>
      <c r="R1678" s="66">
        <v>42671</v>
      </c>
      <c r="S1678" s="3"/>
    </row>
    <row r="1679" spans="1:22" hidden="1" x14ac:dyDescent="0.25">
      <c r="A1679" s="122">
        <v>548</v>
      </c>
      <c r="B1679" s="51">
        <v>42590</v>
      </c>
      <c r="C1679" s="21">
        <v>103</v>
      </c>
      <c r="D1679" s="21">
        <v>3000031854</v>
      </c>
      <c r="E1679" s="21" t="s">
        <v>23</v>
      </c>
      <c r="F1679" s="21">
        <v>2602049555</v>
      </c>
      <c r="G1679" s="52">
        <v>42553</v>
      </c>
      <c r="H1679" s="52"/>
      <c r="I1679" s="52">
        <v>42556</v>
      </c>
      <c r="J1679" s="21" t="s">
        <v>43</v>
      </c>
      <c r="K1679" s="124">
        <v>19.914999999999999</v>
      </c>
      <c r="L1679" s="21">
        <v>20</v>
      </c>
      <c r="M1679" s="21">
        <v>19.914999999999999</v>
      </c>
      <c r="N1679" s="22"/>
      <c r="O1679" s="21">
        <v>1037958</v>
      </c>
      <c r="P1679" s="36">
        <v>1037958</v>
      </c>
      <c r="Q1679" s="170">
        <v>42669</v>
      </c>
      <c r="R1679" s="66">
        <v>42671</v>
      </c>
      <c r="S1679" s="3"/>
    </row>
    <row r="1680" spans="1:22" hidden="1" x14ac:dyDescent="0.25">
      <c r="A1680" s="122">
        <v>549</v>
      </c>
      <c r="B1680" s="51">
        <v>42590</v>
      </c>
      <c r="C1680" s="21">
        <v>103</v>
      </c>
      <c r="D1680" s="21">
        <v>3000031854</v>
      </c>
      <c r="E1680" s="21" t="s">
        <v>23</v>
      </c>
      <c r="F1680" s="21">
        <v>2602049538</v>
      </c>
      <c r="G1680" s="52">
        <v>42551</v>
      </c>
      <c r="H1680" s="52"/>
      <c r="I1680" s="52">
        <v>42554</v>
      </c>
      <c r="J1680" s="21" t="s">
        <v>43</v>
      </c>
      <c r="K1680" s="124">
        <v>19.7</v>
      </c>
      <c r="L1680" s="21">
        <v>19.66</v>
      </c>
      <c r="M1680" s="21">
        <v>19.66</v>
      </c>
      <c r="N1680" s="22"/>
      <c r="O1680" s="21">
        <v>1026753</v>
      </c>
      <c r="P1680" s="36">
        <v>1024668.2223350254</v>
      </c>
      <c r="Q1680" s="170">
        <v>42669</v>
      </c>
      <c r="R1680" s="66">
        <v>42671</v>
      </c>
      <c r="S1680" s="3"/>
    </row>
    <row r="1681" spans="1:22" hidden="1" x14ac:dyDescent="0.25">
      <c r="A1681" s="122">
        <v>550</v>
      </c>
      <c r="B1681" s="51">
        <v>42590</v>
      </c>
      <c r="C1681" s="21">
        <v>103</v>
      </c>
      <c r="D1681" s="21">
        <v>3000031854</v>
      </c>
      <c r="E1681" s="21" t="s">
        <v>23</v>
      </c>
      <c r="F1681" s="21">
        <v>2602049509</v>
      </c>
      <c r="G1681" s="52">
        <v>42551</v>
      </c>
      <c r="H1681" s="52"/>
      <c r="I1681" s="52">
        <v>42554</v>
      </c>
      <c r="J1681" s="21" t="s">
        <v>43</v>
      </c>
      <c r="K1681" s="124">
        <v>20.02</v>
      </c>
      <c r="L1681" s="21">
        <v>20.05</v>
      </c>
      <c r="M1681" s="21">
        <v>20.02</v>
      </c>
      <c r="N1681" s="22"/>
      <c r="O1681" s="21">
        <v>1043431</v>
      </c>
      <c r="P1681" s="36">
        <v>1043431</v>
      </c>
      <c r="Q1681" s="170">
        <v>42669</v>
      </c>
      <c r="R1681" s="66">
        <v>42671</v>
      </c>
      <c r="S1681" s="3"/>
    </row>
    <row r="1682" spans="1:22" hidden="1" x14ac:dyDescent="0.25">
      <c r="A1682" s="122">
        <v>551</v>
      </c>
      <c r="B1682" s="51">
        <v>42590</v>
      </c>
      <c r="C1682" s="21">
        <v>103</v>
      </c>
      <c r="D1682" s="21">
        <v>3000031854</v>
      </c>
      <c r="E1682" s="21" t="s">
        <v>23</v>
      </c>
      <c r="F1682" s="21">
        <v>2602049507</v>
      </c>
      <c r="G1682" s="52">
        <v>42550</v>
      </c>
      <c r="H1682" s="52"/>
      <c r="I1682" s="52">
        <v>42553</v>
      </c>
      <c r="J1682" s="21" t="s">
        <v>43</v>
      </c>
      <c r="K1682" s="124">
        <v>19.809999999999999</v>
      </c>
      <c r="L1682" s="21">
        <v>19.79</v>
      </c>
      <c r="M1682" s="21">
        <v>19.79</v>
      </c>
      <c r="N1682" s="22"/>
      <c r="O1682" s="21">
        <v>1032486</v>
      </c>
      <c r="P1682" s="36">
        <v>1031443.6113074204</v>
      </c>
      <c r="Q1682" s="170">
        <v>42669</v>
      </c>
      <c r="R1682" s="66">
        <v>42671</v>
      </c>
      <c r="S1682" s="3"/>
    </row>
    <row r="1683" spans="1:22" hidden="1" x14ac:dyDescent="0.25">
      <c r="A1683" s="122">
        <v>552</v>
      </c>
      <c r="B1683" s="51">
        <v>42590</v>
      </c>
      <c r="C1683" s="21">
        <v>103</v>
      </c>
      <c r="D1683" s="21">
        <v>3000031854</v>
      </c>
      <c r="E1683" s="21" t="s">
        <v>23</v>
      </c>
      <c r="F1683" s="21">
        <v>2602049455</v>
      </c>
      <c r="G1683" s="52">
        <v>42550</v>
      </c>
      <c r="H1683" s="52"/>
      <c r="I1683" s="52">
        <v>42552</v>
      </c>
      <c r="J1683" s="21" t="s">
        <v>43</v>
      </c>
      <c r="K1683" s="124">
        <v>20.675000000000001</v>
      </c>
      <c r="L1683" s="21">
        <v>20.66</v>
      </c>
      <c r="M1683" s="21">
        <v>20.66</v>
      </c>
      <c r="N1683" s="22"/>
      <c r="O1683" s="21">
        <v>1077570</v>
      </c>
      <c r="P1683" s="36">
        <v>1076788.2079806528</v>
      </c>
      <c r="Q1683" s="170">
        <v>42669</v>
      </c>
      <c r="R1683" s="66">
        <v>42671</v>
      </c>
      <c r="S1683" s="3"/>
    </row>
    <row r="1684" spans="1:22" hidden="1" x14ac:dyDescent="0.25">
      <c r="A1684" s="122">
        <v>554</v>
      </c>
      <c r="B1684" s="51">
        <v>42590</v>
      </c>
      <c r="C1684" s="21">
        <v>103</v>
      </c>
      <c r="D1684" s="21">
        <v>3000031854</v>
      </c>
      <c r="E1684" s="21" t="s">
        <v>23</v>
      </c>
      <c r="F1684" s="21">
        <v>2602049301</v>
      </c>
      <c r="G1684" s="52">
        <v>42544</v>
      </c>
      <c r="H1684" s="52"/>
      <c r="I1684" s="52">
        <v>42547</v>
      </c>
      <c r="J1684" s="21" t="s">
        <v>43</v>
      </c>
      <c r="K1684" s="124">
        <v>11.654999999999999</v>
      </c>
      <c r="L1684" s="21">
        <v>11.68</v>
      </c>
      <c r="M1684" s="21">
        <v>11.654999999999999</v>
      </c>
      <c r="N1684" s="22"/>
      <c r="O1684" s="21">
        <v>607452</v>
      </c>
      <c r="P1684" s="36">
        <v>607452</v>
      </c>
      <c r="Q1684" s="170">
        <v>42669</v>
      </c>
      <c r="R1684" s="66">
        <v>42671</v>
      </c>
      <c r="S1684" s="3"/>
    </row>
    <row r="1685" spans="1:22" hidden="1" x14ac:dyDescent="0.25">
      <c r="A1685" s="122">
        <v>589</v>
      </c>
      <c r="B1685" s="51">
        <v>42594</v>
      </c>
      <c r="C1685" s="21">
        <v>103</v>
      </c>
      <c r="D1685" s="21">
        <v>3000031854</v>
      </c>
      <c r="E1685" s="21" t="s">
        <v>23</v>
      </c>
      <c r="F1685" s="21">
        <v>2602049556</v>
      </c>
      <c r="G1685" s="52">
        <v>42553</v>
      </c>
      <c r="H1685" s="52"/>
      <c r="I1685" s="52">
        <v>42556</v>
      </c>
      <c r="J1685" s="21" t="s">
        <v>43</v>
      </c>
      <c r="K1685" s="124">
        <v>19.734999999999999</v>
      </c>
      <c r="L1685" s="21">
        <v>19.79</v>
      </c>
      <c r="M1685" s="21">
        <v>19.734999999999999</v>
      </c>
      <c r="N1685" s="22"/>
      <c r="O1685" s="21">
        <v>1028578</v>
      </c>
      <c r="P1685" s="36">
        <v>1028578</v>
      </c>
      <c r="Q1685" s="170">
        <v>42669</v>
      </c>
      <c r="R1685" s="66">
        <v>42671</v>
      </c>
      <c r="S1685" s="3"/>
    </row>
    <row r="1686" spans="1:22" hidden="1" x14ac:dyDescent="0.25">
      <c r="A1686" s="122">
        <v>917</v>
      </c>
      <c r="B1686" s="51">
        <v>42446</v>
      </c>
      <c r="C1686" s="21">
        <v>103</v>
      </c>
      <c r="D1686" s="21">
        <v>3000027769</v>
      </c>
      <c r="E1686" s="21" t="s">
        <v>23</v>
      </c>
      <c r="F1686" s="21">
        <v>2602047077</v>
      </c>
      <c r="G1686" s="52">
        <v>42441</v>
      </c>
      <c r="H1686" s="52"/>
      <c r="I1686" s="52">
        <v>42443</v>
      </c>
      <c r="J1686" s="21" t="s">
        <v>43</v>
      </c>
      <c r="K1686" s="124">
        <v>26.2</v>
      </c>
      <c r="L1686" s="21">
        <v>26.2</v>
      </c>
      <c r="M1686" s="21">
        <v>26.2</v>
      </c>
      <c r="N1686" s="22"/>
      <c r="O1686" s="21">
        <v>1380562</v>
      </c>
      <c r="P1686" s="36">
        <v>1380562</v>
      </c>
      <c r="Q1686" s="170">
        <v>42669</v>
      </c>
      <c r="R1686" s="66">
        <v>42671</v>
      </c>
      <c r="S1686" s="3"/>
      <c r="T1686" s="9" t="s">
        <v>335</v>
      </c>
      <c r="U1686" s="9"/>
      <c r="V1686" s="9"/>
    </row>
    <row r="1687" spans="1:22" s="252" customFormat="1" hidden="1" x14ac:dyDescent="0.25">
      <c r="A1687" s="226">
        <v>644</v>
      </c>
      <c r="B1687" s="227">
        <v>42613</v>
      </c>
      <c r="C1687" s="228">
        <v>103</v>
      </c>
      <c r="D1687" s="228">
        <v>3000033774</v>
      </c>
      <c r="E1687" s="228" t="s">
        <v>202</v>
      </c>
      <c r="F1687" s="228">
        <v>116</v>
      </c>
      <c r="G1687" s="229">
        <v>42606</v>
      </c>
      <c r="H1687" s="229"/>
      <c r="I1687" s="229">
        <v>42612</v>
      </c>
      <c r="J1687" s="228" t="s">
        <v>61</v>
      </c>
      <c r="K1687" s="230">
        <v>15.75</v>
      </c>
      <c r="L1687" s="228">
        <v>15.8</v>
      </c>
      <c r="M1687" s="228">
        <f t="shared" ref="M1687:M1718" si="204">IF(L1687&gt;K1687,K1687,L1687)</f>
        <v>15.75</v>
      </c>
      <c r="N1687" s="231">
        <f t="shared" ref="N1687:N1695" si="205">+I1687+20-1</f>
        <v>42631</v>
      </c>
      <c r="O1687" s="228">
        <v>1638000</v>
      </c>
      <c r="P1687" s="232">
        <f t="shared" ref="P1687:P1702" si="206">(+O1687/K1687*M1687)</f>
        <v>1638000</v>
      </c>
      <c r="Q1687" s="233">
        <v>42670</v>
      </c>
      <c r="R1687" s="231">
        <v>42671</v>
      </c>
      <c r="S1687" s="241"/>
    </row>
    <row r="1688" spans="1:22" s="252" customFormat="1" hidden="1" x14ac:dyDescent="0.25">
      <c r="A1688" s="226">
        <v>648</v>
      </c>
      <c r="B1688" s="227">
        <v>42613</v>
      </c>
      <c r="C1688" s="228">
        <v>103</v>
      </c>
      <c r="D1688" s="228">
        <v>3000033774</v>
      </c>
      <c r="E1688" s="228" t="s">
        <v>202</v>
      </c>
      <c r="F1688" s="228">
        <v>120</v>
      </c>
      <c r="G1688" s="229">
        <v>42607</v>
      </c>
      <c r="H1688" s="229"/>
      <c r="I1688" s="229">
        <v>42611</v>
      </c>
      <c r="J1688" s="228" t="s">
        <v>61</v>
      </c>
      <c r="K1688" s="230">
        <v>19.95</v>
      </c>
      <c r="L1688" s="228">
        <v>19.88</v>
      </c>
      <c r="M1688" s="228">
        <f t="shared" si="204"/>
        <v>19.88</v>
      </c>
      <c r="N1688" s="231">
        <f t="shared" si="205"/>
        <v>42630</v>
      </c>
      <c r="O1688" s="228">
        <v>2074800</v>
      </c>
      <c r="P1688" s="232">
        <f t="shared" si="206"/>
        <v>2067520</v>
      </c>
      <c r="Q1688" s="233">
        <v>42670</v>
      </c>
      <c r="R1688" s="231">
        <v>42671</v>
      </c>
      <c r="S1688" s="241"/>
    </row>
    <row r="1689" spans="1:22" s="252" customFormat="1" hidden="1" x14ac:dyDescent="0.25">
      <c r="A1689" s="226">
        <v>670</v>
      </c>
      <c r="B1689" s="227">
        <v>42621</v>
      </c>
      <c r="C1689" s="228">
        <v>103</v>
      </c>
      <c r="D1689" s="228">
        <v>3000032224</v>
      </c>
      <c r="E1689" s="228" t="s">
        <v>192</v>
      </c>
      <c r="F1689" s="228">
        <v>28</v>
      </c>
      <c r="G1689" s="229">
        <v>42611</v>
      </c>
      <c r="H1689" s="229"/>
      <c r="I1689" s="229">
        <v>42615</v>
      </c>
      <c r="J1689" s="228" t="s">
        <v>61</v>
      </c>
      <c r="K1689" s="230">
        <v>20.13</v>
      </c>
      <c r="L1689" s="228">
        <v>20.079999999999998</v>
      </c>
      <c r="M1689" s="228">
        <f t="shared" si="204"/>
        <v>20.079999999999998</v>
      </c>
      <c r="N1689" s="231">
        <f t="shared" si="205"/>
        <v>42634</v>
      </c>
      <c r="O1689" s="228">
        <v>1570140</v>
      </c>
      <c r="P1689" s="232">
        <f t="shared" si="206"/>
        <v>1566239.9999999998</v>
      </c>
      <c r="Q1689" s="233">
        <v>42670</v>
      </c>
      <c r="R1689" s="231">
        <v>42671</v>
      </c>
      <c r="S1689" s="241"/>
    </row>
    <row r="1690" spans="1:22" s="252" customFormat="1" hidden="1" x14ac:dyDescent="0.25">
      <c r="A1690" s="226">
        <v>667</v>
      </c>
      <c r="B1690" s="227">
        <v>42621</v>
      </c>
      <c r="C1690" s="228">
        <v>103</v>
      </c>
      <c r="D1690" s="228">
        <v>3000033679</v>
      </c>
      <c r="E1690" s="228" t="s">
        <v>60</v>
      </c>
      <c r="F1690" s="228">
        <v>580</v>
      </c>
      <c r="G1690" s="229">
        <v>42613</v>
      </c>
      <c r="H1690" s="229"/>
      <c r="I1690" s="229">
        <v>42617</v>
      </c>
      <c r="J1690" s="228" t="s">
        <v>61</v>
      </c>
      <c r="K1690" s="230">
        <v>16.46</v>
      </c>
      <c r="L1690" s="228">
        <v>16.39</v>
      </c>
      <c r="M1690" s="228">
        <f t="shared" si="204"/>
        <v>16.39</v>
      </c>
      <c r="N1690" s="231">
        <f t="shared" si="205"/>
        <v>42636</v>
      </c>
      <c r="O1690" s="228">
        <v>1514386</v>
      </c>
      <c r="P1690" s="232">
        <f t="shared" si="206"/>
        <v>1507945.7193195627</v>
      </c>
      <c r="Q1690" s="233">
        <v>42670</v>
      </c>
      <c r="R1690" s="231">
        <v>42671</v>
      </c>
      <c r="S1690" s="241"/>
    </row>
    <row r="1691" spans="1:22" s="252" customFormat="1" hidden="1" x14ac:dyDescent="0.25">
      <c r="A1691" s="226">
        <v>668</v>
      </c>
      <c r="B1691" s="227">
        <v>42621</v>
      </c>
      <c r="C1691" s="228">
        <v>103</v>
      </c>
      <c r="D1691" s="228">
        <v>3000033679</v>
      </c>
      <c r="E1691" s="228" t="s">
        <v>60</v>
      </c>
      <c r="F1691" s="228">
        <v>581</v>
      </c>
      <c r="G1691" s="229">
        <v>42613</v>
      </c>
      <c r="H1691" s="229"/>
      <c r="I1691" s="229">
        <v>42617</v>
      </c>
      <c r="J1691" s="228" t="s">
        <v>61</v>
      </c>
      <c r="K1691" s="230">
        <v>16.37</v>
      </c>
      <c r="L1691" s="228">
        <v>16.309999999999999</v>
      </c>
      <c r="M1691" s="228">
        <f t="shared" si="204"/>
        <v>16.309999999999999</v>
      </c>
      <c r="N1691" s="231">
        <f t="shared" si="205"/>
        <v>42636</v>
      </c>
      <c r="O1691" s="228">
        <v>1506105</v>
      </c>
      <c r="P1691" s="232">
        <f t="shared" si="206"/>
        <v>1500584.7617593156</v>
      </c>
      <c r="Q1691" s="233">
        <v>42670</v>
      </c>
      <c r="R1691" s="231">
        <v>42671</v>
      </c>
      <c r="S1691" s="241"/>
    </row>
    <row r="1692" spans="1:22" s="252" customFormat="1" hidden="1" x14ac:dyDescent="0.25">
      <c r="A1692" s="226">
        <v>669</v>
      </c>
      <c r="B1692" s="227">
        <v>42621</v>
      </c>
      <c r="C1692" s="228">
        <v>103</v>
      </c>
      <c r="D1692" s="228">
        <v>3000033679</v>
      </c>
      <c r="E1692" s="228" t="s">
        <v>60</v>
      </c>
      <c r="F1692" s="228">
        <v>590</v>
      </c>
      <c r="G1692" s="229">
        <v>42615</v>
      </c>
      <c r="H1692" s="229"/>
      <c r="I1692" s="229">
        <v>42619</v>
      </c>
      <c r="J1692" s="228" t="s">
        <v>61</v>
      </c>
      <c r="K1692" s="230">
        <v>16.07</v>
      </c>
      <c r="L1692" s="228">
        <v>15.97</v>
      </c>
      <c r="M1692" s="228">
        <f t="shared" si="204"/>
        <v>15.97</v>
      </c>
      <c r="N1692" s="231">
        <f t="shared" si="205"/>
        <v>42638</v>
      </c>
      <c r="O1692" s="228">
        <v>1478504</v>
      </c>
      <c r="P1692" s="232">
        <f t="shared" si="206"/>
        <v>1469303.6017423773</v>
      </c>
      <c r="Q1692" s="233">
        <v>42670</v>
      </c>
      <c r="R1692" s="231">
        <v>42671</v>
      </c>
      <c r="S1692" s="241"/>
    </row>
    <row r="1693" spans="1:22" s="252" customFormat="1" hidden="1" x14ac:dyDescent="0.25">
      <c r="A1693" s="226">
        <v>737</v>
      </c>
      <c r="B1693" s="227">
        <v>42636</v>
      </c>
      <c r="C1693" s="228">
        <v>103</v>
      </c>
      <c r="D1693" s="228">
        <v>3000033679</v>
      </c>
      <c r="E1693" s="228" t="s">
        <v>60</v>
      </c>
      <c r="F1693" s="228">
        <v>598</v>
      </c>
      <c r="G1693" s="229">
        <v>42618</v>
      </c>
      <c r="H1693" s="229"/>
      <c r="I1693" s="229">
        <v>42622</v>
      </c>
      <c r="J1693" s="228" t="s">
        <v>61</v>
      </c>
      <c r="K1693" s="230">
        <v>15.68</v>
      </c>
      <c r="L1693" s="228">
        <v>15.61</v>
      </c>
      <c r="M1693" s="228">
        <f t="shared" si="204"/>
        <v>15.61</v>
      </c>
      <c r="N1693" s="231">
        <f t="shared" si="205"/>
        <v>42641</v>
      </c>
      <c r="O1693" s="228">
        <v>1442623</v>
      </c>
      <c r="P1693" s="232">
        <f t="shared" si="206"/>
        <v>1436182.71875</v>
      </c>
      <c r="Q1693" s="233">
        <v>42670</v>
      </c>
      <c r="R1693" s="231">
        <v>42671</v>
      </c>
      <c r="S1693" s="241"/>
    </row>
    <row r="1694" spans="1:22" s="252" customFormat="1" hidden="1" x14ac:dyDescent="0.25">
      <c r="A1694" s="226">
        <v>699</v>
      </c>
      <c r="B1694" s="227">
        <v>42626</v>
      </c>
      <c r="C1694" s="228">
        <v>103</v>
      </c>
      <c r="D1694" s="228">
        <v>3000033679</v>
      </c>
      <c r="E1694" s="228" t="s">
        <v>60</v>
      </c>
      <c r="F1694" s="228">
        <v>605</v>
      </c>
      <c r="G1694" s="229">
        <v>42620</v>
      </c>
      <c r="H1694" s="229"/>
      <c r="I1694" s="229">
        <v>42624</v>
      </c>
      <c r="J1694" s="228" t="s">
        <v>61</v>
      </c>
      <c r="K1694" s="230">
        <v>16.7</v>
      </c>
      <c r="L1694" s="228">
        <v>16.64</v>
      </c>
      <c r="M1694" s="228">
        <f t="shared" si="204"/>
        <v>16.64</v>
      </c>
      <c r="N1694" s="231">
        <f t="shared" si="205"/>
        <v>42643</v>
      </c>
      <c r="O1694" s="228">
        <v>1536467</v>
      </c>
      <c r="P1694" s="232">
        <f t="shared" si="206"/>
        <v>1530946.7592814374</v>
      </c>
      <c r="Q1694" s="233">
        <v>42670</v>
      </c>
      <c r="R1694" s="231">
        <v>42671</v>
      </c>
      <c r="S1694" s="241"/>
    </row>
    <row r="1695" spans="1:22" s="252" customFormat="1" hidden="1" x14ac:dyDescent="0.25">
      <c r="A1695" s="226">
        <v>703</v>
      </c>
      <c r="B1695" s="227">
        <v>42626</v>
      </c>
      <c r="C1695" s="228">
        <v>103</v>
      </c>
      <c r="D1695" s="228">
        <v>3000032310</v>
      </c>
      <c r="E1695" s="228" t="s">
        <v>184</v>
      </c>
      <c r="F1695" s="228">
        <v>153</v>
      </c>
      <c r="G1695" s="229">
        <v>42618</v>
      </c>
      <c r="H1695" s="229"/>
      <c r="I1695" s="229">
        <v>42623</v>
      </c>
      <c r="J1695" s="228" t="s">
        <v>61</v>
      </c>
      <c r="K1695" s="230">
        <v>15.23</v>
      </c>
      <c r="L1695" s="228">
        <v>15.22</v>
      </c>
      <c r="M1695" s="228">
        <f t="shared" si="204"/>
        <v>15.22</v>
      </c>
      <c r="N1695" s="231">
        <f t="shared" si="205"/>
        <v>42642</v>
      </c>
      <c r="O1695" s="228">
        <v>1180318</v>
      </c>
      <c r="P1695" s="232">
        <f t="shared" si="206"/>
        <v>1179543.0045961917</v>
      </c>
      <c r="Q1695" s="233">
        <v>42670</v>
      </c>
      <c r="R1695" s="231">
        <v>42671</v>
      </c>
      <c r="S1695" s="241"/>
    </row>
    <row r="1696" spans="1:22" s="252" customFormat="1" hidden="1" x14ac:dyDescent="0.25">
      <c r="A1696" s="226">
        <v>684</v>
      </c>
      <c r="B1696" s="227">
        <v>42621</v>
      </c>
      <c r="C1696" s="228">
        <v>103</v>
      </c>
      <c r="D1696" s="228">
        <v>3000034023</v>
      </c>
      <c r="E1696" s="228" t="s">
        <v>225</v>
      </c>
      <c r="F1696" s="228">
        <v>121</v>
      </c>
      <c r="G1696" s="229">
        <v>42613</v>
      </c>
      <c r="H1696" s="229"/>
      <c r="I1696" s="229">
        <v>42617</v>
      </c>
      <c r="J1696" s="228" t="s">
        <v>61</v>
      </c>
      <c r="K1696" s="230">
        <v>20.34</v>
      </c>
      <c r="L1696" s="228">
        <v>20.29</v>
      </c>
      <c r="M1696" s="228">
        <f t="shared" si="204"/>
        <v>20.29</v>
      </c>
      <c r="N1696" s="231">
        <f>+I1696+30-1</f>
        <v>42646</v>
      </c>
      <c r="O1696" s="228">
        <v>1911960</v>
      </c>
      <c r="P1696" s="232">
        <f t="shared" si="206"/>
        <v>1907260</v>
      </c>
      <c r="Q1696" s="233">
        <v>42670</v>
      </c>
      <c r="R1696" s="231">
        <v>42671</v>
      </c>
      <c r="S1696" s="241"/>
    </row>
    <row r="1697" spans="1:19" s="252" customFormat="1" hidden="1" x14ac:dyDescent="0.25">
      <c r="A1697" s="226">
        <v>692</v>
      </c>
      <c r="B1697" s="227">
        <v>42622</v>
      </c>
      <c r="C1697" s="228">
        <v>103</v>
      </c>
      <c r="D1697" s="228">
        <v>3000033775</v>
      </c>
      <c r="E1697" s="228" t="s">
        <v>169</v>
      </c>
      <c r="F1697" s="228">
        <v>178</v>
      </c>
      <c r="G1697" s="229">
        <v>42615</v>
      </c>
      <c r="H1697" s="229"/>
      <c r="I1697" s="229">
        <v>42620</v>
      </c>
      <c r="J1697" s="228" t="s">
        <v>61</v>
      </c>
      <c r="K1697" s="230">
        <v>19.600000000000001</v>
      </c>
      <c r="L1697" s="228">
        <v>19.53</v>
      </c>
      <c r="M1697" s="228">
        <f t="shared" si="204"/>
        <v>19.53</v>
      </c>
      <c r="N1697" s="231">
        <f>+I1697+30-1</f>
        <v>42649</v>
      </c>
      <c r="O1697" s="228">
        <v>2038400</v>
      </c>
      <c r="P1697" s="232">
        <f t="shared" si="206"/>
        <v>2031119.9999999998</v>
      </c>
      <c r="Q1697" s="233">
        <v>42670</v>
      </c>
      <c r="R1697" s="231">
        <v>42671</v>
      </c>
      <c r="S1697" s="241"/>
    </row>
    <row r="1698" spans="1:19" s="252" customFormat="1" hidden="1" x14ac:dyDescent="0.25">
      <c r="A1698" s="226">
        <v>705</v>
      </c>
      <c r="B1698" s="227">
        <v>42626</v>
      </c>
      <c r="C1698" s="228">
        <v>103</v>
      </c>
      <c r="D1698" s="228">
        <v>3000033775</v>
      </c>
      <c r="E1698" s="228" t="s">
        <v>169</v>
      </c>
      <c r="F1698" s="228">
        <v>182</v>
      </c>
      <c r="G1698" s="229">
        <v>42620</v>
      </c>
      <c r="H1698" s="229"/>
      <c r="I1698" s="229">
        <v>42624</v>
      </c>
      <c r="J1698" s="228" t="s">
        <v>61</v>
      </c>
      <c r="K1698" s="230">
        <v>20.3</v>
      </c>
      <c r="L1698" s="228">
        <v>20.21</v>
      </c>
      <c r="M1698" s="228">
        <f t="shared" si="204"/>
        <v>20.21</v>
      </c>
      <c r="N1698" s="231">
        <f>+I1698+30-1</f>
        <v>42653</v>
      </c>
      <c r="O1698" s="228">
        <v>2111200</v>
      </c>
      <c r="P1698" s="232">
        <f t="shared" si="206"/>
        <v>2101840</v>
      </c>
      <c r="Q1698" s="233">
        <v>42670</v>
      </c>
      <c r="R1698" s="231">
        <v>42671</v>
      </c>
      <c r="S1698" s="241"/>
    </row>
    <row r="1699" spans="1:19" s="252" customFormat="1" hidden="1" x14ac:dyDescent="0.25">
      <c r="A1699" s="226">
        <v>766</v>
      </c>
      <c r="B1699" s="227">
        <v>42639</v>
      </c>
      <c r="C1699" s="228">
        <v>103</v>
      </c>
      <c r="D1699" s="228">
        <v>3000033761</v>
      </c>
      <c r="E1699" s="228" t="s">
        <v>145</v>
      </c>
      <c r="F1699" s="228">
        <v>61</v>
      </c>
      <c r="G1699" s="229">
        <v>42625</v>
      </c>
      <c r="H1699" s="229"/>
      <c r="I1699" s="229">
        <v>42635</v>
      </c>
      <c r="J1699" s="228" t="s">
        <v>61</v>
      </c>
      <c r="K1699" s="230">
        <v>19.82</v>
      </c>
      <c r="L1699" s="228">
        <v>19.78</v>
      </c>
      <c r="M1699" s="228">
        <f t="shared" si="204"/>
        <v>19.78</v>
      </c>
      <c r="N1699" s="231">
        <f>+I1699+20-1</f>
        <v>42654</v>
      </c>
      <c r="O1699" s="228">
        <v>2071170</v>
      </c>
      <c r="P1699" s="232">
        <f t="shared" si="206"/>
        <v>2066990.0403632694</v>
      </c>
      <c r="Q1699" s="233">
        <v>42670</v>
      </c>
      <c r="R1699" s="231">
        <v>42671</v>
      </c>
      <c r="S1699" s="241"/>
    </row>
    <row r="1700" spans="1:19" s="252" customFormat="1" hidden="1" x14ac:dyDescent="0.25">
      <c r="A1700" s="226">
        <v>728</v>
      </c>
      <c r="B1700" s="227">
        <v>42632</v>
      </c>
      <c r="C1700" s="228">
        <v>103</v>
      </c>
      <c r="D1700" s="228">
        <v>3000033782</v>
      </c>
      <c r="E1700" s="228" t="s">
        <v>215</v>
      </c>
      <c r="F1700" s="228">
        <v>173</v>
      </c>
      <c r="G1700" s="229">
        <v>42623</v>
      </c>
      <c r="H1700" s="229"/>
      <c r="I1700" s="229">
        <v>42626</v>
      </c>
      <c r="J1700" s="228" t="s">
        <v>61</v>
      </c>
      <c r="K1700" s="230">
        <v>24.66</v>
      </c>
      <c r="L1700" s="228">
        <v>24.53</v>
      </c>
      <c r="M1700" s="228">
        <f t="shared" si="204"/>
        <v>24.53</v>
      </c>
      <c r="N1700" s="231">
        <f>+I1700+30-1</f>
        <v>42655</v>
      </c>
      <c r="O1700" s="228">
        <v>2490660</v>
      </c>
      <c r="P1700" s="232">
        <f t="shared" si="206"/>
        <v>2477530</v>
      </c>
      <c r="Q1700" s="233">
        <v>42670</v>
      </c>
      <c r="R1700" s="231">
        <v>42671</v>
      </c>
      <c r="S1700" s="241"/>
    </row>
    <row r="1701" spans="1:19" s="252" customFormat="1" hidden="1" x14ac:dyDescent="0.25">
      <c r="A1701" s="226">
        <v>776</v>
      </c>
      <c r="B1701" s="227">
        <v>42641</v>
      </c>
      <c r="C1701" s="228">
        <v>103</v>
      </c>
      <c r="D1701" s="228">
        <v>3000032777</v>
      </c>
      <c r="E1701" s="228" t="s">
        <v>158</v>
      </c>
      <c r="F1701" s="228">
        <v>93</v>
      </c>
      <c r="G1701" s="229">
        <v>42632</v>
      </c>
      <c r="H1701" s="229"/>
      <c r="I1701" s="229">
        <v>42636</v>
      </c>
      <c r="J1701" s="228" t="s">
        <v>61</v>
      </c>
      <c r="K1701" s="230">
        <v>16.23</v>
      </c>
      <c r="L1701" s="228">
        <v>16.21</v>
      </c>
      <c r="M1701" s="228">
        <f t="shared" si="204"/>
        <v>16.21</v>
      </c>
      <c r="N1701" s="231">
        <f>+I1701+20-1</f>
        <v>42655</v>
      </c>
      <c r="O1701" s="228">
        <v>1272432</v>
      </c>
      <c r="P1701" s="232">
        <f t="shared" si="206"/>
        <v>1270864</v>
      </c>
      <c r="Q1701" s="233">
        <v>42670</v>
      </c>
      <c r="R1701" s="231">
        <v>42671</v>
      </c>
      <c r="S1701" s="241"/>
    </row>
    <row r="1702" spans="1:19" s="252" customFormat="1" hidden="1" x14ac:dyDescent="0.25">
      <c r="A1702" s="226">
        <v>804</v>
      </c>
      <c r="B1702" s="227">
        <v>42646</v>
      </c>
      <c r="C1702" s="228">
        <v>103</v>
      </c>
      <c r="D1702" s="228">
        <v>3000034923</v>
      </c>
      <c r="E1702" s="228" t="s">
        <v>215</v>
      </c>
      <c r="F1702" s="228">
        <v>177</v>
      </c>
      <c r="G1702" s="229">
        <v>42634</v>
      </c>
      <c r="H1702" s="229"/>
      <c r="I1702" s="229">
        <v>42637</v>
      </c>
      <c r="J1702" s="228" t="s">
        <v>61</v>
      </c>
      <c r="K1702" s="230">
        <v>20.14</v>
      </c>
      <c r="L1702" s="228">
        <v>20.079999999999998</v>
      </c>
      <c r="M1702" s="228">
        <f t="shared" si="204"/>
        <v>20.079999999999998</v>
      </c>
      <c r="N1702" s="231">
        <f>+I1702+20-1</f>
        <v>42656</v>
      </c>
      <c r="O1702" s="228">
        <v>1873020</v>
      </c>
      <c r="P1702" s="232">
        <f t="shared" si="206"/>
        <v>1867439.9999999998</v>
      </c>
      <c r="Q1702" s="233">
        <v>42670</v>
      </c>
      <c r="R1702" s="231">
        <v>42671</v>
      </c>
      <c r="S1702" s="241"/>
    </row>
    <row r="1703" spans="1:19" s="252" customFormat="1" hidden="1" x14ac:dyDescent="0.25">
      <c r="A1703" s="226">
        <v>862</v>
      </c>
      <c r="B1703" s="227">
        <v>42656</v>
      </c>
      <c r="C1703" s="228">
        <v>103</v>
      </c>
      <c r="D1703" s="228">
        <v>3000033826</v>
      </c>
      <c r="E1703" s="228" t="s">
        <v>213</v>
      </c>
      <c r="F1703" s="228" t="s">
        <v>326</v>
      </c>
      <c r="G1703" s="229">
        <v>42655</v>
      </c>
      <c r="H1703" s="229"/>
      <c r="I1703" s="229">
        <v>42643</v>
      </c>
      <c r="J1703" s="228" t="s">
        <v>61</v>
      </c>
      <c r="K1703" s="230"/>
      <c r="L1703" s="228"/>
      <c r="M1703" s="228">
        <f t="shared" si="204"/>
        <v>0</v>
      </c>
      <c r="N1703" s="231">
        <f>+I1703+30-1</f>
        <v>42672</v>
      </c>
      <c r="O1703" s="228">
        <v>29580</v>
      </c>
      <c r="P1703" s="232"/>
      <c r="Q1703" s="233">
        <v>42670</v>
      </c>
      <c r="R1703" s="231">
        <v>42671</v>
      </c>
      <c r="S1703" s="241"/>
    </row>
    <row r="1704" spans="1:19" s="252" customFormat="1" hidden="1" x14ac:dyDescent="0.25">
      <c r="A1704" s="226">
        <v>863</v>
      </c>
      <c r="B1704" s="227">
        <v>42656</v>
      </c>
      <c r="C1704" s="228">
        <v>103</v>
      </c>
      <c r="D1704" s="228">
        <v>3000033826</v>
      </c>
      <c r="E1704" s="228" t="s">
        <v>213</v>
      </c>
      <c r="F1704" s="228">
        <v>151</v>
      </c>
      <c r="G1704" s="229">
        <v>42621</v>
      </c>
      <c r="H1704" s="229"/>
      <c r="I1704" s="229">
        <v>42643</v>
      </c>
      <c r="J1704" s="228" t="s">
        <v>61</v>
      </c>
      <c r="K1704" s="230">
        <v>19.78</v>
      </c>
      <c r="L1704" s="228">
        <v>19.72</v>
      </c>
      <c r="M1704" s="228">
        <f t="shared" si="204"/>
        <v>19.72</v>
      </c>
      <c r="N1704" s="231">
        <f>+I1704+15-1</f>
        <v>42657</v>
      </c>
      <c r="O1704" s="228">
        <v>1978218</v>
      </c>
      <c r="P1704" s="232">
        <f>(+O1704/K1704*M1704)-29580</f>
        <v>1942637.3387259857</v>
      </c>
      <c r="Q1704" s="233">
        <v>42670</v>
      </c>
      <c r="R1704" s="231">
        <v>42671</v>
      </c>
      <c r="S1704" s="241"/>
    </row>
    <row r="1705" spans="1:19" s="252" customFormat="1" hidden="1" x14ac:dyDescent="0.25">
      <c r="A1705" s="226">
        <v>782</v>
      </c>
      <c r="B1705" s="227">
        <v>42641</v>
      </c>
      <c r="C1705" s="228">
        <v>103</v>
      </c>
      <c r="D1705" s="228">
        <v>3000034626</v>
      </c>
      <c r="E1705" s="228" t="s">
        <v>227</v>
      </c>
      <c r="F1705" s="228">
        <v>48</v>
      </c>
      <c r="G1705" s="229">
        <v>115680</v>
      </c>
      <c r="H1705" s="229"/>
      <c r="I1705" s="229">
        <v>42638</v>
      </c>
      <c r="J1705" s="228" t="s">
        <v>61</v>
      </c>
      <c r="K1705" s="230">
        <v>20.07</v>
      </c>
      <c r="L1705" s="228">
        <v>20.05</v>
      </c>
      <c r="M1705" s="228">
        <f t="shared" si="204"/>
        <v>20.05</v>
      </c>
      <c r="N1705" s="231">
        <f>+I1705+20-1</f>
        <v>42657</v>
      </c>
      <c r="O1705" s="228">
        <v>1926720</v>
      </c>
      <c r="P1705" s="232">
        <f t="shared" ref="P1705:P1720" si="207">(+O1705/K1705*M1705)</f>
        <v>1924800</v>
      </c>
      <c r="Q1705" s="233">
        <v>42670</v>
      </c>
      <c r="R1705" s="231">
        <v>42671</v>
      </c>
      <c r="S1705" s="241"/>
    </row>
    <row r="1706" spans="1:19" s="252" customFormat="1" hidden="1" x14ac:dyDescent="0.25">
      <c r="A1706" s="226">
        <v>836</v>
      </c>
      <c r="B1706" s="227">
        <v>42655</v>
      </c>
      <c r="C1706" s="228">
        <v>114</v>
      </c>
      <c r="D1706" s="228">
        <v>3000035095</v>
      </c>
      <c r="E1706" s="228" t="s">
        <v>29</v>
      </c>
      <c r="F1706" s="228">
        <v>47</v>
      </c>
      <c r="G1706" s="229">
        <v>42644</v>
      </c>
      <c r="H1706" s="229"/>
      <c r="I1706" s="229">
        <v>42648</v>
      </c>
      <c r="J1706" s="228" t="s">
        <v>16</v>
      </c>
      <c r="K1706" s="230">
        <v>4</v>
      </c>
      <c r="L1706" s="228">
        <v>4</v>
      </c>
      <c r="M1706" s="228">
        <f t="shared" si="204"/>
        <v>4</v>
      </c>
      <c r="N1706" s="231">
        <f t="shared" ref="N1706:N1716" si="208">+I1706+15-1</f>
        <v>42662</v>
      </c>
      <c r="O1706" s="228">
        <v>200000</v>
      </c>
      <c r="P1706" s="232">
        <f t="shared" si="207"/>
        <v>200000</v>
      </c>
      <c r="Q1706" s="233">
        <v>42670</v>
      </c>
      <c r="R1706" s="231">
        <v>42671</v>
      </c>
      <c r="S1706" s="241"/>
    </row>
    <row r="1707" spans="1:19" s="252" customFormat="1" hidden="1" x14ac:dyDescent="0.25">
      <c r="A1707" s="226">
        <v>837</v>
      </c>
      <c r="B1707" s="227">
        <v>42655</v>
      </c>
      <c r="C1707" s="228">
        <v>114</v>
      </c>
      <c r="D1707" s="228">
        <v>3000035098</v>
      </c>
      <c r="E1707" s="228" t="s">
        <v>29</v>
      </c>
      <c r="F1707" s="228">
        <v>48</v>
      </c>
      <c r="G1707" s="229">
        <v>42644</v>
      </c>
      <c r="H1707" s="229"/>
      <c r="I1707" s="229">
        <v>42648</v>
      </c>
      <c r="J1707" s="228" t="s">
        <v>16</v>
      </c>
      <c r="K1707" s="230">
        <v>21.92</v>
      </c>
      <c r="L1707" s="228">
        <v>21.88</v>
      </c>
      <c r="M1707" s="228">
        <f t="shared" si="204"/>
        <v>21.88</v>
      </c>
      <c r="N1707" s="231">
        <f t="shared" si="208"/>
        <v>42662</v>
      </c>
      <c r="O1707" s="228">
        <v>1238480</v>
      </c>
      <c r="P1707" s="232">
        <f t="shared" si="207"/>
        <v>1236219.9999999998</v>
      </c>
      <c r="Q1707" s="233">
        <v>42670</v>
      </c>
      <c r="R1707" s="231">
        <v>42671</v>
      </c>
      <c r="S1707" s="241"/>
    </row>
    <row r="1708" spans="1:19" s="252" customFormat="1" hidden="1" x14ac:dyDescent="0.25">
      <c r="A1708" s="226">
        <v>838</v>
      </c>
      <c r="B1708" s="227">
        <v>42655</v>
      </c>
      <c r="C1708" s="228">
        <v>114</v>
      </c>
      <c r="D1708" s="228">
        <v>3000035098</v>
      </c>
      <c r="E1708" s="228" t="s">
        <v>29</v>
      </c>
      <c r="F1708" s="228">
        <v>49</v>
      </c>
      <c r="G1708" s="229">
        <v>42644</v>
      </c>
      <c r="H1708" s="229"/>
      <c r="I1708" s="229">
        <v>42648</v>
      </c>
      <c r="J1708" s="228" t="s">
        <v>16</v>
      </c>
      <c r="K1708" s="230">
        <v>16.16</v>
      </c>
      <c r="L1708" s="228">
        <v>16.16</v>
      </c>
      <c r="M1708" s="228">
        <f t="shared" si="204"/>
        <v>16.16</v>
      </c>
      <c r="N1708" s="231">
        <f t="shared" si="208"/>
        <v>42662</v>
      </c>
      <c r="O1708" s="228">
        <v>913040</v>
      </c>
      <c r="P1708" s="232">
        <f t="shared" si="207"/>
        <v>913040</v>
      </c>
      <c r="Q1708" s="233">
        <v>42670</v>
      </c>
      <c r="R1708" s="231">
        <v>42671</v>
      </c>
      <c r="S1708" s="241"/>
    </row>
    <row r="1709" spans="1:19" s="252" customFormat="1" hidden="1" x14ac:dyDescent="0.25">
      <c r="A1709" s="226">
        <v>839</v>
      </c>
      <c r="B1709" s="227">
        <v>42655</v>
      </c>
      <c r="C1709" s="228">
        <v>114</v>
      </c>
      <c r="D1709" s="228">
        <v>3000035026</v>
      </c>
      <c r="E1709" s="228" t="s">
        <v>29</v>
      </c>
      <c r="F1709" s="228">
        <v>50</v>
      </c>
      <c r="G1709" s="229">
        <v>42644</v>
      </c>
      <c r="H1709" s="229"/>
      <c r="I1709" s="229">
        <v>42648</v>
      </c>
      <c r="J1709" s="228" t="s">
        <v>16</v>
      </c>
      <c r="K1709" s="230">
        <v>9.48</v>
      </c>
      <c r="L1709" s="228">
        <v>9.43</v>
      </c>
      <c r="M1709" s="228">
        <f t="shared" si="204"/>
        <v>9.43</v>
      </c>
      <c r="N1709" s="231">
        <f t="shared" si="208"/>
        <v>42662</v>
      </c>
      <c r="O1709" s="228">
        <v>540360</v>
      </c>
      <c r="P1709" s="232">
        <f t="shared" si="207"/>
        <v>537510</v>
      </c>
      <c r="Q1709" s="233">
        <v>42670</v>
      </c>
      <c r="R1709" s="231">
        <v>42671</v>
      </c>
      <c r="S1709" s="241"/>
    </row>
    <row r="1710" spans="1:19" s="252" customFormat="1" hidden="1" x14ac:dyDescent="0.25">
      <c r="A1710" s="226">
        <v>844</v>
      </c>
      <c r="B1710" s="227">
        <v>42655</v>
      </c>
      <c r="C1710" s="228">
        <v>114</v>
      </c>
      <c r="D1710" s="228">
        <v>3000034345</v>
      </c>
      <c r="E1710" s="228" t="s">
        <v>29</v>
      </c>
      <c r="F1710" s="228">
        <v>197</v>
      </c>
      <c r="G1710" s="229">
        <v>42642</v>
      </c>
      <c r="H1710" s="229"/>
      <c r="I1710" s="229">
        <v>42647</v>
      </c>
      <c r="J1710" s="228" t="s">
        <v>8</v>
      </c>
      <c r="K1710" s="230">
        <v>27.07</v>
      </c>
      <c r="L1710" s="228">
        <v>26.89</v>
      </c>
      <c r="M1710" s="228">
        <f t="shared" si="204"/>
        <v>26.89</v>
      </c>
      <c r="N1710" s="231">
        <f t="shared" si="208"/>
        <v>42661</v>
      </c>
      <c r="O1710" s="228">
        <v>1556525</v>
      </c>
      <c r="P1710" s="232">
        <f t="shared" si="207"/>
        <v>1546175</v>
      </c>
      <c r="Q1710" s="233">
        <v>42670</v>
      </c>
      <c r="R1710" s="231">
        <v>42671</v>
      </c>
      <c r="S1710" s="241"/>
    </row>
    <row r="1711" spans="1:19" s="252" customFormat="1" hidden="1" x14ac:dyDescent="0.25">
      <c r="A1711" s="226">
        <v>847</v>
      </c>
      <c r="B1711" s="227">
        <v>42655</v>
      </c>
      <c r="C1711" s="228">
        <v>114</v>
      </c>
      <c r="D1711" s="228">
        <v>3000034720</v>
      </c>
      <c r="E1711" s="228" t="s">
        <v>29</v>
      </c>
      <c r="F1711" s="228">
        <v>203</v>
      </c>
      <c r="G1711" s="229">
        <v>42643</v>
      </c>
      <c r="H1711" s="229"/>
      <c r="I1711" s="229">
        <v>42647</v>
      </c>
      <c r="J1711" s="228" t="s">
        <v>8</v>
      </c>
      <c r="K1711" s="230">
        <v>24.96</v>
      </c>
      <c r="L1711" s="228">
        <v>24.86</v>
      </c>
      <c r="M1711" s="228">
        <f t="shared" si="204"/>
        <v>24.86</v>
      </c>
      <c r="N1711" s="231">
        <f t="shared" si="208"/>
        <v>42661</v>
      </c>
      <c r="O1711" s="228">
        <v>1460160</v>
      </c>
      <c r="P1711" s="232">
        <f t="shared" si="207"/>
        <v>1454310</v>
      </c>
      <c r="Q1711" s="233">
        <v>42670</v>
      </c>
      <c r="R1711" s="231">
        <v>42671</v>
      </c>
      <c r="S1711" s="241"/>
    </row>
    <row r="1712" spans="1:19" s="252" customFormat="1" hidden="1" x14ac:dyDescent="0.25">
      <c r="A1712" s="226">
        <v>830</v>
      </c>
      <c r="B1712" s="227">
        <v>42655</v>
      </c>
      <c r="C1712" s="228">
        <v>114</v>
      </c>
      <c r="D1712" s="228">
        <v>3000034730</v>
      </c>
      <c r="E1712" s="228" t="s">
        <v>44</v>
      </c>
      <c r="F1712" s="228">
        <v>61</v>
      </c>
      <c r="G1712" s="229">
        <v>42645</v>
      </c>
      <c r="H1712" s="229"/>
      <c r="I1712" s="229">
        <v>42648</v>
      </c>
      <c r="J1712" s="228" t="s">
        <v>16</v>
      </c>
      <c r="K1712" s="230">
        <v>21.03</v>
      </c>
      <c r="L1712" s="228">
        <v>20.83</v>
      </c>
      <c r="M1712" s="228">
        <f t="shared" si="204"/>
        <v>20.83</v>
      </c>
      <c r="N1712" s="231">
        <f t="shared" si="208"/>
        <v>42662</v>
      </c>
      <c r="O1712" s="228">
        <v>1198710</v>
      </c>
      <c r="P1712" s="232">
        <f t="shared" si="207"/>
        <v>1187310</v>
      </c>
      <c r="Q1712" s="233">
        <v>42670</v>
      </c>
      <c r="R1712" s="231">
        <v>42671</v>
      </c>
      <c r="S1712" s="241"/>
    </row>
    <row r="1713" spans="1:19" s="252" customFormat="1" hidden="1" x14ac:dyDescent="0.25">
      <c r="A1713" s="226">
        <v>848</v>
      </c>
      <c r="B1713" s="227">
        <v>42655</v>
      </c>
      <c r="C1713" s="228">
        <v>114</v>
      </c>
      <c r="D1713" s="228">
        <v>3000034344</v>
      </c>
      <c r="E1713" s="228" t="s">
        <v>18</v>
      </c>
      <c r="F1713" s="228">
        <v>86</v>
      </c>
      <c r="G1713" s="229">
        <v>42639</v>
      </c>
      <c r="H1713" s="229"/>
      <c r="I1713" s="229">
        <v>42650</v>
      </c>
      <c r="J1713" s="228" t="s">
        <v>8</v>
      </c>
      <c r="K1713" s="230">
        <v>14</v>
      </c>
      <c r="L1713" s="228">
        <v>13.93</v>
      </c>
      <c r="M1713" s="228">
        <f t="shared" si="204"/>
        <v>13.93</v>
      </c>
      <c r="N1713" s="231">
        <f t="shared" si="208"/>
        <v>42664</v>
      </c>
      <c r="O1713" s="228">
        <v>805000</v>
      </c>
      <c r="P1713" s="232">
        <f t="shared" si="207"/>
        <v>800975</v>
      </c>
      <c r="Q1713" s="233">
        <v>42670</v>
      </c>
      <c r="R1713" s="231">
        <v>42671</v>
      </c>
      <c r="S1713" s="241"/>
    </row>
    <row r="1714" spans="1:19" s="252" customFormat="1" hidden="1" x14ac:dyDescent="0.25">
      <c r="A1714" s="226">
        <v>849</v>
      </c>
      <c r="B1714" s="227">
        <v>42655</v>
      </c>
      <c r="C1714" s="228">
        <v>114</v>
      </c>
      <c r="D1714" s="228">
        <v>3000034368</v>
      </c>
      <c r="E1714" s="228" t="s">
        <v>18</v>
      </c>
      <c r="F1714" s="228">
        <v>86</v>
      </c>
      <c r="G1714" s="229">
        <v>42639</v>
      </c>
      <c r="H1714" s="229"/>
      <c r="I1714" s="229">
        <v>42650</v>
      </c>
      <c r="J1714" s="228" t="s">
        <v>8</v>
      </c>
      <c r="K1714" s="230">
        <v>5.14</v>
      </c>
      <c r="L1714" s="228">
        <v>5.14</v>
      </c>
      <c r="M1714" s="228">
        <f t="shared" si="204"/>
        <v>5.14</v>
      </c>
      <c r="N1714" s="231">
        <f t="shared" si="208"/>
        <v>42664</v>
      </c>
      <c r="O1714" s="228">
        <v>295550</v>
      </c>
      <c r="P1714" s="232">
        <f t="shared" si="207"/>
        <v>295550</v>
      </c>
      <c r="Q1714" s="233">
        <v>42670</v>
      </c>
      <c r="R1714" s="231">
        <v>42671</v>
      </c>
      <c r="S1714" s="241"/>
    </row>
    <row r="1715" spans="1:19" s="252" customFormat="1" hidden="1" x14ac:dyDescent="0.25">
      <c r="A1715" s="226">
        <v>861</v>
      </c>
      <c r="B1715" s="227">
        <v>42655</v>
      </c>
      <c r="C1715" s="228">
        <v>114</v>
      </c>
      <c r="D1715" s="228">
        <v>3000035088</v>
      </c>
      <c r="E1715" s="228" t="s">
        <v>30</v>
      </c>
      <c r="F1715" s="228">
        <v>287</v>
      </c>
      <c r="G1715" s="229">
        <v>42648</v>
      </c>
      <c r="H1715" s="229"/>
      <c r="I1715" s="229">
        <v>42650</v>
      </c>
      <c r="J1715" s="228" t="s">
        <v>229</v>
      </c>
      <c r="K1715" s="230">
        <v>28.51</v>
      </c>
      <c r="L1715" s="228">
        <v>28.41</v>
      </c>
      <c r="M1715" s="228">
        <f t="shared" si="204"/>
        <v>28.41</v>
      </c>
      <c r="N1715" s="231">
        <f t="shared" si="208"/>
        <v>42664</v>
      </c>
      <c r="O1715" s="228">
        <v>1525286</v>
      </c>
      <c r="P1715" s="232">
        <f t="shared" si="207"/>
        <v>1519935.9964924587</v>
      </c>
      <c r="Q1715" s="233">
        <v>42670</v>
      </c>
      <c r="R1715" s="231">
        <v>42671</v>
      </c>
      <c r="S1715" s="241"/>
    </row>
    <row r="1716" spans="1:19" s="252" customFormat="1" hidden="1" x14ac:dyDescent="0.25">
      <c r="A1716" s="226">
        <v>877</v>
      </c>
      <c r="B1716" s="227">
        <v>42660</v>
      </c>
      <c r="C1716" s="228">
        <v>114</v>
      </c>
      <c r="D1716" s="228">
        <v>3000035088</v>
      </c>
      <c r="E1716" s="228" t="s">
        <v>30</v>
      </c>
      <c r="F1716" s="228">
        <v>293</v>
      </c>
      <c r="G1716" s="229">
        <v>42650</v>
      </c>
      <c r="H1716" s="229"/>
      <c r="I1716" s="229">
        <v>42652</v>
      </c>
      <c r="J1716" s="228" t="s">
        <v>229</v>
      </c>
      <c r="K1716" s="230">
        <v>27.59</v>
      </c>
      <c r="L1716" s="228">
        <v>27.48</v>
      </c>
      <c r="M1716" s="228">
        <f t="shared" si="204"/>
        <v>27.48</v>
      </c>
      <c r="N1716" s="231">
        <f t="shared" si="208"/>
        <v>42666</v>
      </c>
      <c r="O1716" s="228">
        <v>1476066</v>
      </c>
      <c r="P1716" s="232">
        <f t="shared" si="207"/>
        <v>1470180.9960130481</v>
      </c>
      <c r="Q1716" s="233">
        <v>42670</v>
      </c>
      <c r="R1716" s="231">
        <v>42671</v>
      </c>
      <c r="S1716" s="241"/>
    </row>
    <row r="1717" spans="1:19" s="252" customFormat="1" hidden="1" x14ac:dyDescent="0.25">
      <c r="A1717" s="226">
        <v>772</v>
      </c>
      <c r="B1717" s="227">
        <v>42641</v>
      </c>
      <c r="C1717" s="228">
        <v>103</v>
      </c>
      <c r="D1717" s="228">
        <v>3000034887</v>
      </c>
      <c r="E1717" s="228" t="s">
        <v>267</v>
      </c>
      <c r="F1717" s="228">
        <v>38</v>
      </c>
      <c r="G1717" s="229">
        <v>42634</v>
      </c>
      <c r="H1717" s="229"/>
      <c r="I1717" s="229">
        <v>42639</v>
      </c>
      <c r="J1717" s="228" t="s">
        <v>61</v>
      </c>
      <c r="K1717" s="230">
        <v>19.97</v>
      </c>
      <c r="L1717" s="228">
        <v>19.940000000000001</v>
      </c>
      <c r="M1717" s="228">
        <f t="shared" si="204"/>
        <v>19.940000000000001</v>
      </c>
      <c r="N1717" s="231">
        <f>+I1717+30-1</f>
        <v>42668</v>
      </c>
      <c r="O1717" s="228">
        <v>1877180</v>
      </c>
      <c r="P1717" s="232">
        <f t="shared" si="207"/>
        <v>1874360.0000000002</v>
      </c>
      <c r="Q1717" s="233">
        <v>42670</v>
      </c>
      <c r="R1717" s="231">
        <v>42671</v>
      </c>
      <c r="S1717" s="241"/>
    </row>
    <row r="1718" spans="1:19" s="252" customFormat="1" hidden="1" x14ac:dyDescent="0.25">
      <c r="A1718" s="226">
        <v>889</v>
      </c>
      <c r="B1718" s="227">
        <v>42667</v>
      </c>
      <c r="C1718" s="228">
        <v>114</v>
      </c>
      <c r="D1718" s="228">
        <v>3000035291</v>
      </c>
      <c r="E1718" s="228" t="s">
        <v>180</v>
      </c>
      <c r="F1718" s="228">
        <v>271</v>
      </c>
      <c r="G1718" s="229">
        <v>42650</v>
      </c>
      <c r="H1718" s="229"/>
      <c r="I1718" s="229">
        <v>42661</v>
      </c>
      <c r="J1718" s="228" t="s">
        <v>61</v>
      </c>
      <c r="K1718" s="230">
        <v>20.3</v>
      </c>
      <c r="L1718" s="228">
        <v>20.25</v>
      </c>
      <c r="M1718" s="228">
        <f t="shared" si="204"/>
        <v>20.25</v>
      </c>
      <c r="N1718" s="231">
        <f>+I1718+20-'V V F India Out Standing'!O2798</f>
        <v>42681</v>
      </c>
      <c r="O1718" s="228">
        <v>1918410</v>
      </c>
      <c r="P1718" s="232">
        <f t="shared" si="207"/>
        <v>1913684.8522167485</v>
      </c>
      <c r="Q1718" s="233">
        <v>42670</v>
      </c>
      <c r="R1718" s="231">
        <v>42671</v>
      </c>
      <c r="S1718" s="241"/>
    </row>
    <row r="1719" spans="1:19" s="252" customFormat="1" hidden="1" x14ac:dyDescent="0.25">
      <c r="A1719" s="226">
        <v>890</v>
      </c>
      <c r="B1719" s="227">
        <v>42667</v>
      </c>
      <c r="C1719" s="228">
        <v>114</v>
      </c>
      <c r="D1719" s="228">
        <v>3000035291</v>
      </c>
      <c r="E1719" s="228" t="s">
        <v>180</v>
      </c>
      <c r="F1719" s="228">
        <v>273</v>
      </c>
      <c r="G1719" s="229">
        <v>42650</v>
      </c>
      <c r="H1719" s="229"/>
      <c r="I1719" s="229">
        <v>42661</v>
      </c>
      <c r="J1719" s="228" t="s">
        <v>61</v>
      </c>
      <c r="K1719" s="230">
        <v>20.059999999999999</v>
      </c>
      <c r="L1719" s="228">
        <v>19.97</v>
      </c>
      <c r="M1719" s="228">
        <f t="shared" ref="M1719:M1750" si="209">IF(L1719&gt;K1719,K1719,L1719)</f>
        <v>19.97</v>
      </c>
      <c r="N1719" s="231">
        <f>+I1719+20-'V V F India Out Standing'!O2799</f>
        <v>42681</v>
      </c>
      <c r="O1719" s="228">
        <v>1895730</v>
      </c>
      <c r="P1719" s="232">
        <f t="shared" si="207"/>
        <v>1887224.7308075773</v>
      </c>
      <c r="Q1719" s="233">
        <v>42670</v>
      </c>
      <c r="R1719" s="231">
        <v>42671</v>
      </c>
      <c r="S1719" s="241"/>
    </row>
    <row r="1720" spans="1:19" s="252" customFormat="1" hidden="1" x14ac:dyDescent="0.25">
      <c r="A1720" s="226">
        <v>891</v>
      </c>
      <c r="B1720" s="227">
        <v>42667</v>
      </c>
      <c r="C1720" s="228">
        <v>114</v>
      </c>
      <c r="D1720" s="228">
        <v>3000035291</v>
      </c>
      <c r="E1720" s="228" t="s">
        <v>180</v>
      </c>
      <c r="F1720" s="228">
        <v>275</v>
      </c>
      <c r="G1720" s="229">
        <v>42652</v>
      </c>
      <c r="H1720" s="229"/>
      <c r="I1720" s="229">
        <v>42660</v>
      </c>
      <c r="J1720" s="228" t="s">
        <v>61</v>
      </c>
      <c r="K1720" s="230">
        <v>20.100000000000001</v>
      </c>
      <c r="L1720" s="228">
        <v>19.91</v>
      </c>
      <c r="M1720" s="228">
        <f t="shared" si="209"/>
        <v>19.91</v>
      </c>
      <c r="N1720" s="231">
        <f>+I1720+20-'V V F India Out Standing'!O2800</f>
        <v>42680</v>
      </c>
      <c r="O1720" s="228">
        <v>1899510</v>
      </c>
      <c r="P1720" s="232">
        <f t="shared" si="207"/>
        <v>1881554.4328358208</v>
      </c>
      <c r="Q1720" s="233">
        <v>42670</v>
      </c>
      <c r="R1720" s="231">
        <v>42671</v>
      </c>
      <c r="S1720" s="251" t="s">
        <v>336</v>
      </c>
    </row>
    <row r="1721" spans="1:19" s="53" customFormat="1" hidden="1" x14ac:dyDescent="0.25">
      <c r="A1721" s="207">
        <v>272</v>
      </c>
      <c r="B1721" s="208">
        <v>42639</v>
      </c>
      <c r="C1721" s="88">
        <v>103</v>
      </c>
      <c r="D1721" s="88"/>
      <c r="E1721" s="88" t="s">
        <v>26</v>
      </c>
      <c r="F1721" s="88" t="s">
        <v>308</v>
      </c>
      <c r="G1721" s="209">
        <v>42574</v>
      </c>
      <c r="H1721" s="209"/>
      <c r="I1721" s="209">
        <v>42574</v>
      </c>
      <c r="J1721" s="88" t="s">
        <v>235</v>
      </c>
      <c r="K1721" s="210"/>
      <c r="L1721" s="88"/>
      <c r="M1721" s="88">
        <f t="shared" si="209"/>
        <v>0</v>
      </c>
      <c r="N1721" s="211">
        <f>+I1721+15-1</f>
        <v>42588</v>
      </c>
      <c r="O1721" s="88">
        <v>174807</v>
      </c>
      <c r="P1721" s="214">
        <f>(O1721- (O1721*10%))</f>
        <v>157326.29999999999</v>
      </c>
      <c r="Q1721" s="213">
        <v>42691</v>
      </c>
      <c r="R1721" s="213">
        <v>42692</v>
      </c>
    </row>
    <row r="1722" spans="1:19" s="53" customFormat="1" hidden="1" x14ac:dyDescent="0.25">
      <c r="A1722" s="207">
        <v>748</v>
      </c>
      <c r="B1722" s="208">
        <v>42639</v>
      </c>
      <c r="C1722" s="88">
        <v>103</v>
      </c>
      <c r="D1722" s="88"/>
      <c r="E1722" s="88" t="s">
        <v>26</v>
      </c>
      <c r="F1722" s="88" t="s">
        <v>309</v>
      </c>
      <c r="G1722" s="209">
        <v>42574</v>
      </c>
      <c r="H1722" s="209"/>
      <c r="I1722" s="209">
        <v>42574</v>
      </c>
      <c r="J1722" s="88" t="s">
        <v>235</v>
      </c>
      <c r="K1722" s="210"/>
      <c r="L1722" s="88"/>
      <c r="M1722" s="88">
        <f t="shared" si="209"/>
        <v>0</v>
      </c>
      <c r="N1722" s="211">
        <f>+I1722+15-1</f>
        <v>42588</v>
      </c>
      <c r="O1722" s="88">
        <v>670857</v>
      </c>
      <c r="P1722" s="214">
        <f>(O1722- (O1722*10%))</f>
        <v>603771.30000000005</v>
      </c>
      <c r="Q1722" s="213">
        <v>42691</v>
      </c>
      <c r="R1722" s="213">
        <v>42692</v>
      </c>
    </row>
    <row r="1723" spans="1:19" s="53" customFormat="1" hidden="1" x14ac:dyDescent="0.25">
      <c r="A1723" s="207">
        <v>749</v>
      </c>
      <c r="B1723" s="208">
        <v>42636</v>
      </c>
      <c r="C1723" s="88">
        <v>103</v>
      </c>
      <c r="D1723" s="88"/>
      <c r="E1723" s="88" t="s">
        <v>26</v>
      </c>
      <c r="F1723" s="88" t="s">
        <v>310</v>
      </c>
      <c r="G1723" s="209">
        <v>42574</v>
      </c>
      <c r="H1723" s="209"/>
      <c r="I1723" s="209">
        <v>42574</v>
      </c>
      <c r="J1723" s="88" t="s">
        <v>235</v>
      </c>
      <c r="K1723" s="210"/>
      <c r="L1723" s="88"/>
      <c r="M1723" s="88">
        <f t="shared" si="209"/>
        <v>0</v>
      </c>
      <c r="N1723" s="211">
        <f>+I1723+15-1</f>
        <v>42588</v>
      </c>
      <c r="O1723" s="88">
        <v>961506</v>
      </c>
      <c r="P1723" s="214">
        <f>(O1723- (O1723*10%))</f>
        <v>865355.4</v>
      </c>
      <c r="Q1723" s="213">
        <v>42691</v>
      </c>
      <c r="R1723" s="213">
        <v>42692</v>
      </c>
    </row>
    <row r="1724" spans="1:19" s="53" customFormat="1" hidden="1" x14ac:dyDescent="0.25">
      <c r="A1724" s="207">
        <v>723</v>
      </c>
      <c r="B1724" s="208">
        <v>42628</v>
      </c>
      <c r="C1724" s="88">
        <v>114</v>
      </c>
      <c r="D1724" s="88">
        <v>3000030307</v>
      </c>
      <c r="E1724" s="88" t="s">
        <v>17</v>
      </c>
      <c r="F1724" s="88">
        <v>86</v>
      </c>
      <c r="G1724" s="209">
        <v>42619</v>
      </c>
      <c r="H1724" s="209"/>
      <c r="I1724" s="209">
        <v>42621</v>
      </c>
      <c r="J1724" s="88" t="s">
        <v>8</v>
      </c>
      <c r="K1724" s="210">
        <v>19</v>
      </c>
      <c r="L1724" s="88">
        <v>18.850000000000001</v>
      </c>
      <c r="M1724" s="88">
        <f t="shared" si="209"/>
        <v>18.850000000000001</v>
      </c>
      <c r="N1724" s="211">
        <f>+I1724+15-1</f>
        <v>42635</v>
      </c>
      <c r="O1724" s="88">
        <v>1060200</v>
      </c>
      <c r="P1724" s="199">
        <f t="shared" ref="P1724:P1741" si="210">(+O1724/K1724*M1724)</f>
        <v>1051830</v>
      </c>
      <c r="Q1724" s="213">
        <v>42691</v>
      </c>
      <c r="R1724" s="213">
        <v>42692</v>
      </c>
    </row>
    <row r="1725" spans="1:19" s="53" customFormat="1" hidden="1" x14ac:dyDescent="0.25">
      <c r="A1725" s="207">
        <v>724</v>
      </c>
      <c r="B1725" s="208">
        <v>42628</v>
      </c>
      <c r="C1725" s="88">
        <v>114</v>
      </c>
      <c r="D1725" s="88">
        <v>3000030425</v>
      </c>
      <c r="E1725" s="88" t="s">
        <v>17</v>
      </c>
      <c r="F1725" s="88">
        <v>87</v>
      </c>
      <c r="G1725" s="209">
        <v>42619</v>
      </c>
      <c r="H1725" s="209"/>
      <c r="I1725" s="209">
        <v>42621</v>
      </c>
      <c r="J1725" s="88" t="s">
        <v>8</v>
      </c>
      <c r="K1725" s="210">
        <v>4.71</v>
      </c>
      <c r="L1725" s="88">
        <v>4.71</v>
      </c>
      <c r="M1725" s="88">
        <f t="shared" si="209"/>
        <v>4.71</v>
      </c>
      <c r="N1725" s="211">
        <f>+I1725+15-1</f>
        <v>42635</v>
      </c>
      <c r="O1725" s="88">
        <v>257166</v>
      </c>
      <c r="P1725" s="199">
        <f t="shared" si="210"/>
        <v>257166</v>
      </c>
      <c r="Q1725" s="213">
        <v>42691</v>
      </c>
      <c r="R1725" s="213">
        <v>42692</v>
      </c>
    </row>
    <row r="1726" spans="1:19" s="53" customFormat="1" hidden="1" x14ac:dyDescent="0.25">
      <c r="A1726" s="207">
        <v>777</v>
      </c>
      <c r="B1726" s="208">
        <v>42641</v>
      </c>
      <c r="C1726" s="88">
        <v>103</v>
      </c>
      <c r="D1726" s="88">
        <v>3000032777</v>
      </c>
      <c r="E1726" s="88" t="s">
        <v>158</v>
      </c>
      <c r="F1726" s="88">
        <v>94</v>
      </c>
      <c r="G1726" s="209">
        <v>42632</v>
      </c>
      <c r="H1726" s="209"/>
      <c r="I1726" s="209">
        <v>42636</v>
      </c>
      <c r="J1726" s="88" t="s">
        <v>61</v>
      </c>
      <c r="K1726" s="210">
        <v>19.53</v>
      </c>
      <c r="L1726" s="88">
        <v>19.48</v>
      </c>
      <c r="M1726" s="88">
        <f t="shared" si="209"/>
        <v>19.48</v>
      </c>
      <c r="N1726" s="211">
        <f>+I1726+20-1</f>
        <v>42655</v>
      </c>
      <c r="O1726" s="88">
        <v>1531152</v>
      </c>
      <c r="P1726" s="199">
        <f t="shared" si="210"/>
        <v>1527232</v>
      </c>
      <c r="Q1726" s="213">
        <v>42691</v>
      </c>
      <c r="R1726" s="213">
        <v>42692</v>
      </c>
    </row>
    <row r="1727" spans="1:19" s="53" customFormat="1" hidden="1" x14ac:dyDescent="0.25">
      <c r="A1727" s="207">
        <v>854</v>
      </c>
      <c r="B1727" s="208">
        <v>42655</v>
      </c>
      <c r="C1727" s="88">
        <v>114</v>
      </c>
      <c r="D1727" s="88">
        <v>3000034376</v>
      </c>
      <c r="E1727" s="88" t="s">
        <v>55</v>
      </c>
      <c r="F1727" s="20">
        <v>26</v>
      </c>
      <c r="G1727" s="209">
        <v>42647</v>
      </c>
      <c r="H1727" s="209"/>
      <c r="I1727" s="209">
        <v>42651</v>
      </c>
      <c r="J1727" s="88" t="s">
        <v>8</v>
      </c>
      <c r="K1727" s="210">
        <v>28.56</v>
      </c>
      <c r="L1727" s="88">
        <v>28.344999999999999</v>
      </c>
      <c r="M1727" s="88">
        <f t="shared" si="209"/>
        <v>28.344999999999999</v>
      </c>
      <c r="N1727" s="211">
        <f>+I1727+15-1</f>
        <v>42665</v>
      </c>
      <c r="O1727" s="88">
        <v>1642200</v>
      </c>
      <c r="P1727" s="199">
        <f t="shared" si="210"/>
        <v>1629837.5</v>
      </c>
      <c r="Q1727" s="213">
        <v>42691</v>
      </c>
      <c r="R1727" s="213">
        <v>42692</v>
      </c>
      <c r="S1727" s="230">
        <f>R1727-N1727</f>
        <v>27</v>
      </c>
    </row>
    <row r="1728" spans="1:19" s="53" customFormat="1" hidden="1" x14ac:dyDescent="0.25">
      <c r="A1728" s="207">
        <v>855</v>
      </c>
      <c r="B1728" s="208">
        <v>42655</v>
      </c>
      <c r="C1728" s="88">
        <v>114</v>
      </c>
      <c r="D1728" s="88">
        <v>3000034374</v>
      </c>
      <c r="E1728" s="88" t="s">
        <v>55</v>
      </c>
      <c r="F1728" s="20">
        <v>26</v>
      </c>
      <c r="G1728" s="209">
        <v>42647</v>
      </c>
      <c r="H1728" s="209"/>
      <c r="I1728" s="209">
        <v>42651</v>
      </c>
      <c r="J1728" s="88" t="s">
        <v>8</v>
      </c>
      <c r="K1728" s="210">
        <v>0.115</v>
      </c>
      <c r="L1728" s="88">
        <v>0.115</v>
      </c>
      <c r="M1728" s="88">
        <f t="shared" si="209"/>
        <v>0.115</v>
      </c>
      <c r="N1728" s="211">
        <f>+I1728+15-1</f>
        <v>42665</v>
      </c>
      <c r="O1728" s="88">
        <v>6613</v>
      </c>
      <c r="P1728" s="199">
        <f t="shared" si="210"/>
        <v>6613</v>
      </c>
      <c r="Q1728" s="213">
        <v>42691</v>
      </c>
      <c r="R1728" s="213">
        <v>42692</v>
      </c>
      <c r="S1728" s="230">
        <f>R1728-N1728</f>
        <v>27</v>
      </c>
    </row>
    <row r="1729" spans="1:18" s="53" customFormat="1" hidden="1" x14ac:dyDescent="0.25">
      <c r="A1729" s="207">
        <v>778</v>
      </c>
      <c r="B1729" s="208">
        <v>42641</v>
      </c>
      <c r="C1729" s="88">
        <v>103</v>
      </c>
      <c r="D1729" s="88">
        <v>3000034840</v>
      </c>
      <c r="E1729" s="88" t="s">
        <v>169</v>
      </c>
      <c r="F1729" s="88">
        <v>187</v>
      </c>
      <c r="G1729" s="209">
        <v>42633</v>
      </c>
      <c r="H1729" s="209"/>
      <c r="I1729" s="209">
        <v>42637</v>
      </c>
      <c r="J1729" s="88" t="s">
        <v>61</v>
      </c>
      <c r="K1729" s="210">
        <v>20.04</v>
      </c>
      <c r="L1729" s="88">
        <v>19.98</v>
      </c>
      <c r="M1729" s="88">
        <f t="shared" si="209"/>
        <v>19.98</v>
      </c>
      <c r="N1729" s="211">
        <f>+I1729+30-1</f>
        <v>42666</v>
      </c>
      <c r="O1729" s="88">
        <v>1843680</v>
      </c>
      <c r="P1729" s="199">
        <f t="shared" si="210"/>
        <v>1838160</v>
      </c>
      <c r="Q1729" s="213">
        <v>42691</v>
      </c>
      <c r="R1729" s="213">
        <v>42692</v>
      </c>
    </row>
    <row r="1730" spans="1:18" s="53" customFormat="1" hidden="1" x14ac:dyDescent="0.25">
      <c r="A1730" s="207">
        <v>779</v>
      </c>
      <c r="B1730" s="208">
        <v>42641</v>
      </c>
      <c r="C1730" s="88">
        <v>103</v>
      </c>
      <c r="D1730" s="88">
        <v>3000034840</v>
      </c>
      <c r="E1730" s="88" t="s">
        <v>169</v>
      </c>
      <c r="F1730" s="88">
        <v>188</v>
      </c>
      <c r="G1730" s="209">
        <v>42633</v>
      </c>
      <c r="H1730" s="209"/>
      <c r="I1730" s="209">
        <v>42637</v>
      </c>
      <c r="J1730" s="88" t="s">
        <v>61</v>
      </c>
      <c r="K1730" s="210">
        <v>20.02</v>
      </c>
      <c r="L1730" s="88">
        <v>19.91</v>
      </c>
      <c r="M1730" s="88">
        <f t="shared" si="209"/>
        <v>19.91</v>
      </c>
      <c r="N1730" s="211">
        <f>+I1730+30-1</f>
        <v>42666</v>
      </c>
      <c r="O1730" s="88">
        <v>1841840</v>
      </c>
      <c r="P1730" s="199">
        <f t="shared" si="210"/>
        <v>1831720</v>
      </c>
      <c r="Q1730" s="213">
        <v>42691</v>
      </c>
      <c r="R1730" s="213">
        <v>42692</v>
      </c>
    </row>
    <row r="1731" spans="1:18" s="53" customFormat="1" hidden="1" x14ac:dyDescent="0.25">
      <c r="A1731" s="207">
        <v>774</v>
      </c>
      <c r="B1731" s="208">
        <v>42641</v>
      </c>
      <c r="C1731" s="88">
        <v>103</v>
      </c>
      <c r="D1731" s="88">
        <v>3000034887</v>
      </c>
      <c r="E1731" s="88" t="s">
        <v>267</v>
      </c>
      <c r="F1731" s="88">
        <v>40</v>
      </c>
      <c r="G1731" s="209">
        <v>42634</v>
      </c>
      <c r="H1731" s="209"/>
      <c r="I1731" s="209">
        <v>42639</v>
      </c>
      <c r="J1731" s="88" t="s">
        <v>61</v>
      </c>
      <c r="K1731" s="210">
        <v>19.28</v>
      </c>
      <c r="L1731" s="88">
        <v>19.25</v>
      </c>
      <c r="M1731" s="88">
        <f t="shared" si="209"/>
        <v>19.25</v>
      </c>
      <c r="N1731" s="211">
        <f>+I1731+30-1</f>
        <v>42668</v>
      </c>
      <c r="O1731" s="88">
        <v>1812320</v>
      </c>
      <c r="P1731" s="199">
        <f t="shared" si="210"/>
        <v>1809500</v>
      </c>
      <c r="Q1731" s="213">
        <v>42691</v>
      </c>
      <c r="R1731" s="213">
        <v>42692</v>
      </c>
    </row>
    <row r="1732" spans="1:18" s="53" customFormat="1" hidden="1" x14ac:dyDescent="0.25">
      <c r="A1732" s="207">
        <v>797</v>
      </c>
      <c r="B1732" s="208">
        <v>42646</v>
      </c>
      <c r="C1732" s="88">
        <v>103</v>
      </c>
      <c r="D1732" s="88">
        <v>3000034925</v>
      </c>
      <c r="E1732" s="88" t="s">
        <v>202</v>
      </c>
      <c r="F1732" s="88">
        <v>150</v>
      </c>
      <c r="G1732" s="209">
        <v>42634</v>
      </c>
      <c r="H1732" s="209"/>
      <c r="I1732" s="209">
        <v>42640</v>
      </c>
      <c r="J1732" s="88" t="s">
        <v>61</v>
      </c>
      <c r="K1732" s="210">
        <v>20.14</v>
      </c>
      <c r="L1732" s="88">
        <v>20.04</v>
      </c>
      <c r="M1732" s="88">
        <f t="shared" si="209"/>
        <v>20.04</v>
      </c>
      <c r="N1732" s="211" t="e">
        <f>+I1732+30-#REF!</f>
        <v>#REF!</v>
      </c>
      <c r="O1732" s="88">
        <v>1873020</v>
      </c>
      <c r="P1732" s="199">
        <f t="shared" si="210"/>
        <v>1863720</v>
      </c>
      <c r="Q1732" s="213">
        <v>42691</v>
      </c>
      <c r="R1732" s="213">
        <v>42692</v>
      </c>
    </row>
    <row r="1733" spans="1:18" s="53" customFormat="1" hidden="1" x14ac:dyDescent="0.25">
      <c r="A1733" s="207">
        <v>798</v>
      </c>
      <c r="B1733" s="208">
        <v>42646</v>
      </c>
      <c r="C1733" s="88">
        <v>103</v>
      </c>
      <c r="D1733" s="88">
        <v>3000034925</v>
      </c>
      <c r="E1733" s="88" t="s">
        <v>202</v>
      </c>
      <c r="F1733" s="88">
        <v>151</v>
      </c>
      <c r="G1733" s="209">
        <v>42634</v>
      </c>
      <c r="H1733" s="209"/>
      <c r="I1733" s="209">
        <v>42640</v>
      </c>
      <c r="J1733" s="88" t="s">
        <v>61</v>
      </c>
      <c r="K1733" s="210">
        <v>20.3</v>
      </c>
      <c r="L1733" s="88">
        <v>20.27</v>
      </c>
      <c r="M1733" s="88">
        <f t="shared" si="209"/>
        <v>20.27</v>
      </c>
      <c r="N1733" s="211" t="e">
        <f>+I1733+30-#REF!</f>
        <v>#REF!</v>
      </c>
      <c r="O1733" s="88">
        <v>1887900</v>
      </c>
      <c r="P1733" s="199">
        <f t="shared" si="210"/>
        <v>1885110</v>
      </c>
      <c r="Q1733" s="213">
        <v>42691</v>
      </c>
      <c r="R1733" s="213">
        <v>42692</v>
      </c>
    </row>
    <row r="1734" spans="1:18" s="53" customFormat="1" hidden="1" x14ac:dyDescent="0.25">
      <c r="A1734" s="207">
        <v>799</v>
      </c>
      <c r="B1734" s="208">
        <v>42646</v>
      </c>
      <c r="C1734" s="88">
        <v>103</v>
      </c>
      <c r="D1734" s="88">
        <v>3000034925</v>
      </c>
      <c r="E1734" s="88" t="s">
        <v>202</v>
      </c>
      <c r="F1734" s="88">
        <v>152</v>
      </c>
      <c r="G1734" s="209">
        <v>42634</v>
      </c>
      <c r="H1734" s="209"/>
      <c r="I1734" s="209">
        <v>42640</v>
      </c>
      <c r="J1734" s="88" t="s">
        <v>61</v>
      </c>
      <c r="K1734" s="210">
        <v>20.04</v>
      </c>
      <c r="L1734" s="88">
        <v>19.97</v>
      </c>
      <c r="M1734" s="88">
        <f t="shared" si="209"/>
        <v>19.97</v>
      </c>
      <c r="N1734" s="211" t="e">
        <f>+I1734+30-#REF!</f>
        <v>#REF!</v>
      </c>
      <c r="O1734" s="88">
        <v>1863720</v>
      </c>
      <c r="P1734" s="199">
        <f t="shared" si="210"/>
        <v>1857210</v>
      </c>
      <c r="Q1734" s="213">
        <v>42691</v>
      </c>
      <c r="R1734" s="213">
        <v>42692</v>
      </c>
    </row>
    <row r="1735" spans="1:18" s="53" customFormat="1" hidden="1" x14ac:dyDescent="0.25">
      <c r="A1735" s="207">
        <v>800</v>
      </c>
      <c r="B1735" s="208">
        <v>42646</v>
      </c>
      <c r="C1735" s="88">
        <v>103</v>
      </c>
      <c r="D1735" s="88">
        <v>3000034925</v>
      </c>
      <c r="E1735" s="88" t="s">
        <v>202</v>
      </c>
      <c r="F1735" s="88">
        <v>154</v>
      </c>
      <c r="G1735" s="209">
        <v>42636</v>
      </c>
      <c r="H1735" s="209"/>
      <c r="I1735" s="209">
        <v>42640</v>
      </c>
      <c r="J1735" s="88" t="s">
        <v>61</v>
      </c>
      <c r="K1735" s="210">
        <v>19.96</v>
      </c>
      <c r="L1735" s="88">
        <v>19.86</v>
      </c>
      <c r="M1735" s="88">
        <f t="shared" si="209"/>
        <v>19.86</v>
      </c>
      <c r="N1735" s="211" t="e">
        <f>+I1735+30-#REF!</f>
        <v>#REF!</v>
      </c>
      <c r="O1735" s="88">
        <v>1856280</v>
      </c>
      <c r="P1735" s="199">
        <f t="shared" si="210"/>
        <v>1846980</v>
      </c>
      <c r="Q1735" s="213">
        <v>42691</v>
      </c>
      <c r="R1735" s="213">
        <v>42692</v>
      </c>
    </row>
    <row r="1736" spans="1:18" s="53" customFormat="1" hidden="1" x14ac:dyDescent="0.25">
      <c r="A1736" s="207">
        <v>802</v>
      </c>
      <c r="B1736" s="208">
        <v>42646</v>
      </c>
      <c r="C1736" s="88">
        <v>103</v>
      </c>
      <c r="D1736" s="88">
        <v>3000034840</v>
      </c>
      <c r="E1736" s="88" t="s">
        <v>169</v>
      </c>
      <c r="F1736" s="88">
        <v>191</v>
      </c>
      <c r="G1736" s="209">
        <v>42636</v>
      </c>
      <c r="H1736" s="209"/>
      <c r="I1736" s="209">
        <v>42641</v>
      </c>
      <c r="J1736" s="88" t="s">
        <v>61</v>
      </c>
      <c r="K1736" s="210">
        <v>16.329999999999998</v>
      </c>
      <c r="L1736" s="88">
        <v>16.309999999999999</v>
      </c>
      <c r="M1736" s="88">
        <f t="shared" si="209"/>
        <v>16.309999999999999</v>
      </c>
      <c r="N1736" s="211" t="e">
        <f>+I1736+30-#REF!</f>
        <v>#REF!</v>
      </c>
      <c r="O1736" s="88">
        <v>1502360</v>
      </c>
      <c r="P1736" s="199">
        <f t="shared" si="210"/>
        <v>1500520.0000000002</v>
      </c>
      <c r="Q1736" s="213">
        <v>42691</v>
      </c>
      <c r="R1736" s="213">
        <v>42692</v>
      </c>
    </row>
    <row r="1737" spans="1:18" s="53" customFormat="1" hidden="1" x14ac:dyDescent="0.25">
      <c r="A1737" s="207">
        <v>803</v>
      </c>
      <c r="B1737" s="208">
        <v>42646</v>
      </c>
      <c r="C1737" s="88">
        <v>103</v>
      </c>
      <c r="D1737" s="88">
        <v>3000034840</v>
      </c>
      <c r="E1737" s="88" t="s">
        <v>169</v>
      </c>
      <c r="F1737" s="88">
        <v>192</v>
      </c>
      <c r="G1737" s="209">
        <v>42636</v>
      </c>
      <c r="H1737" s="209"/>
      <c r="I1737" s="209">
        <v>42641</v>
      </c>
      <c r="J1737" s="88" t="s">
        <v>61</v>
      </c>
      <c r="K1737" s="210">
        <v>24.19</v>
      </c>
      <c r="L1737" s="88">
        <v>24.11</v>
      </c>
      <c r="M1737" s="88">
        <f t="shared" si="209"/>
        <v>24.11</v>
      </c>
      <c r="N1737" s="211" t="e">
        <f>+I1737+30-#REF!</f>
        <v>#REF!</v>
      </c>
      <c r="O1737" s="88">
        <v>2225480</v>
      </c>
      <c r="P1737" s="199">
        <f t="shared" si="210"/>
        <v>2218120</v>
      </c>
      <c r="Q1737" s="213">
        <v>42691</v>
      </c>
      <c r="R1737" s="213">
        <v>42692</v>
      </c>
    </row>
    <row r="1738" spans="1:18" s="53" customFormat="1" hidden="1" x14ac:dyDescent="0.25">
      <c r="A1738" s="207">
        <v>801</v>
      </c>
      <c r="B1738" s="208">
        <v>42646</v>
      </c>
      <c r="C1738" s="88">
        <v>103</v>
      </c>
      <c r="D1738" s="88">
        <v>3000034925</v>
      </c>
      <c r="E1738" s="88" t="s">
        <v>202</v>
      </c>
      <c r="F1738" s="88">
        <v>156</v>
      </c>
      <c r="G1738" s="209">
        <v>42637</v>
      </c>
      <c r="H1738" s="209"/>
      <c r="I1738" s="209">
        <v>42641</v>
      </c>
      <c r="J1738" s="88" t="s">
        <v>61</v>
      </c>
      <c r="K1738" s="210">
        <v>20.07</v>
      </c>
      <c r="L1738" s="88">
        <v>20.010000000000002</v>
      </c>
      <c r="M1738" s="88">
        <f t="shared" si="209"/>
        <v>20.010000000000002</v>
      </c>
      <c r="N1738" s="211" t="e">
        <f>+I1738+30-#REF!</f>
        <v>#REF!</v>
      </c>
      <c r="O1738" s="88">
        <v>1866510</v>
      </c>
      <c r="P1738" s="199">
        <f t="shared" si="210"/>
        <v>1860930.0000000002</v>
      </c>
      <c r="Q1738" s="213">
        <v>42691</v>
      </c>
      <c r="R1738" s="213">
        <v>42692</v>
      </c>
    </row>
    <row r="1739" spans="1:18" s="53" customFormat="1" hidden="1" x14ac:dyDescent="0.25">
      <c r="A1739" s="207">
        <v>817</v>
      </c>
      <c r="B1739" s="208">
        <v>42649</v>
      </c>
      <c r="C1739" s="88">
        <v>103</v>
      </c>
      <c r="D1739" s="88">
        <v>3000034840</v>
      </c>
      <c r="E1739" s="88" t="s">
        <v>169</v>
      </c>
      <c r="F1739" s="88">
        <v>194</v>
      </c>
      <c r="G1739" s="209">
        <v>42637</v>
      </c>
      <c r="H1739" s="209"/>
      <c r="I1739" s="209">
        <v>42643</v>
      </c>
      <c r="J1739" s="88" t="s">
        <v>61</v>
      </c>
      <c r="K1739" s="210">
        <v>19.79</v>
      </c>
      <c r="L1739" s="88">
        <v>19.72</v>
      </c>
      <c r="M1739" s="88">
        <f t="shared" si="209"/>
        <v>19.72</v>
      </c>
      <c r="N1739" s="211">
        <f>+I1739+30-1</f>
        <v>42672</v>
      </c>
      <c r="O1739" s="88">
        <v>1820680</v>
      </c>
      <c r="P1739" s="199">
        <f t="shared" si="210"/>
        <v>1814240</v>
      </c>
      <c r="Q1739" s="213">
        <v>42691</v>
      </c>
      <c r="R1739" s="213">
        <v>42692</v>
      </c>
    </row>
    <row r="1740" spans="1:18" s="53" customFormat="1" hidden="1" x14ac:dyDescent="0.25">
      <c r="A1740" s="207">
        <v>892</v>
      </c>
      <c r="B1740" s="208">
        <v>42667</v>
      </c>
      <c r="C1740" s="88">
        <v>114</v>
      </c>
      <c r="D1740" s="88">
        <v>3000034720</v>
      </c>
      <c r="E1740" s="88" t="s">
        <v>29</v>
      </c>
      <c r="F1740" s="20">
        <v>215</v>
      </c>
      <c r="G1740" s="209">
        <v>42657</v>
      </c>
      <c r="H1740" s="209"/>
      <c r="I1740" s="209">
        <v>42661</v>
      </c>
      <c r="J1740" s="88" t="s">
        <v>8</v>
      </c>
      <c r="K1740" s="210">
        <v>17.809999999999999</v>
      </c>
      <c r="L1740" s="88">
        <v>17.61</v>
      </c>
      <c r="M1740" s="88">
        <f t="shared" si="209"/>
        <v>17.61</v>
      </c>
      <c r="N1740" s="211">
        <f>+I1740+15-O3642</f>
        <v>42676</v>
      </c>
      <c r="O1740" s="88">
        <v>1041885</v>
      </c>
      <c r="P1740" s="199">
        <f t="shared" si="210"/>
        <v>1030185.0000000001</v>
      </c>
      <c r="Q1740" s="213">
        <v>42691</v>
      </c>
      <c r="R1740" s="213">
        <v>42692</v>
      </c>
    </row>
    <row r="1741" spans="1:18" s="53" customFormat="1" hidden="1" x14ac:dyDescent="0.25">
      <c r="A1741" s="207">
        <v>893</v>
      </c>
      <c r="B1741" s="208">
        <v>42667</v>
      </c>
      <c r="C1741" s="88">
        <v>114</v>
      </c>
      <c r="D1741" s="88">
        <v>3000035063</v>
      </c>
      <c r="E1741" s="88" t="s">
        <v>29</v>
      </c>
      <c r="F1741" s="20">
        <v>216</v>
      </c>
      <c r="G1741" s="209">
        <v>42657</v>
      </c>
      <c r="H1741" s="209"/>
      <c r="I1741" s="209">
        <v>42661</v>
      </c>
      <c r="J1741" s="88" t="s">
        <v>8</v>
      </c>
      <c r="K1741" s="210">
        <v>12.74</v>
      </c>
      <c r="L1741" s="88">
        <v>12.74</v>
      </c>
      <c r="M1741" s="88">
        <f t="shared" si="209"/>
        <v>12.74</v>
      </c>
      <c r="N1741" s="211">
        <f>+I1741+15-O3643</f>
        <v>42676</v>
      </c>
      <c r="O1741" s="88">
        <v>733824</v>
      </c>
      <c r="P1741" s="199">
        <f t="shared" si="210"/>
        <v>733824</v>
      </c>
      <c r="Q1741" s="213">
        <v>42691</v>
      </c>
      <c r="R1741" s="213">
        <v>42692</v>
      </c>
    </row>
    <row r="1742" spans="1:18" s="53" customFormat="1" hidden="1" x14ac:dyDescent="0.25">
      <c r="A1742" s="207">
        <v>895</v>
      </c>
      <c r="B1742" s="208">
        <v>42667</v>
      </c>
      <c r="C1742" s="88">
        <v>114</v>
      </c>
      <c r="D1742" s="88">
        <v>3000034343</v>
      </c>
      <c r="E1742" s="88" t="s">
        <v>49</v>
      </c>
      <c r="F1742" s="20">
        <v>32</v>
      </c>
      <c r="G1742" s="209">
        <v>42652</v>
      </c>
      <c r="H1742" s="209"/>
      <c r="I1742" s="209">
        <v>42661</v>
      </c>
      <c r="J1742" s="88" t="s">
        <v>8</v>
      </c>
      <c r="K1742" s="210">
        <v>28.38</v>
      </c>
      <c r="L1742" s="88">
        <v>28.27</v>
      </c>
      <c r="M1742" s="88">
        <f t="shared" si="209"/>
        <v>28.27</v>
      </c>
      <c r="N1742" s="211">
        <f>+I1742+15-O3645</f>
        <v>42676</v>
      </c>
      <c r="O1742" s="88">
        <v>1603470</v>
      </c>
      <c r="P1742" s="199">
        <f>(+O1742/K1742*M1742)-35338</f>
        <v>1561917</v>
      </c>
      <c r="Q1742" s="213">
        <v>42691</v>
      </c>
      <c r="R1742" s="213">
        <v>42692</v>
      </c>
    </row>
    <row r="1743" spans="1:18" s="3" customFormat="1" hidden="1" x14ac:dyDescent="0.25">
      <c r="A1743" s="30">
        <v>894</v>
      </c>
      <c r="B1743" s="24">
        <v>42667</v>
      </c>
      <c r="C1743" s="1">
        <v>114</v>
      </c>
      <c r="D1743" s="1">
        <v>3000034343</v>
      </c>
      <c r="E1743" s="1" t="s">
        <v>49</v>
      </c>
      <c r="F1743" s="20" t="s">
        <v>331</v>
      </c>
      <c r="G1743" s="25">
        <v>42664</v>
      </c>
      <c r="H1743" s="25"/>
      <c r="I1743" s="25">
        <v>42661</v>
      </c>
      <c r="J1743" s="1" t="s">
        <v>8</v>
      </c>
      <c r="K1743" s="77"/>
      <c r="L1743" s="1"/>
      <c r="M1743" s="1">
        <f t="shared" si="209"/>
        <v>0</v>
      </c>
      <c r="N1743" s="7">
        <f>+I1743+15-'V V F India Out Standing'!O1113</f>
        <v>42676</v>
      </c>
      <c r="O1743" s="1">
        <v>35338</v>
      </c>
      <c r="P1743" s="199"/>
      <c r="Q1743" s="1"/>
      <c r="R1743" s="1"/>
    </row>
    <row r="1744" spans="1:18" s="53" customFormat="1" hidden="1" x14ac:dyDescent="0.25">
      <c r="A1744" s="207">
        <v>899</v>
      </c>
      <c r="B1744" s="208">
        <v>42667</v>
      </c>
      <c r="C1744" s="88">
        <v>114</v>
      </c>
      <c r="D1744" s="88">
        <v>3000034599</v>
      </c>
      <c r="E1744" s="88" t="s">
        <v>27</v>
      </c>
      <c r="F1744" s="88">
        <v>209</v>
      </c>
      <c r="G1744" s="209">
        <v>42661</v>
      </c>
      <c r="H1744" s="209"/>
      <c r="I1744" s="209">
        <v>42664</v>
      </c>
      <c r="J1744" s="88" t="s">
        <v>16</v>
      </c>
      <c r="K1744" s="210">
        <v>20.99</v>
      </c>
      <c r="L1744" s="88">
        <v>20.93</v>
      </c>
      <c r="M1744" s="88">
        <f t="shared" si="209"/>
        <v>20.93</v>
      </c>
      <c r="N1744" s="211">
        <f>+I1744+15-O3649</f>
        <v>42679</v>
      </c>
      <c r="O1744" s="88">
        <v>1177539</v>
      </c>
      <c r="P1744" s="199">
        <f>(+O1744/K1744*M1744)</f>
        <v>1174173.0000000002</v>
      </c>
      <c r="Q1744" s="213">
        <v>42691</v>
      </c>
      <c r="R1744" s="213">
        <v>42692</v>
      </c>
    </row>
    <row r="1745" spans="1:18" s="53" customFormat="1" hidden="1" x14ac:dyDescent="0.25">
      <c r="A1745" s="207">
        <v>900</v>
      </c>
      <c r="B1745" s="208">
        <v>42667</v>
      </c>
      <c r="C1745" s="88">
        <v>114</v>
      </c>
      <c r="D1745" s="88">
        <v>3000034603</v>
      </c>
      <c r="E1745" s="88" t="s">
        <v>37</v>
      </c>
      <c r="F1745" s="88">
        <v>157</v>
      </c>
      <c r="G1745" s="209">
        <v>42660</v>
      </c>
      <c r="H1745" s="209"/>
      <c r="I1745" s="209">
        <v>42664</v>
      </c>
      <c r="J1745" s="88" t="s">
        <v>16</v>
      </c>
      <c r="K1745" s="210">
        <v>19.920000000000002</v>
      </c>
      <c r="L1745" s="88">
        <v>19.940000000000001</v>
      </c>
      <c r="M1745" s="88">
        <f t="shared" si="209"/>
        <v>19.920000000000002</v>
      </c>
      <c r="N1745" s="211">
        <f>+I1745+15-O3650</f>
        <v>42679</v>
      </c>
      <c r="O1745" s="88">
        <v>1117512</v>
      </c>
      <c r="P1745" s="199">
        <f>(+O1745/K1745*M1745)</f>
        <v>1117512</v>
      </c>
      <c r="Q1745" s="213">
        <v>42691</v>
      </c>
      <c r="R1745" s="213">
        <v>42692</v>
      </c>
    </row>
    <row r="1746" spans="1:18" s="53" customFormat="1" hidden="1" x14ac:dyDescent="0.25">
      <c r="A1746" s="207">
        <v>903</v>
      </c>
      <c r="B1746" s="208">
        <v>42667</v>
      </c>
      <c r="C1746" s="88">
        <v>114</v>
      </c>
      <c r="D1746" s="88">
        <v>3000035437</v>
      </c>
      <c r="E1746" s="88" t="s">
        <v>30</v>
      </c>
      <c r="F1746" s="20">
        <v>308</v>
      </c>
      <c r="G1746" s="209">
        <v>42662</v>
      </c>
      <c r="H1746" s="209"/>
      <c r="I1746" s="209">
        <v>42664</v>
      </c>
      <c r="J1746" s="88" t="s">
        <v>229</v>
      </c>
      <c r="K1746" s="210">
        <v>15.41</v>
      </c>
      <c r="L1746" s="88">
        <v>15.41</v>
      </c>
      <c r="M1746" s="88">
        <f t="shared" si="209"/>
        <v>15.41</v>
      </c>
      <c r="N1746" s="211">
        <f>+I1746+15-O3653</f>
        <v>42679</v>
      </c>
      <c r="O1746" s="88">
        <f>K1746*49000</f>
        <v>755090</v>
      </c>
      <c r="P1746" s="199">
        <f>(+O1746/K1746*M1746)</f>
        <v>755090</v>
      </c>
      <c r="Q1746" s="213">
        <v>42691</v>
      </c>
      <c r="R1746" s="213">
        <v>42692</v>
      </c>
    </row>
    <row r="1747" spans="1:18" s="53" customFormat="1" hidden="1" x14ac:dyDescent="0.25">
      <c r="A1747" s="207">
        <v>904</v>
      </c>
      <c r="B1747" s="208">
        <v>42667</v>
      </c>
      <c r="C1747" s="88">
        <v>114</v>
      </c>
      <c r="D1747" s="88">
        <v>3000035088</v>
      </c>
      <c r="E1747" s="88" t="s">
        <v>30</v>
      </c>
      <c r="F1747" s="20">
        <v>308</v>
      </c>
      <c r="G1747" s="209">
        <v>42662</v>
      </c>
      <c r="H1747" s="209"/>
      <c r="I1747" s="209">
        <v>42664</v>
      </c>
      <c r="J1747" s="88" t="s">
        <v>229</v>
      </c>
      <c r="K1747" s="210">
        <v>13</v>
      </c>
      <c r="L1747" s="88">
        <v>12.82</v>
      </c>
      <c r="M1747" s="88">
        <f t="shared" si="209"/>
        <v>12.82</v>
      </c>
      <c r="N1747" s="211">
        <f>+I1747+15-O3654</f>
        <v>42679</v>
      </c>
      <c r="O1747" s="88">
        <f>K1747*53500</f>
        <v>695500</v>
      </c>
      <c r="P1747" s="199">
        <f>(+O1747/K1747*M1747)</f>
        <v>685870</v>
      </c>
      <c r="Q1747" s="213">
        <v>42691</v>
      </c>
      <c r="R1747" s="213">
        <v>42692</v>
      </c>
    </row>
    <row r="1748" spans="1:18" s="53" customFormat="1" hidden="1" x14ac:dyDescent="0.25">
      <c r="A1748" s="207">
        <v>919</v>
      </c>
      <c r="B1748" s="208">
        <v>42681</v>
      </c>
      <c r="C1748" s="88">
        <v>114</v>
      </c>
      <c r="D1748" s="88">
        <v>3000034726</v>
      </c>
      <c r="E1748" s="88" t="s">
        <v>18</v>
      </c>
      <c r="F1748" s="20">
        <v>95</v>
      </c>
      <c r="G1748" s="209">
        <v>42660</v>
      </c>
      <c r="H1748" s="209"/>
      <c r="I1748" s="209">
        <v>42665</v>
      </c>
      <c r="J1748" s="88" t="s">
        <v>16</v>
      </c>
      <c r="K1748" s="210">
        <v>7.12</v>
      </c>
      <c r="L1748" s="88">
        <v>7.12</v>
      </c>
      <c r="M1748" s="88">
        <f t="shared" si="209"/>
        <v>7.12</v>
      </c>
      <c r="N1748" s="211">
        <f>+I1748+15-O3662</f>
        <v>42680</v>
      </c>
      <c r="O1748" s="88">
        <v>405840</v>
      </c>
      <c r="P1748" s="199">
        <f>(+O1748/K1748*M1748)-6959</f>
        <v>398881</v>
      </c>
      <c r="Q1748" s="213">
        <v>42691</v>
      </c>
      <c r="R1748" s="213">
        <v>42692</v>
      </c>
    </row>
    <row r="1749" spans="1:18" s="53" customFormat="1" hidden="1" x14ac:dyDescent="0.25">
      <c r="A1749" s="207">
        <v>920</v>
      </c>
      <c r="B1749" s="208">
        <v>42681</v>
      </c>
      <c r="C1749" s="88">
        <v>114</v>
      </c>
      <c r="D1749" s="88">
        <v>3000034965</v>
      </c>
      <c r="E1749" s="88" t="s">
        <v>18</v>
      </c>
      <c r="F1749" s="20">
        <v>95</v>
      </c>
      <c r="G1749" s="209">
        <v>42660</v>
      </c>
      <c r="H1749" s="209"/>
      <c r="I1749" s="209">
        <v>42665</v>
      </c>
      <c r="J1749" s="88" t="s">
        <v>16</v>
      </c>
      <c r="K1749" s="210">
        <v>13.2</v>
      </c>
      <c r="L1749" s="88">
        <v>13.11</v>
      </c>
      <c r="M1749" s="88">
        <f t="shared" si="209"/>
        <v>13.11</v>
      </c>
      <c r="N1749" s="211">
        <f>+I1749+15-O3663</f>
        <v>42680</v>
      </c>
      <c r="O1749" s="88">
        <v>755040</v>
      </c>
      <c r="P1749" s="199">
        <f>(+O1749/K1749*M1749)</f>
        <v>749892</v>
      </c>
      <c r="Q1749" s="213">
        <v>42691</v>
      </c>
      <c r="R1749" s="213">
        <v>42692</v>
      </c>
    </row>
    <row r="1750" spans="1:18" s="3" customFormat="1" hidden="1" x14ac:dyDescent="0.25">
      <c r="A1750" s="30">
        <v>918</v>
      </c>
      <c r="B1750" s="24">
        <v>42681</v>
      </c>
      <c r="C1750" s="1">
        <v>114</v>
      </c>
      <c r="D1750" s="1" t="s">
        <v>337</v>
      </c>
      <c r="E1750" s="1" t="s">
        <v>18</v>
      </c>
      <c r="F1750" s="20" t="s">
        <v>338</v>
      </c>
      <c r="G1750" s="25">
        <v>42660</v>
      </c>
      <c r="H1750" s="25"/>
      <c r="I1750" s="25">
        <v>42665</v>
      </c>
      <c r="J1750" s="1" t="s">
        <v>16</v>
      </c>
      <c r="K1750" s="77"/>
      <c r="L1750" s="1"/>
      <c r="M1750" s="1">
        <f t="shared" si="209"/>
        <v>0</v>
      </c>
      <c r="N1750" s="7">
        <f>+I1750+15-'V V F India Out Standing'!O1130</f>
        <v>42680</v>
      </c>
      <c r="O1750" s="1">
        <v>6959</v>
      </c>
      <c r="P1750" s="199"/>
      <c r="Q1750" s="1"/>
      <c r="R1750" s="1"/>
    </row>
    <row r="1751" spans="1:18" s="53" customFormat="1" hidden="1" x14ac:dyDescent="0.25">
      <c r="A1751" s="207">
        <v>916</v>
      </c>
      <c r="B1751" s="208">
        <v>42677</v>
      </c>
      <c r="C1751" s="88">
        <v>114</v>
      </c>
      <c r="D1751" s="88">
        <v>3000034494</v>
      </c>
      <c r="E1751" s="88" t="s">
        <v>138</v>
      </c>
      <c r="F1751" s="88">
        <v>9116</v>
      </c>
      <c r="G1751" s="209">
        <v>42663</v>
      </c>
      <c r="H1751" s="209"/>
      <c r="I1751" s="209">
        <v>42667</v>
      </c>
      <c r="J1751" s="88" t="s">
        <v>8</v>
      </c>
      <c r="K1751" s="210">
        <v>20.67</v>
      </c>
      <c r="L1751" s="88">
        <v>20.57</v>
      </c>
      <c r="M1751" s="88">
        <f t="shared" ref="M1751" si="211">IF(L1751&gt;K1751,K1751,L1751)</f>
        <v>20.57</v>
      </c>
      <c r="N1751" s="211">
        <f>+I1751+15-O3663</f>
        <v>42682</v>
      </c>
      <c r="O1751" s="88">
        <v>1052103</v>
      </c>
      <c r="P1751" s="199">
        <f t="shared" ref="P1751:P1768" si="212">(+O1751/K1751*M1751)</f>
        <v>1047012.9999999999</v>
      </c>
      <c r="Q1751" s="213">
        <v>42691</v>
      </c>
      <c r="R1751" s="213">
        <v>42692</v>
      </c>
    </row>
    <row r="1752" spans="1:18" s="53" customFormat="1" hidden="1" x14ac:dyDescent="0.25">
      <c r="A1752" s="207">
        <v>970</v>
      </c>
      <c r="B1752" s="213">
        <v>42689</v>
      </c>
      <c r="C1752" s="88">
        <v>114</v>
      </c>
      <c r="D1752" s="88">
        <v>3000034599</v>
      </c>
      <c r="E1752" s="88" t="s">
        <v>27</v>
      </c>
      <c r="F1752" s="88">
        <v>217</v>
      </c>
      <c r="G1752" s="213">
        <v>42664</v>
      </c>
      <c r="H1752" s="213"/>
      <c r="I1752" s="213">
        <v>42669</v>
      </c>
      <c r="J1752" s="88" t="s">
        <v>16</v>
      </c>
      <c r="K1752" s="210">
        <v>4.92</v>
      </c>
      <c r="L1752" s="88">
        <v>4.92</v>
      </c>
      <c r="M1752" s="88">
        <v>4.92</v>
      </c>
      <c r="N1752" s="211">
        <f>+I1752+15-O3671</f>
        <v>42684</v>
      </c>
      <c r="O1752" s="88">
        <v>276012</v>
      </c>
      <c r="P1752" s="199">
        <f t="shared" si="212"/>
        <v>276012</v>
      </c>
      <c r="Q1752" s="213">
        <v>42691</v>
      </c>
      <c r="R1752" s="213">
        <v>42692</v>
      </c>
    </row>
    <row r="1753" spans="1:18" s="53" customFormat="1" hidden="1" x14ac:dyDescent="0.25">
      <c r="A1753" s="207">
        <v>971</v>
      </c>
      <c r="B1753" s="213">
        <v>42689</v>
      </c>
      <c r="C1753" s="88">
        <v>114</v>
      </c>
      <c r="D1753" s="88">
        <v>3000035743</v>
      </c>
      <c r="E1753" s="88" t="s">
        <v>27</v>
      </c>
      <c r="F1753" s="88">
        <v>217</v>
      </c>
      <c r="G1753" s="213">
        <v>42664</v>
      </c>
      <c r="H1753" s="213"/>
      <c r="I1753" s="213">
        <v>42669</v>
      </c>
      <c r="J1753" s="88" t="s">
        <v>16</v>
      </c>
      <c r="K1753" s="210">
        <v>22.75</v>
      </c>
      <c r="L1753" s="88">
        <v>22.72</v>
      </c>
      <c r="M1753" s="88">
        <v>22.72</v>
      </c>
      <c r="N1753" s="211">
        <f>+I1753+15-O3672</f>
        <v>42684</v>
      </c>
      <c r="O1753" s="88">
        <v>1296750</v>
      </c>
      <c r="P1753" s="199">
        <f t="shared" si="212"/>
        <v>1295040</v>
      </c>
      <c r="Q1753" s="213">
        <v>42691</v>
      </c>
      <c r="R1753" s="213">
        <v>42692</v>
      </c>
    </row>
    <row r="1754" spans="1:18" s="53" customFormat="1" hidden="1" x14ac:dyDescent="0.25">
      <c r="A1754" s="207">
        <v>914</v>
      </c>
      <c r="B1754" s="208">
        <v>42677</v>
      </c>
      <c r="C1754" s="88">
        <v>114</v>
      </c>
      <c r="D1754" s="88">
        <v>3000035291</v>
      </c>
      <c r="E1754" s="88" t="s">
        <v>180</v>
      </c>
      <c r="F1754" s="88">
        <v>276</v>
      </c>
      <c r="G1754" s="209">
        <v>42655</v>
      </c>
      <c r="H1754" s="209"/>
      <c r="I1754" s="209">
        <v>42666</v>
      </c>
      <c r="J1754" s="88" t="s">
        <v>61</v>
      </c>
      <c r="K1754" s="210">
        <v>20.079999999999998</v>
      </c>
      <c r="L1754" s="88">
        <v>19.97</v>
      </c>
      <c r="M1754" s="88">
        <f>IF(L1754&gt;K1754,K1754,L1754)</f>
        <v>19.97</v>
      </c>
      <c r="N1754" s="211">
        <f>+I1754+20-O3665</f>
        <v>42686</v>
      </c>
      <c r="O1754" s="88">
        <v>1897650</v>
      </c>
      <c r="P1754" s="199">
        <f t="shared" si="212"/>
        <v>1887254.5069721115</v>
      </c>
      <c r="Q1754" s="213">
        <v>42691</v>
      </c>
      <c r="R1754" s="213">
        <v>42692</v>
      </c>
    </row>
    <row r="1755" spans="1:18" s="53" customFormat="1" hidden="1" x14ac:dyDescent="0.25">
      <c r="A1755" s="207">
        <v>972</v>
      </c>
      <c r="B1755" s="213">
        <v>42689</v>
      </c>
      <c r="C1755" s="88">
        <v>114</v>
      </c>
      <c r="D1755" s="88">
        <v>3000034730</v>
      </c>
      <c r="E1755" s="88" t="s">
        <v>344</v>
      </c>
      <c r="F1755" s="88">
        <v>67</v>
      </c>
      <c r="G1755" s="213">
        <v>42668</v>
      </c>
      <c r="H1755" s="213"/>
      <c r="I1755" s="213">
        <v>42671</v>
      </c>
      <c r="J1755" s="88" t="s">
        <v>16</v>
      </c>
      <c r="K1755" s="210">
        <v>11.1</v>
      </c>
      <c r="L1755" s="88">
        <v>11.1</v>
      </c>
      <c r="M1755" s="88">
        <v>11.1</v>
      </c>
      <c r="N1755" s="211">
        <f>+I1755+15-O3676</f>
        <v>42686</v>
      </c>
      <c r="O1755" s="88">
        <v>632700</v>
      </c>
      <c r="P1755" s="199">
        <f t="shared" si="212"/>
        <v>632700</v>
      </c>
      <c r="Q1755" s="213">
        <v>42691</v>
      </c>
      <c r="R1755" s="213">
        <v>42692</v>
      </c>
    </row>
    <row r="1756" spans="1:18" s="53" customFormat="1" hidden="1" x14ac:dyDescent="0.25">
      <c r="A1756" s="207">
        <v>973</v>
      </c>
      <c r="B1756" s="213">
        <v>42689</v>
      </c>
      <c r="C1756" s="88">
        <v>114</v>
      </c>
      <c r="D1756" s="88">
        <v>3000034966</v>
      </c>
      <c r="E1756" s="88" t="s">
        <v>344</v>
      </c>
      <c r="F1756" s="88">
        <v>67</v>
      </c>
      <c r="G1756" s="213">
        <v>42668</v>
      </c>
      <c r="H1756" s="213"/>
      <c r="I1756" s="213">
        <v>42671</v>
      </c>
      <c r="J1756" s="88" t="s">
        <v>16</v>
      </c>
      <c r="K1756" s="210">
        <v>7.1</v>
      </c>
      <c r="L1756" s="88">
        <v>7.04</v>
      </c>
      <c r="M1756" s="88">
        <v>7.04</v>
      </c>
      <c r="N1756" s="211">
        <f>+I1756+15-O3677</f>
        <v>42686</v>
      </c>
      <c r="O1756" s="88">
        <v>406120</v>
      </c>
      <c r="P1756" s="199">
        <f t="shared" si="212"/>
        <v>402688</v>
      </c>
      <c r="Q1756" s="213">
        <v>42691</v>
      </c>
      <c r="R1756" s="213">
        <v>42692</v>
      </c>
    </row>
    <row r="1757" spans="1:18" s="53" customFormat="1" hidden="1" x14ac:dyDescent="0.25">
      <c r="A1757" s="207">
        <v>975</v>
      </c>
      <c r="B1757" s="213">
        <v>42689</v>
      </c>
      <c r="C1757" s="88">
        <v>114</v>
      </c>
      <c r="D1757" s="88">
        <v>3000034604</v>
      </c>
      <c r="E1757" s="88" t="s">
        <v>340</v>
      </c>
      <c r="F1757" s="88">
        <v>1256</v>
      </c>
      <c r="G1757" s="213">
        <v>42668</v>
      </c>
      <c r="H1757" s="213"/>
      <c r="I1757" s="213">
        <v>42672</v>
      </c>
      <c r="J1757" s="88" t="s">
        <v>16</v>
      </c>
      <c r="K1757" s="210">
        <v>28.01</v>
      </c>
      <c r="L1757" s="88">
        <v>27.84</v>
      </c>
      <c r="M1757" s="88">
        <v>27.84</v>
      </c>
      <c r="N1757" s="211">
        <f>+I1757+15-1</f>
        <v>42686</v>
      </c>
      <c r="O1757" s="88">
        <v>1571361</v>
      </c>
      <c r="P1757" s="199">
        <f t="shared" si="212"/>
        <v>1561824</v>
      </c>
      <c r="Q1757" s="213">
        <v>42691</v>
      </c>
      <c r="R1757" s="213">
        <v>42692</v>
      </c>
    </row>
    <row r="1758" spans="1:18" s="53" customFormat="1" hidden="1" x14ac:dyDescent="0.25">
      <c r="A1758" s="207">
        <v>912</v>
      </c>
      <c r="B1758" s="208">
        <v>42677</v>
      </c>
      <c r="C1758" s="88">
        <v>114</v>
      </c>
      <c r="D1758" s="88">
        <v>3000035402</v>
      </c>
      <c r="E1758" s="88" t="s">
        <v>180</v>
      </c>
      <c r="F1758" s="88">
        <v>279</v>
      </c>
      <c r="G1758" s="209">
        <v>42658</v>
      </c>
      <c r="H1758" s="209"/>
      <c r="I1758" s="209">
        <v>42667</v>
      </c>
      <c r="J1758" s="88" t="s">
        <v>61</v>
      </c>
      <c r="K1758" s="210">
        <v>20.34</v>
      </c>
      <c r="L1758" s="88">
        <v>20.29</v>
      </c>
      <c r="M1758" s="88">
        <f>IF(L1758&gt;K1758,K1758,L1758)</f>
        <v>20.29</v>
      </c>
      <c r="N1758" s="211">
        <f>+I1758+20-O3672</f>
        <v>42687</v>
      </c>
      <c r="O1758" s="88">
        <v>1932400</v>
      </c>
      <c r="P1758" s="199">
        <f t="shared" si="212"/>
        <v>1927649.7541789575</v>
      </c>
      <c r="Q1758" s="213">
        <v>42691</v>
      </c>
      <c r="R1758" s="213">
        <v>42692</v>
      </c>
    </row>
    <row r="1759" spans="1:18" s="53" customFormat="1" hidden="1" x14ac:dyDescent="0.25">
      <c r="A1759" s="207">
        <v>910</v>
      </c>
      <c r="B1759" s="208">
        <v>42677</v>
      </c>
      <c r="C1759" s="88">
        <v>114</v>
      </c>
      <c r="D1759" s="88">
        <v>3000035705</v>
      </c>
      <c r="E1759" s="88" t="s">
        <v>180</v>
      </c>
      <c r="F1759" s="88">
        <v>285</v>
      </c>
      <c r="G1759" s="209">
        <v>42660</v>
      </c>
      <c r="H1759" s="209"/>
      <c r="I1759" s="209">
        <v>42668</v>
      </c>
      <c r="J1759" s="88" t="s">
        <v>61</v>
      </c>
      <c r="K1759" s="210">
        <v>19.57</v>
      </c>
      <c r="L1759" s="88">
        <v>19.55</v>
      </c>
      <c r="M1759" s="88">
        <f>IF(L1759&gt;K1759,K1759,L1759)</f>
        <v>19.55</v>
      </c>
      <c r="N1759" s="211">
        <f>+I1759+20-O3675</f>
        <v>42688</v>
      </c>
      <c r="O1759" s="88">
        <v>1859400</v>
      </c>
      <c r="P1759" s="199">
        <f t="shared" si="212"/>
        <v>1857499.7445068983</v>
      </c>
      <c r="Q1759" s="213">
        <v>42691</v>
      </c>
      <c r="R1759" s="213">
        <v>42692</v>
      </c>
    </row>
    <row r="1760" spans="1:18" s="53" customFormat="1" hidden="1" x14ac:dyDescent="0.25">
      <c r="A1760" s="53">
        <v>987</v>
      </c>
      <c r="B1760" s="213">
        <v>42689</v>
      </c>
      <c r="C1760" s="88">
        <v>116</v>
      </c>
      <c r="D1760" s="88">
        <v>3000036034</v>
      </c>
      <c r="E1760" s="88" t="s">
        <v>341</v>
      </c>
      <c r="F1760" s="88">
        <v>9601988386</v>
      </c>
      <c r="G1760" s="213">
        <v>42684</v>
      </c>
      <c r="H1760" s="215"/>
      <c r="I1760" s="215">
        <v>42686</v>
      </c>
      <c r="J1760" s="88" t="s">
        <v>16</v>
      </c>
      <c r="K1760" s="210">
        <v>20.309999999999999</v>
      </c>
      <c r="L1760" s="88">
        <v>20.309999999999999</v>
      </c>
      <c r="M1760" s="88">
        <v>20.309999999999999</v>
      </c>
      <c r="N1760" s="211">
        <f>+G1760+5-O3738</f>
        <v>42689</v>
      </c>
      <c r="O1760" s="88">
        <v>1053213</v>
      </c>
      <c r="P1760" s="199">
        <f t="shared" si="212"/>
        <v>1053213</v>
      </c>
      <c r="Q1760" s="213">
        <v>42691</v>
      </c>
      <c r="R1760" s="213">
        <v>42692</v>
      </c>
    </row>
    <row r="1761" spans="1:18" s="53" customFormat="1" hidden="1" x14ac:dyDescent="0.25">
      <c r="A1761" s="53">
        <v>988</v>
      </c>
      <c r="B1761" s="213">
        <v>42689</v>
      </c>
      <c r="C1761" s="88">
        <v>116</v>
      </c>
      <c r="D1761" s="88">
        <v>3000036034</v>
      </c>
      <c r="E1761" s="88" t="s">
        <v>341</v>
      </c>
      <c r="F1761" s="88">
        <v>9601988387</v>
      </c>
      <c r="G1761" s="213">
        <v>42684</v>
      </c>
      <c r="H1761" s="215"/>
      <c r="I1761" s="215">
        <v>42686</v>
      </c>
      <c r="J1761" s="88" t="s">
        <v>16</v>
      </c>
      <c r="K1761" s="210">
        <v>19.32</v>
      </c>
      <c r="L1761" s="88">
        <v>19.32</v>
      </c>
      <c r="M1761" s="88">
        <v>19.32</v>
      </c>
      <c r="N1761" s="211">
        <f>+G1761+5-O3739</f>
        <v>42689</v>
      </c>
      <c r="O1761" s="88">
        <v>1001875</v>
      </c>
      <c r="P1761" s="199">
        <f t="shared" si="212"/>
        <v>1001875</v>
      </c>
      <c r="Q1761" s="213">
        <v>42691</v>
      </c>
      <c r="R1761" s="213">
        <v>42692</v>
      </c>
    </row>
    <row r="1762" spans="1:18" s="53" customFormat="1" hidden="1" x14ac:dyDescent="0.25">
      <c r="A1762" s="53">
        <v>989</v>
      </c>
      <c r="B1762" s="213">
        <v>42689</v>
      </c>
      <c r="C1762" s="88">
        <v>116</v>
      </c>
      <c r="D1762" s="88">
        <v>3000036034</v>
      </c>
      <c r="E1762" s="88" t="s">
        <v>341</v>
      </c>
      <c r="F1762" s="88">
        <v>9601988459</v>
      </c>
      <c r="G1762" s="213">
        <v>42686</v>
      </c>
      <c r="H1762" s="215"/>
      <c r="I1762" s="215">
        <v>42688</v>
      </c>
      <c r="J1762" s="88" t="s">
        <v>16</v>
      </c>
      <c r="K1762" s="210">
        <v>19.850000000000001</v>
      </c>
      <c r="L1762" s="88">
        <v>19.850000000000001</v>
      </c>
      <c r="M1762" s="88">
        <v>19.850000000000001</v>
      </c>
      <c r="N1762" s="211">
        <f>+G1762+5-O3740</f>
        <v>42691</v>
      </c>
      <c r="O1762" s="88">
        <v>1029359</v>
      </c>
      <c r="P1762" s="199">
        <f t="shared" si="212"/>
        <v>1029359</v>
      </c>
      <c r="Q1762" s="213">
        <v>42691</v>
      </c>
      <c r="R1762" s="213">
        <v>42692</v>
      </c>
    </row>
    <row r="1763" spans="1:18" s="53" customFormat="1" hidden="1" x14ac:dyDescent="0.25">
      <c r="A1763" s="207">
        <v>851</v>
      </c>
      <c r="B1763" s="208">
        <v>42655</v>
      </c>
      <c r="C1763" s="88">
        <v>114</v>
      </c>
      <c r="D1763" s="88">
        <v>3000034367</v>
      </c>
      <c r="E1763" s="88" t="s">
        <v>44</v>
      </c>
      <c r="F1763" s="88">
        <v>58</v>
      </c>
      <c r="G1763" s="209">
        <v>42640</v>
      </c>
      <c r="H1763" s="209"/>
      <c r="I1763" s="209">
        <v>42650</v>
      </c>
      <c r="J1763" s="88" t="s">
        <v>8</v>
      </c>
      <c r="K1763" s="210">
        <v>27.81</v>
      </c>
      <c r="L1763" s="88">
        <v>27.75</v>
      </c>
      <c r="M1763" s="88">
        <f t="shared" ref="M1763:M1792" si="213">IF(L1763&gt;K1763,K1763,L1763)</f>
        <v>27.75</v>
      </c>
      <c r="N1763" s="211">
        <f t="shared" ref="N1763:N1768" si="214">+I1763+15-1</f>
        <v>42664</v>
      </c>
      <c r="O1763" s="88">
        <v>1599075</v>
      </c>
      <c r="P1763" s="199">
        <f t="shared" si="212"/>
        <v>1595625</v>
      </c>
      <c r="Q1763" s="213">
        <v>42685</v>
      </c>
      <c r="R1763" s="213">
        <v>42689</v>
      </c>
    </row>
    <row r="1764" spans="1:18" s="53" customFormat="1" hidden="1" x14ac:dyDescent="0.25">
      <c r="A1764" s="207">
        <v>852</v>
      </c>
      <c r="B1764" s="208">
        <v>42655</v>
      </c>
      <c r="C1764" s="88">
        <v>114</v>
      </c>
      <c r="D1764" s="88">
        <v>3000034367</v>
      </c>
      <c r="E1764" s="88" t="s">
        <v>44</v>
      </c>
      <c r="F1764" s="20">
        <v>62</v>
      </c>
      <c r="G1764" s="209">
        <v>42645</v>
      </c>
      <c r="H1764" s="209"/>
      <c r="I1764" s="209">
        <v>42649</v>
      </c>
      <c r="J1764" s="88" t="s">
        <v>8</v>
      </c>
      <c r="K1764" s="210">
        <v>10.52</v>
      </c>
      <c r="L1764" s="88">
        <v>10.49</v>
      </c>
      <c r="M1764" s="88">
        <f t="shared" si="213"/>
        <v>10.49</v>
      </c>
      <c r="N1764" s="211">
        <f t="shared" si="214"/>
        <v>42663</v>
      </c>
      <c r="O1764" s="88">
        <v>604900</v>
      </c>
      <c r="P1764" s="199">
        <f t="shared" si="212"/>
        <v>603175</v>
      </c>
      <c r="Q1764" s="213">
        <v>42685</v>
      </c>
      <c r="R1764" s="213">
        <v>42689</v>
      </c>
    </row>
    <row r="1765" spans="1:18" s="53" customFormat="1" hidden="1" x14ac:dyDescent="0.25">
      <c r="A1765" s="207">
        <v>853</v>
      </c>
      <c r="B1765" s="208">
        <v>42655</v>
      </c>
      <c r="C1765" s="88">
        <v>114</v>
      </c>
      <c r="D1765" s="88">
        <v>3000034348</v>
      </c>
      <c r="E1765" s="88" t="s">
        <v>44</v>
      </c>
      <c r="F1765" s="20">
        <v>62</v>
      </c>
      <c r="G1765" s="209">
        <v>42645</v>
      </c>
      <c r="H1765" s="209"/>
      <c r="I1765" s="209">
        <v>42649</v>
      </c>
      <c r="J1765" s="88" t="s">
        <v>8</v>
      </c>
      <c r="K1765" s="210">
        <v>8.24</v>
      </c>
      <c r="L1765" s="88">
        <v>8.24</v>
      </c>
      <c r="M1765" s="88">
        <f t="shared" si="213"/>
        <v>8.24</v>
      </c>
      <c r="N1765" s="211">
        <f t="shared" si="214"/>
        <v>42663</v>
      </c>
      <c r="O1765" s="88">
        <v>473800</v>
      </c>
      <c r="P1765" s="199">
        <f t="shared" si="212"/>
        <v>473800</v>
      </c>
      <c r="Q1765" s="213">
        <v>42685</v>
      </c>
      <c r="R1765" s="213">
        <v>42689</v>
      </c>
    </row>
    <row r="1766" spans="1:18" s="53" customFormat="1" hidden="1" x14ac:dyDescent="0.25">
      <c r="A1766" s="207">
        <v>845</v>
      </c>
      <c r="B1766" s="208">
        <v>42655</v>
      </c>
      <c r="C1766" s="88">
        <v>114</v>
      </c>
      <c r="D1766" s="88">
        <v>3000034345</v>
      </c>
      <c r="E1766" s="88" t="s">
        <v>29</v>
      </c>
      <c r="F1766" s="20">
        <v>201</v>
      </c>
      <c r="G1766" s="209">
        <v>42643</v>
      </c>
      <c r="H1766" s="209"/>
      <c r="I1766" s="209">
        <v>42650</v>
      </c>
      <c r="J1766" s="88" t="s">
        <v>8</v>
      </c>
      <c r="K1766" s="210">
        <v>10.77</v>
      </c>
      <c r="L1766" s="88">
        <v>10.77</v>
      </c>
      <c r="M1766" s="88">
        <f t="shared" si="213"/>
        <v>10.77</v>
      </c>
      <c r="N1766" s="211">
        <f t="shared" si="214"/>
        <v>42664</v>
      </c>
      <c r="O1766" s="88">
        <v>619275</v>
      </c>
      <c r="P1766" s="199">
        <f t="shared" si="212"/>
        <v>619275</v>
      </c>
      <c r="Q1766" s="213">
        <v>42685</v>
      </c>
      <c r="R1766" s="213">
        <v>42689</v>
      </c>
    </row>
    <row r="1767" spans="1:18" s="53" customFormat="1" hidden="1" x14ac:dyDescent="0.25">
      <c r="A1767" s="207">
        <v>846</v>
      </c>
      <c r="B1767" s="208">
        <v>42655</v>
      </c>
      <c r="C1767" s="88">
        <v>114</v>
      </c>
      <c r="D1767" s="88">
        <v>3000034720</v>
      </c>
      <c r="E1767" s="88" t="s">
        <v>29</v>
      </c>
      <c r="F1767" s="20">
        <v>202</v>
      </c>
      <c r="G1767" s="209">
        <v>42643</v>
      </c>
      <c r="H1767" s="209"/>
      <c r="I1767" s="209">
        <v>42650</v>
      </c>
      <c r="J1767" s="88" t="s">
        <v>8</v>
      </c>
      <c r="K1767" s="210">
        <v>17.23</v>
      </c>
      <c r="L1767" s="88">
        <v>17.16</v>
      </c>
      <c r="M1767" s="88">
        <f t="shared" si="213"/>
        <v>17.16</v>
      </c>
      <c r="N1767" s="211">
        <f t="shared" si="214"/>
        <v>42664</v>
      </c>
      <c r="O1767" s="88">
        <v>1007955</v>
      </c>
      <c r="P1767" s="199">
        <f t="shared" si="212"/>
        <v>1003860</v>
      </c>
      <c r="Q1767" s="213">
        <v>42685</v>
      </c>
      <c r="R1767" s="213">
        <v>42689</v>
      </c>
    </row>
    <row r="1768" spans="1:18" s="53" customFormat="1" hidden="1" x14ac:dyDescent="0.25">
      <c r="A1768" s="207">
        <v>850</v>
      </c>
      <c r="B1768" s="208">
        <v>42655</v>
      </c>
      <c r="C1768" s="88">
        <v>114</v>
      </c>
      <c r="D1768" s="88">
        <v>3000034718</v>
      </c>
      <c r="E1768" s="88" t="s">
        <v>18</v>
      </c>
      <c r="F1768" s="88">
        <v>89</v>
      </c>
      <c r="G1768" s="209">
        <v>42640</v>
      </c>
      <c r="H1768" s="209"/>
      <c r="I1768" s="209">
        <v>42650</v>
      </c>
      <c r="J1768" s="88" t="s">
        <v>8</v>
      </c>
      <c r="K1768" s="210">
        <v>28</v>
      </c>
      <c r="L1768" s="88">
        <v>27.81</v>
      </c>
      <c r="M1768" s="88">
        <f t="shared" si="213"/>
        <v>27.81</v>
      </c>
      <c r="N1768" s="211">
        <f t="shared" si="214"/>
        <v>42664</v>
      </c>
      <c r="O1768" s="88">
        <v>1638000</v>
      </c>
      <c r="P1768" s="199">
        <f t="shared" si="212"/>
        <v>1626885</v>
      </c>
      <c r="Q1768" s="213">
        <v>42685</v>
      </c>
      <c r="R1768" s="213">
        <v>42689</v>
      </c>
    </row>
    <row r="1769" spans="1:18" s="53" customFormat="1" hidden="1" x14ac:dyDescent="0.25">
      <c r="A1769" s="207">
        <v>896</v>
      </c>
      <c r="B1769" s="208">
        <v>42667</v>
      </c>
      <c r="C1769" s="88">
        <v>114</v>
      </c>
      <c r="D1769" s="88">
        <v>3000034726</v>
      </c>
      <c r="E1769" s="88" t="s">
        <v>18</v>
      </c>
      <c r="F1769" s="20" t="s">
        <v>332</v>
      </c>
      <c r="G1769" s="209">
        <v>42664</v>
      </c>
      <c r="H1769" s="209"/>
      <c r="I1769" s="209">
        <v>42661</v>
      </c>
      <c r="J1769" s="88" t="s">
        <v>16</v>
      </c>
      <c r="K1769" s="210"/>
      <c r="L1769" s="88"/>
      <c r="M1769" s="88">
        <f t="shared" si="213"/>
        <v>0</v>
      </c>
      <c r="N1769" s="211">
        <f>+I1769+15-'V V F India Out Standing'!O1115</f>
        <v>42676</v>
      </c>
      <c r="O1769" s="88">
        <v>16079</v>
      </c>
      <c r="P1769" s="199"/>
      <c r="Q1769" s="213">
        <v>42685</v>
      </c>
      <c r="R1769" s="213">
        <v>42689</v>
      </c>
    </row>
    <row r="1770" spans="1:18" s="53" customFormat="1" hidden="1" x14ac:dyDescent="0.25">
      <c r="A1770" s="207">
        <v>897</v>
      </c>
      <c r="B1770" s="208">
        <v>42667</v>
      </c>
      <c r="C1770" s="88">
        <v>114</v>
      </c>
      <c r="D1770" s="88">
        <v>3000034726</v>
      </c>
      <c r="E1770" s="88" t="s">
        <v>18</v>
      </c>
      <c r="F1770" s="88">
        <v>93</v>
      </c>
      <c r="G1770" s="209">
        <v>42655</v>
      </c>
      <c r="H1770" s="209"/>
      <c r="I1770" s="209">
        <v>42661</v>
      </c>
      <c r="J1770" s="88" t="s">
        <v>16</v>
      </c>
      <c r="K1770" s="210">
        <v>20.03</v>
      </c>
      <c r="L1770" s="88">
        <v>19.899999999999999</v>
      </c>
      <c r="M1770" s="88">
        <f t="shared" si="213"/>
        <v>19.899999999999999</v>
      </c>
      <c r="N1770" s="211">
        <f>+I1770+15-'V V F India Out Standing'!O1116</f>
        <v>42676</v>
      </c>
      <c r="O1770" s="88">
        <v>1141710</v>
      </c>
      <c r="P1770" s="199">
        <f>(+O1770/K1770*M1770)-16079</f>
        <v>1118221</v>
      </c>
      <c r="Q1770" s="213">
        <v>42685</v>
      </c>
      <c r="R1770" s="213">
        <v>42689</v>
      </c>
    </row>
    <row r="1771" spans="1:18" s="53" customFormat="1" hidden="1" x14ac:dyDescent="0.25">
      <c r="A1771" s="207">
        <v>875</v>
      </c>
      <c r="B1771" s="208">
        <v>42660</v>
      </c>
      <c r="C1771" s="88">
        <v>114</v>
      </c>
      <c r="D1771" s="88">
        <v>3000034721</v>
      </c>
      <c r="E1771" s="88" t="s">
        <v>27</v>
      </c>
      <c r="F1771" s="88">
        <v>901</v>
      </c>
      <c r="G1771" s="209">
        <v>42649</v>
      </c>
      <c r="H1771" s="209"/>
      <c r="I1771" s="209">
        <v>42652</v>
      </c>
      <c r="J1771" s="88" t="s">
        <v>8</v>
      </c>
      <c r="K1771" s="210">
        <v>29.364999999999998</v>
      </c>
      <c r="L1771" s="88">
        <v>29.27</v>
      </c>
      <c r="M1771" s="88">
        <f t="shared" si="213"/>
        <v>29.27</v>
      </c>
      <c r="N1771" s="211">
        <f>+I1771+15-1</f>
        <v>42666</v>
      </c>
      <c r="O1771" s="88">
        <v>1717853</v>
      </c>
      <c r="P1771" s="199">
        <f t="shared" ref="P1771:P1792" si="215">(+O1771/K1771*M1771)</f>
        <v>1712295.4983824282</v>
      </c>
      <c r="Q1771" s="213">
        <v>42685</v>
      </c>
      <c r="R1771" s="213">
        <v>42689</v>
      </c>
    </row>
    <row r="1772" spans="1:18" s="53" customFormat="1" hidden="1" x14ac:dyDescent="0.25">
      <c r="A1772" s="207">
        <v>876</v>
      </c>
      <c r="B1772" s="208">
        <v>42660</v>
      </c>
      <c r="C1772" s="88">
        <v>114</v>
      </c>
      <c r="D1772" s="88">
        <v>3000034599</v>
      </c>
      <c r="E1772" s="88" t="s">
        <v>27</v>
      </c>
      <c r="F1772" s="88">
        <v>198</v>
      </c>
      <c r="G1772" s="209">
        <v>42650</v>
      </c>
      <c r="H1772" s="209"/>
      <c r="I1772" s="209">
        <v>42653</v>
      </c>
      <c r="J1772" s="88" t="s">
        <v>16</v>
      </c>
      <c r="K1772" s="210">
        <v>24.09</v>
      </c>
      <c r="L1772" s="88">
        <v>24.06</v>
      </c>
      <c r="M1772" s="88">
        <f t="shared" si="213"/>
        <v>24.06</v>
      </c>
      <c r="N1772" s="211">
        <f>+I1772+15-1</f>
        <v>42667</v>
      </c>
      <c r="O1772" s="88">
        <v>1351449</v>
      </c>
      <c r="P1772" s="199">
        <f t="shared" si="215"/>
        <v>1349766</v>
      </c>
      <c r="Q1772" s="213">
        <v>42685</v>
      </c>
      <c r="R1772" s="213">
        <v>42689</v>
      </c>
    </row>
    <row r="1773" spans="1:18" s="53" customFormat="1" hidden="1" x14ac:dyDescent="0.25">
      <c r="A1773" s="207">
        <v>878</v>
      </c>
      <c r="B1773" s="208">
        <v>42660</v>
      </c>
      <c r="C1773" s="88">
        <v>114</v>
      </c>
      <c r="D1773" s="88">
        <v>3000035088</v>
      </c>
      <c r="E1773" s="88" t="s">
        <v>30</v>
      </c>
      <c r="F1773" s="88">
        <v>295</v>
      </c>
      <c r="G1773" s="209">
        <v>42652</v>
      </c>
      <c r="H1773" s="209"/>
      <c r="I1773" s="209">
        <v>42655</v>
      </c>
      <c r="J1773" s="88" t="s">
        <v>229</v>
      </c>
      <c r="K1773" s="210">
        <v>28.39</v>
      </c>
      <c r="L1773" s="88">
        <v>28.25</v>
      </c>
      <c r="M1773" s="88">
        <f t="shared" si="213"/>
        <v>28.25</v>
      </c>
      <c r="N1773" s="211">
        <f>+I1773+15-1</f>
        <v>42669</v>
      </c>
      <c r="O1773" s="88">
        <v>1518866</v>
      </c>
      <c r="P1773" s="199">
        <f t="shared" si="215"/>
        <v>1511375.9950686861</v>
      </c>
      <c r="Q1773" s="213">
        <v>42685</v>
      </c>
      <c r="R1773" s="213">
        <v>42689</v>
      </c>
    </row>
    <row r="1774" spans="1:18" s="53" customFormat="1" hidden="1" x14ac:dyDescent="0.25">
      <c r="A1774" s="207">
        <v>901</v>
      </c>
      <c r="B1774" s="208">
        <v>42667</v>
      </c>
      <c r="C1774" s="88">
        <v>114</v>
      </c>
      <c r="D1774" s="88">
        <v>3000034603</v>
      </c>
      <c r="E1774" s="88" t="s">
        <v>37</v>
      </c>
      <c r="F1774" s="20">
        <v>158</v>
      </c>
      <c r="G1774" s="209">
        <v>42660</v>
      </c>
      <c r="H1774" s="209"/>
      <c r="I1774" s="209">
        <v>42663</v>
      </c>
      <c r="J1774" s="88" t="s">
        <v>16</v>
      </c>
      <c r="K1774" s="210">
        <v>9.91</v>
      </c>
      <c r="L1774" s="88">
        <v>9.91</v>
      </c>
      <c r="M1774" s="88">
        <f t="shared" si="213"/>
        <v>9.91</v>
      </c>
      <c r="N1774" s="211">
        <f>+I1774+15-'V V F India Out Standing'!O1120</f>
        <v>42678</v>
      </c>
      <c r="O1774" s="88">
        <v>555951</v>
      </c>
      <c r="P1774" s="199">
        <f t="shared" si="215"/>
        <v>555951</v>
      </c>
      <c r="Q1774" s="213">
        <v>42685</v>
      </c>
      <c r="R1774" s="213">
        <v>42689</v>
      </c>
    </row>
    <row r="1775" spans="1:18" s="53" customFormat="1" hidden="1" x14ac:dyDescent="0.25">
      <c r="A1775" s="207">
        <v>902</v>
      </c>
      <c r="B1775" s="208">
        <v>42667</v>
      </c>
      <c r="C1775" s="88">
        <v>114</v>
      </c>
      <c r="D1775" s="88">
        <v>3000034964</v>
      </c>
      <c r="E1775" s="88" t="s">
        <v>37</v>
      </c>
      <c r="F1775" s="20">
        <v>158</v>
      </c>
      <c r="G1775" s="209">
        <v>42660</v>
      </c>
      <c r="H1775" s="209"/>
      <c r="I1775" s="209">
        <v>42663</v>
      </c>
      <c r="J1775" s="88" t="s">
        <v>16</v>
      </c>
      <c r="K1775" s="210">
        <v>21.7</v>
      </c>
      <c r="L1775" s="88">
        <v>21.65</v>
      </c>
      <c r="M1775" s="88">
        <f t="shared" si="213"/>
        <v>21.65</v>
      </c>
      <c r="N1775" s="211">
        <f>+I1775+15-'V V F India Out Standing'!O1121</f>
        <v>42678</v>
      </c>
      <c r="O1775" s="88">
        <v>1241240</v>
      </c>
      <c r="P1775" s="199">
        <f t="shared" si="215"/>
        <v>1238380</v>
      </c>
      <c r="Q1775" s="213">
        <v>42685</v>
      </c>
      <c r="R1775" s="213">
        <v>42689</v>
      </c>
    </row>
    <row r="1776" spans="1:18" s="53" customFormat="1" hidden="1" x14ac:dyDescent="0.25">
      <c r="A1776" s="207">
        <v>915</v>
      </c>
      <c r="B1776" s="208">
        <v>42677</v>
      </c>
      <c r="C1776" s="88">
        <v>114</v>
      </c>
      <c r="D1776" s="88">
        <v>3000035291</v>
      </c>
      <c r="E1776" s="88" t="s">
        <v>180</v>
      </c>
      <c r="F1776" s="88">
        <v>272</v>
      </c>
      <c r="G1776" s="209">
        <v>42650</v>
      </c>
      <c r="H1776" s="209"/>
      <c r="I1776" s="209">
        <v>42665</v>
      </c>
      <c r="J1776" s="88" t="s">
        <v>61</v>
      </c>
      <c r="K1776" s="210">
        <v>20.05</v>
      </c>
      <c r="L1776" s="88">
        <v>19.940000000000001</v>
      </c>
      <c r="M1776" s="88">
        <f t="shared" si="213"/>
        <v>19.940000000000001</v>
      </c>
      <c r="N1776" s="211">
        <f>+I1776+20-'V V F India Out Standing'!O1134</f>
        <v>42685</v>
      </c>
      <c r="O1776" s="88">
        <v>1894800</v>
      </c>
      <c r="P1776" s="199">
        <f t="shared" si="215"/>
        <v>1884404.5885286785</v>
      </c>
      <c r="Q1776" s="213">
        <v>42685</v>
      </c>
      <c r="R1776" s="213">
        <v>42689</v>
      </c>
    </row>
    <row r="1777" spans="1:19" s="53" customFormat="1" hidden="1" x14ac:dyDescent="0.25">
      <c r="A1777" s="207">
        <v>913</v>
      </c>
      <c r="B1777" s="208">
        <v>42677</v>
      </c>
      <c r="C1777" s="88">
        <v>114</v>
      </c>
      <c r="D1777" s="88">
        <v>3000035402</v>
      </c>
      <c r="E1777" s="88" t="s">
        <v>180</v>
      </c>
      <c r="F1777" s="88">
        <v>278</v>
      </c>
      <c r="G1777" s="209">
        <v>42658</v>
      </c>
      <c r="H1777" s="209"/>
      <c r="I1777" s="209">
        <v>42666</v>
      </c>
      <c r="J1777" s="88" t="s">
        <v>61</v>
      </c>
      <c r="K1777" s="210">
        <v>20.14</v>
      </c>
      <c r="L1777" s="88">
        <v>20.07</v>
      </c>
      <c r="M1777" s="88">
        <f t="shared" si="213"/>
        <v>20.07</v>
      </c>
      <c r="N1777" s="211">
        <f>+I1777+20-'V V F India Out Standing'!O1132</f>
        <v>42686</v>
      </c>
      <c r="O1777" s="88">
        <v>1913400</v>
      </c>
      <c r="P1777" s="199">
        <f t="shared" si="215"/>
        <v>1906749.6524329691</v>
      </c>
      <c r="Q1777" s="213">
        <v>42685</v>
      </c>
      <c r="R1777" s="213">
        <v>42689</v>
      </c>
    </row>
    <row r="1778" spans="1:19" s="53" customFormat="1" hidden="1" x14ac:dyDescent="0.25">
      <c r="A1778" s="207">
        <v>907</v>
      </c>
      <c r="B1778" s="208">
        <v>42677</v>
      </c>
      <c r="C1778" s="88">
        <v>114</v>
      </c>
      <c r="D1778" s="88">
        <v>3000035086</v>
      </c>
      <c r="E1778" s="88" t="s">
        <v>169</v>
      </c>
      <c r="F1778" s="88">
        <v>209</v>
      </c>
      <c r="G1778" s="209">
        <v>42658</v>
      </c>
      <c r="H1778" s="209"/>
      <c r="I1778" s="209">
        <v>42668</v>
      </c>
      <c r="J1778" s="88" t="s">
        <v>61</v>
      </c>
      <c r="K1778" s="210">
        <v>20.14</v>
      </c>
      <c r="L1778" s="88">
        <v>20.11</v>
      </c>
      <c r="M1778" s="88">
        <f t="shared" si="213"/>
        <v>20.11</v>
      </c>
      <c r="N1778" s="211">
        <f>+I1778+20-'V V F India Out Standing'!O1126</f>
        <v>42688</v>
      </c>
      <c r="O1778" s="88">
        <v>1973720</v>
      </c>
      <c r="P1778" s="199">
        <f t="shared" si="215"/>
        <v>1970780</v>
      </c>
      <c r="Q1778" s="213">
        <v>42685</v>
      </c>
      <c r="R1778" s="213">
        <v>42689</v>
      </c>
    </row>
    <row r="1779" spans="1:19" s="203" customFormat="1" ht="15.75" hidden="1" x14ac:dyDescent="0.25">
      <c r="A1779" s="216">
        <v>438</v>
      </c>
      <c r="B1779" s="217">
        <v>42584</v>
      </c>
      <c r="C1779" s="218">
        <v>103</v>
      </c>
      <c r="D1779" s="218">
        <v>3000032325</v>
      </c>
      <c r="E1779" s="218" t="s">
        <v>184</v>
      </c>
      <c r="F1779" s="218">
        <v>117</v>
      </c>
      <c r="G1779" s="219">
        <v>42572</v>
      </c>
      <c r="H1779" s="219"/>
      <c r="I1779" s="219">
        <v>42578</v>
      </c>
      <c r="J1779" s="218" t="s">
        <v>61</v>
      </c>
      <c r="K1779" s="220">
        <v>16.64</v>
      </c>
      <c r="L1779" s="218">
        <v>16.61</v>
      </c>
      <c r="M1779" s="218">
        <f t="shared" si="213"/>
        <v>16.61</v>
      </c>
      <c r="N1779" s="221">
        <f t="shared" ref="N1779:N1790" si="216">+I1779+20-1</f>
        <v>42597</v>
      </c>
      <c r="O1779" s="218">
        <v>1342887</v>
      </c>
      <c r="P1779" s="222">
        <f t="shared" si="215"/>
        <v>1340465.9296875</v>
      </c>
      <c r="Q1779" s="213">
        <v>42685</v>
      </c>
      <c r="R1779" s="213">
        <v>42689</v>
      </c>
    </row>
    <row r="1780" spans="1:19" s="53" customFormat="1" hidden="1" x14ac:dyDescent="0.25">
      <c r="A1780" s="207">
        <v>712</v>
      </c>
      <c r="B1780" s="208">
        <v>42628</v>
      </c>
      <c r="C1780" s="88">
        <v>103</v>
      </c>
      <c r="D1780" s="88">
        <v>3000033679</v>
      </c>
      <c r="E1780" s="88" t="s">
        <v>60</v>
      </c>
      <c r="F1780" s="88">
        <v>606</v>
      </c>
      <c r="G1780" s="209">
        <v>42620</v>
      </c>
      <c r="H1780" s="209"/>
      <c r="I1780" s="209">
        <v>42625</v>
      </c>
      <c r="J1780" s="88" t="s">
        <v>61</v>
      </c>
      <c r="K1780" s="210">
        <v>19.89</v>
      </c>
      <c r="L1780" s="88">
        <v>19.82</v>
      </c>
      <c r="M1780" s="88">
        <f t="shared" si="213"/>
        <v>19.82</v>
      </c>
      <c r="N1780" s="211">
        <f t="shared" si="216"/>
        <v>42644</v>
      </c>
      <c r="O1780" s="88">
        <v>1829960</v>
      </c>
      <c r="P1780" s="199">
        <f t="shared" si="215"/>
        <v>1823519.7184514829</v>
      </c>
      <c r="Q1780" s="213">
        <v>42685</v>
      </c>
      <c r="R1780" s="213">
        <v>42689</v>
      </c>
    </row>
    <row r="1781" spans="1:19" s="53" customFormat="1" hidden="1" x14ac:dyDescent="0.25">
      <c r="A1781" s="207">
        <v>713</v>
      </c>
      <c r="B1781" s="208">
        <v>42628</v>
      </c>
      <c r="C1781" s="88">
        <v>103</v>
      </c>
      <c r="D1781" s="88">
        <v>3000033679</v>
      </c>
      <c r="E1781" s="88" t="s">
        <v>60</v>
      </c>
      <c r="F1781" s="88">
        <v>616</v>
      </c>
      <c r="G1781" s="209">
        <v>42622</v>
      </c>
      <c r="H1781" s="209"/>
      <c r="I1781" s="209">
        <v>42626</v>
      </c>
      <c r="J1781" s="88" t="s">
        <v>61</v>
      </c>
      <c r="K1781" s="210">
        <v>16.190000000000001</v>
      </c>
      <c r="L1781" s="88">
        <v>16.149999999999999</v>
      </c>
      <c r="M1781" s="88">
        <f t="shared" si="213"/>
        <v>16.149999999999999</v>
      </c>
      <c r="N1781" s="211">
        <f t="shared" si="216"/>
        <v>42645</v>
      </c>
      <c r="O1781" s="88">
        <v>1489545</v>
      </c>
      <c r="P1781" s="199">
        <f t="shared" si="215"/>
        <v>1485864.8394070412</v>
      </c>
      <c r="Q1781" s="213">
        <v>42685</v>
      </c>
      <c r="R1781" s="213">
        <v>42689</v>
      </c>
    </row>
    <row r="1782" spans="1:19" s="53" customFormat="1" hidden="1" x14ac:dyDescent="0.25">
      <c r="A1782" s="207">
        <v>725</v>
      </c>
      <c r="B1782" s="208">
        <v>42632</v>
      </c>
      <c r="C1782" s="88">
        <v>103</v>
      </c>
      <c r="D1782" s="88">
        <v>3000033679</v>
      </c>
      <c r="E1782" s="88" t="s">
        <v>60</v>
      </c>
      <c r="F1782" s="88">
        <v>619</v>
      </c>
      <c r="G1782" s="209">
        <v>42622</v>
      </c>
      <c r="H1782" s="209"/>
      <c r="I1782" s="209">
        <v>42626</v>
      </c>
      <c r="J1782" s="88" t="s">
        <v>61</v>
      </c>
      <c r="K1782" s="210">
        <v>20.66</v>
      </c>
      <c r="L1782" s="88">
        <v>20.54</v>
      </c>
      <c r="M1782" s="88">
        <f t="shared" si="213"/>
        <v>20.54</v>
      </c>
      <c r="N1782" s="211">
        <f t="shared" si="216"/>
        <v>42645</v>
      </c>
      <c r="O1782" s="88">
        <v>1900803</v>
      </c>
      <c r="P1782" s="199">
        <f t="shared" si="215"/>
        <v>1889762.5179090027</v>
      </c>
      <c r="Q1782" s="213">
        <v>42685</v>
      </c>
      <c r="R1782" s="213">
        <v>42689</v>
      </c>
    </row>
    <row r="1783" spans="1:19" s="53" customFormat="1" hidden="1" x14ac:dyDescent="0.25">
      <c r="A1783" s="207">
        <v>805</v>
      </c>
      <c r="B1783" s="208">
        <v>42646</v>
      </c>
      <c r="C1783" s="88">
        <v>103</v>
      </c>
      <c r="D1783" s="88">
        <v>3000034923</v>
      </c>
      <c r="E1783" s="88" t="s">
        <v>215</v>
      </c>
      <c r="F1783" s="88">
        <v>178</v>
      </c>
      <c r="G1783" s="209">
        <v>42634</v>
      </c>
      <c r="H1783" s="209"/>
      <c r="I1783" s="209">
        <v>42640</v>
      </c>
      <c r="J1783" s="88" t="s">
        <v>61</v>
      </c>
      <c r="K1783" s="210">
        <v>20.350000000000001</v>
      </c>
      <c r="L1783" s="88">
        <v>20.3</v>
      </c>
      <c r="M1783" s="88">
        <f t="shared" si="213"/>
        <v>20.3</v>
      </c>
      <c r="N1783" s="211">
        <f t="shared" si="216"/>
        <v>42659</v>
      </c>
      <c r="O1783" s="88">
        <v>1892550</v>
      </c>
      <c r="P1783" s="199">
        <f t="shared" si="215"/>
        <v>1887900</v>
      </c>
      <c r="Q1783" s="213">
        <v>42685</v>
      </c>
      <c r="R1783" s="213">
        <v>42689</v>
      </c>
    </row>
    <row r="1784" spans="1:19" s="53" customFormat="1" hidden="1" x14ac:dyDescent="0.25">
      <c r="A1784" s="207">
        <v>806</v>
      </c>
      <c r="B1784" s="208">
        <v>42646</v>
      </c>
      <c r="C1784" s="88">
        <v>103</v>
      </c>
      <c r="D1784" s="88">
        <v>3000034923</v>
      </c>
      <c r="E1784" s="88" t="s">
        <v>215</v>
      </c>
      <c r="F1784" s="88">
        <v>179</v>
      </c>
      <c r="G1784" s="209">
        <v>42634</v>
      </c>
      <c r="H1784" s="209"/>
      <c r="I1784" s="209">
        <v>42637</v>
      </c>
      <c r="J1784" s="88" t="s">
        <v>61</v>
      </c>
      <c r="K1784" s="210">
        <v>20.190000000000001</v>
      </c>
      <c r="L1784" s="88">
        <v>20.13</v>
      </c>
      <c r="M1784" s="88">
        <f t="shared" si="213"/>
        <v>20.13</v>
      </c>
      <c r="N1784" s="211">
        <f t="shared" si="216"/>
        <v>42656</v>
      </c>
      <c r="O1784" s="88">
        <v>1877670</v>
      </c>
      <c r="P1784" s="199">
        <f t="shared" si="215"/>
        <v>1872090</v>
      </c>
      <c r="Q1784" s="213">
        <v>42685</v>
      </c>
      <c r="R1784" s="213">
        <v>42689</v>
      </c>
    </row>
    <row r="1785" spans="1:19" s="53" customFormat="1" hidden="1" x14ac:dyDescent="0.25">
      <c r="A1785" s="207">
        <v>807</v>
      </c>
      <c r="B1785" s="208">
        <v>42646</v>
      </c>
      <c r="C1785" s="88">
        <v>103</v>
      </c>
      <c r="D1785" s="88">
        <v>3000034923</v>
      </c>
      <c r="E1785" s="88" t="s">
        <v>215</v>
      </c>
      <c r="F1785" s="88">
        <v>180</v>
      </c>
      <c r="G1785" s="209">
        <v>42634</v>
      </c>
      <c r="H1785" s="209"/>
      <c r="I1785" s="209">
        <v>42640</v>
      </c>
      <c r="J1785" s="88" t="s">
        <v>61</v>
      </c>
      <c r="K1785" s="210">
        <v>20.12</v>
      </c>
      <c r="L1785" s="88">
        <v>20.04</v>
      </c>
      <c r="M1785" s="88">
        <f t="shared" si="213"/>
        <v>20.04</v>
      </c>
      <c r="N1785" s="211">
        <f t="shared" si="216"/>
        <v>42659</v>
      </c>
      <c r="O1785" s="88">
        <v>1871160</v>
      </c>
      <c r="P1785" s="199">
        <f t="shared" si="215"/>
        <v>1863720</v>
      </c>
      <c r="Q1785" s="213">
        <v>42685</v>
      </c>
      <c r="R1785" s="213">
        <v>42689</v>
      </c>
    </row>
    <row r="1786" spans="1:19" s="53" customFormat="1" hidden="1" x14ac:dyDescent="0.25">
      <c r="A1786" s="207">
        <v>808</v>
      </c>
      <c r="B1786" s="208">
        <v>42646</v>
      </c>
      <c r="C1786" s="88">
        <v>103</v>
      </c>
      <c r="D1786" s="88">
        <v>3000034923</v>
      </c>
      <c r="E1786" s="88" t="s">
        <v>215</v>
      </c>
      <c r="F1786" s="88">
        <v>181</v>
      </c>
      <c r="G1786" s="209">
        <v>42634</v>
      </c>
      <c r="H1786" s="209"/>
      <c r="I1786" s="209">
        <v>42637</v>
      </c>
      <c r="J1786" s="88" t="s">
        <v>61</v>
      </c>
      <c r="K1786" s="210">
        <v>20.21</v>
      </c>
      <c r="L1786" s="88">
        <v>20.149999999999999</v>
      </c>
      <c r="M1786" s="88">
        <f t="shared" si="213"/>
        <v>20.149999999999999</v>
      </c>
      <c r="N1786" s="211">
        <f t="shared" si="216"/>
        <v>42656</v>
      </c>
      <c r="O1786" s="88">
        <v>1879530</v>
      </c>
      <c r="P1786" s="199">
        <f t="shared" si="215"/>
        <v>1873949.9999999998</v>
      </c>
      <c r="Q1786" s="213">
        <v>42685</v>
      </c>
      <c r="R1786" s="213">
        <v>42689</v>
      </c>
    </row>
    <row r="1787" spans="1:19" s="53" customFormat="1" hidden="1" x14ac:dyDescent="0.25">
      <c r="A1787" s="207">
        <v>783</v>
      </c>
      <c r="B1787" s="208">
        <v>42641</v>
      </c>
      <c r="C1787" s="88">
        <v>103</v>
      </c>
      <c r="D1787" s="88">
        <v>3000033761</v>
      </c>
      <c r="E1787" s="88" t="s">
        <v>145</v>
      </c>
      <c r="F1787" s="88">
        <v>62</v>
      </c>
      <c r="G1787" s="209">
        <v>42628</v>
      </c>
      <c r="H1787" s="209"/>
      <c r="I1787" s="209">
        <v>42639</v>
      </c>
      <c r="J1787" s="88" t="s">
        <v>61</v>
      </c>
      <c r="K1787" s="210">
        <v>19.579999999999998</v>
      </c>
      <c r="L1787" s="88">
        <v>19.54</v>
      </c>
      <c r="M1787" s="88">
        <f t="shared" si="213"/>
        <v>19.54</v>
      </c>
      <c r="N1787" s="211">
        <f t="shared" si="216"/>
        <v>42658</v>
      </c>
      <c r="O1787" s="88">
        <v>2046090</v>
      </c>
      <c r="P1787" s="199">
        <f t="shared" si="215"/>
        <v>2041910.0408580187</v>
      </c>
      <c r="Q1787" s="213">
        <v>42685</v>
      </c>
      <c r="R1787" s="213">
        <v>42689</v>
      </c>
    </row>
    <row r="1788" spans="1:19" s="53" customFormat="1" hidden="1" x14ac:dyDescent="0.25">
      <c r="A1788" s="207">
        <v>816</v>
      </c>
      <c r="B1788" s="208">
        <v>42649</v>
      </c>
      <c r="C1788" s="88">
        <v>103</v>
      </c>
      <c r="D1788" s="88">
        <v>3000033761</v>
      </c>
      <c r="E1788" s="88" t="s">
        <v>145</v>
      </c>
      <c r="F1788" s="88">
        <v>63</v>
      </c>
      <c r="G1788" s="209">
        <v>42628</v>
      </c>
      <c r="H1788" s="209"/>
      <c r="I1788" s="209">
        <v>42643</v>
      </c>
      <c r="J1788" s="88" t="s">
        <v>61</v>
      </c>
      <c r="K1788" s="210">
        <v>19.64</v>
      </c>
      <c r="L1788" s="88">
        <v>19.57</v>
      </c>
      <c r="M1788" s="88">
        <f t="shared" si="213"/>
        <v>19.57</v>
      </c>
      <c r="N1788" s="211">
        <f t="shared" si="216"/>
        <v>42662</v>
      </c>
      <c r="O1788" s="88">
        <v>2052360</v>
      </c>
      <c r="P1788" s="199">
        <f t="shared" si="215"/>
        <v>2045045.0712830957</v>
      </c>
      <c r="Q1788" s="213">
        <v>42685</v>
      </c>
      <c r="R1788" s="213">
        <v>42689</v>
      </c>
    </row>
    <row r="1789" spans="1:19" s="53" customFormat="1" hidden="1" x14ac:dyDescent="0.25">
      <c r="A1789" s="207">
        <v>781</v>
      </c>
      <c r="B1789" s="208">
        <v>42641</v>
      </c>
      <c r="C1789" s="88">
        <v>103</v>
      </c>
      <c r="D1789" s="88">
        <v>3000032316</v>
      </c>
      <c r="E1789" s="88" t="s">
        <v>183</v>
      </c>
      <c r="F1789" s="88">
        <v>44</v>
      </c>
      <c r="G1789" s="209">
        <v>42627</v>
      </c>
      <c r="H1789" s="209"/>
      <c r="I1789" s="209">
        <v>42639</v>
      </c>
      <c r="J1789" s="88" t="s">
        <v>61</v>
      </c>
      <c r="K1789" s="210">
        <v>19.59</v>
      </c>
      <c r="L1789" s="88">
        <v>19.5</v>
      </c>
      <c r="M1789" s="88">
        <f t="shared" si="213"/>
        <v>19.5</v>
      </c>
      <c r="N1789" s="211">
        <f t="shared" si="216"/>
        <v>42658</v>
      </c>
      <c r="O1789" s="88">
        <v>1518225</v>
      </c>
      <c r="P1789" s="199">
        <f t="shared" si="215"/>
        <v>1511250</v>
      </c>
      <c r="Q1789" s="213">
        <v>42685</v>
      </c>
      <c r="R1789" s="213">
        <v>42689</v>
      </c>
    </row>
    <row r="1790" spans="1:19" s="53" customFormat="1" x14ac:dyDescent="0.25">
      <c r="A1790" s="207">
        <v>869</v>
      </c>
      <c r="B1790" s="208">
        <v>42656</v>
      </c>
      <c r="C1790" s="88">
        <v>103</v>
      </c>
      <c r="D1790" s="88">
        <v>3000032581</v>
      </c>
      <c r="E1790" s="88" t="s">
        <v>144</v>
      </c>
      <c r="F1790" s="88">
        <v>997</v>
      </c>
      <c r="G1790" s="209">
        <v>42643</v>
      </c>
      <c r="H1790" s="209"/>
      <c r="I1790" s="209">
        <v>42648</v>
      </c>
      <c r="J1790" s="88" t="s">
        <v>61</v>
      </c>
      <c r="K1790" s="210">
        <v>19.62</v>
      </c>
      <c r="L1790" s="88">
        <v>19.54</v>
      </c>
      <c r="M1790" s="88">
        <f t="shared" si="213"/>
        <v>19.54</v>
      </c>
      <c r="N1790" s="211">
        <f t="shared" si="216"/>
        <v>42667</v>
      </c>
      <c r="O1790" s="88">
        <v>1520542</v>
      </c>
      <c r="P1790" s="199">
        <f t="shared" si="215"/>
        <v>1514342.0326197755</v>
      </c>
      <c r="Q1790" s="213">
        <v>42685</v>
      </c>
      <c r="R1790" s="213">
        <v>42689</v>
      </c>
    </row>
    <row r="1791" spans="1:19" s="53" customFormat="1" hidden="1" x14ac:dyDescent="0.25">
      <c r="A1791" s="207">
        <v>773</v>
      </c>
      <c r="B1791" s="208">
        <v>42641</v>
      </c>
      <c r="C1791" s="88">
        <v>103</v>
      </c>
      <c r="D1791" s="88">
        <v>3000034887</v>
      </c>
      <c r="E1791" s="88" t="s">
        <v>267</v>
      </c>
      <c r="F1791" s="88">
        <v>39</v>
      </c>
      <c r="G1791" s="209">
        <v>42634</v>
      </c>
      <c r="H1791" s="209"/>
      <c r="I1791" s="209">
        <v>42639</v>
      </c>
      <c r="J1791" s="88" t="s">
        <v>61</v>
      </c>
      <c r="K1791" s="210">
        <v>20.03</v>
      </c>
      <c r="L1791" s="88">
        <v>19.989999999999998</v>
      </c>
      <c r="M1791" s="88">
        <f t="shared" si="213"/>
        <v>19.989999999999998</v>
      </c>
      <c r="N1791" s="211">
        <f>+I1791+30-1</f>
        <v>42668</v>
      </c>
      <c r="O1791" s="88">
        <v>1882820</v>
      </c>
      <c r="P1791" s="199">
        <f t="shared" si="215"/>
        <v>1879059.9999999998</v>
      </c>
      <c r="Q1791" s="213">
        <v>42685</v>
      </c>
      <c r="R1791" s="213">
        <v>42689</v>
      </c>
    </row>
    <row r="1792" spans="1:19" s="53" customFormat="1" hidden="1" x14ac:dyDescent="0.25">
      <c r="A1792" s="223">
        <v>871</v>
      </c>
      <c r="B1792" s="224">
        <v>42656</v>
      </c>
      <c r="C1792" s="137">
        <v>103</v>
      </c>
      <c r="D1792" s="88">
        <v>3000033273</v>
      </c>
      <c r="E1792" s="88" t="s">
        <v>260</v>
      </c>
      <c r="F1792" s="88">
        <v>52</v>
      </c>
      <c r="G1792" s="209">
        <v>42649</v>
      </c>
      <c r="H1792" s="209"/>
      <c r="I1792" s="209">
        <v>42652</v>
      </c>
      <c r="J1792" s="88" t="s">
        <v>61</v>
      </c>
      <c r="K1792" s="88">
        <v>19.420000000000002</v>
      </c>
      <c r="L1792" s="88">
        <v>19.34</v>
      </c>
      <c r="M1792" s="88">
        <f t="shared" si="213"/>
        <v>19.34</v>
      </c>
      <c r="N1792" s="211">
        <f>+I1792+20-1</f>
        <v>42671</v>
      </c>
      <c r="O1792" s="88">
        <v>1739449</v>
      </c>
      <c r="P1792" s="26">
        <f t="shared" si="215"/>
        <v>1732283.4016477857</v>
      </c>
      <c r="Q1792" s="213">
        <v>42685</v>
      </c>
      <c r="R1792" s="213">
        <v>42689</v>
      </c>
      <c r="S1792" s="169" t="s">
        <v>339</v>
      </c>
    </row>
    <row r="1793" spans="1:18" s="3" customFormat="1" hidden="1" x14ac:dyDescent="0.25">
      <c r="A1793" s="13">
        <v>997</v>
      </c>
      <c r="B1793" s="204">
        <v>42695</v>
      </c>
      <c r="C1793" s="1">
        <v>116</v>
      </c>
      <c r="D1793" s="1">
        <v>3000036034</v>
      </c>
      <c r="E1793" s="1" t="s">
        <v>346</v>
      </c>
      <c r="F1793" s="1">
        <v>9601988502</v>
      </c>
      <c r="G1793" s="204">
        <v>42688</v>
      </c>
      <c r="H1793" s="204"/>
      <c r="I1793" s="204">
        <v>42688</v>
      </c>
      <c r="J1793" s="1" t="s">
        <v>16</v>
      </c>
      <c r="K1793" s="1">
        <v>19.47</v>
      </c>
      <c r="L1793" s="1">
        <v>19.47</v>
      </c>
      <c r="M1793" s="1">
        <v>19.47</v>
      </c>
      <c r="N1793" s="22">
        <v>42693</v>
      </c>
      <c r="O1793" s="1">
        <v>1009654</v>
      </c>
      <c r="P1793" s="26">
        <v>1009654</v>
      </c>
      <c r="Q1793" s="204">
        <v>42696</v>
      </c>
      <c r="R1793" s="204">
        <v>42703</v>
      </c>
    </row>
    <row r="1794" spans="1:18" s="3" customFormat="1" hidden="1" x14ac:dyDescent="0.25">
      <c r="A1794" s="13">
        <v>998</v>
      </c>
      <c r="B1794" s="204">
        <v>42695</v>
      </c>
      <c r="C1794" s="1">
        <v>116</v>
      </c>
      <c r="D1794" s="1">
        <v>3000036034</v>
      </c>
      <c r="E1794" s="1" t="s">
        <v>346</v>
      </c>
      <c r="F1794" s="1">
        <v>9601988503</v>
      </c>
      <c r="G1794" s="204">
        <v>42689</v>
      </c>
      <c r="H1794" s="204"/>
      <c r="I1794" s="204">
        <v>42689</v>
      </c>
      <c r="J1794" s="1" t="s">
        <v>16</v>
      </c>
      <c r="K1794" s="1">
        <v>19.95</v>
      </c>
      <c r="L1794" s="1">
        <v>19.95</v>
      </c>
      <c r="M1794" s="1">
        <v>19.95</v>
      </c>
      <c r="N1794" s="22">
        <v>42694</v>
      </c>
      <c r="O1794" s="1">
        <v>1034545</v>
      </c>
      <c r="P1794" s="26">
        <v>1034545</v>
      </c>
      <c r="Q1794" s="204">
        <v>42696</v>
      </c>
      <c r="R1794" s="204">
        <v>42703</v>
      </c>
    </row>
    <row r="1795" spans="1:18" s="3" customFormat="1" hidden="1" x14ac:dyDescent="0.25">
      <c r="A1795" s="13">
        <v>999</v>
      </c>
      <c r="B1795" s="204">
        <v>42695</v>
      </c>
      <c r="C1795" s="1">
        <v>116</v>
      </c>
      <c r="D1795" s="1">
        <v>3000036034</v>
      </c>
      <c r="E1795" s="1" t="s">
        <v>346</v>
      </c>
      <c r="F1795" s="1">
        <v>9601988527</v>
      </c>
      <c r="G1795" s="204">
        <v>42689</v>
      </c>
      <c r="H1795" s="204"/>
      <c r="I1795" s="204">
        <v>42689</v>
      </c>
      <c r="J1795" s="1" t="s">
        <v>16</v>
      </c>
      <c r="K1795" s="1">
        <v>15.46</v>
      </c>
      <c r="L1795" s="1">
        <v>15.46</v>
      </c>
      <c r="M1795" s="1">
        <v>15.46</v>
      </c>
      <c r="N1795" s="22">
        <v>42694</v>
      </c>
      <c r="O1795" s="1">
        <v>801708</v>
      </c>
      <c r="P1795" s="26">
        <v>801708</v>
      </c>
      <c r="Q1795" s="204">
        <v>42696</v>
      </c>
      <c r="R1795" s="204">
        <v>42703</v>
      </c>
    </row>
    <row r="1796" spans="1:18" s="3" customFormat="1" hidden="1" x14ac:dyDescent="0.25">
      <c r="A1796" s="212">
        <v>1000</v>
      </c>
      <c r="B1796" s="204">
        <v>42695</v>
      </c>
      <c r="C1796" s="1">
        <v>116</v>
      </c>
      <c r="D1796" s="1">
        <v>3000036034</v>
      </c>
      <c r="E1796" s="1" t="s">
        <v>346</v>
      </c>
      <c r="F1796" s="1">
        <v>9601988529</v>
      </c>
      <c r="G1796" s="204">
        <v>42689</v>
      </c>
      <c r="H1796" s="204"/>
      <c r="I1796" s="204">
        <v>42689</v>
      </c>
      <c r="J1796" s="1" t="s">
        <v>16</v>
      </c>
      <c r="K1796" s="1">
        <v>15.4</v>
      </c>
      <c r="L1796" s="1">
        <v>15.4</v>
      </c>
      <c r="M1796" s="1">
        <v>15.4</v>
      </c>
      <c r="N1796" s="22">
        <v>42694</v>
      </c>
      <c r="O1796" s="1">
        <v>798596</v>
      </c>
      <c r="P1796" s="225">
        <v>798596</v>
      </c>
      <c r="Q1796" s="204">
        <v>42696</v>
      </c>
      <c r="R1796" s="204">
        <v>42703</v>
      </c>
    </row>
    <row r="1797" spans="1:18" s="53" customFormat="1" hidden="1" x14ac:dyDescent="0.25">
      <c r="A1797" s="207">
        <v>746</v>
      </c>
      <c r="B1797" s="208">
        <v>42636</v>
      </c>
      <c r="C1797" s="88">
        <v>114</v>
      </c>
      <c r="D1797" s="88">
        <v>3000030425</v>
      </c>
      <c r="E1797" s="88" t="s">
        <v>17</v>
      </c>
      <c r="F1797" s="88">
        <v>88</v>
      </c>
      <c r="G1797" s="209">
        <v>42631</v>
      </c>
      <c r="H1797" s="209"/>
      <c r="I1797" s="209">
        <v>42633</v>
      </c>
      <c r="J1797" s="88" t="s">
        <v>8</v>
      </c>
      <c r="K1797" s="210">
        <v>29.24</v>
      </c>
      <c r="L1797" s="88">
        <v>29.03</v>
      </c>
      <c r="M1797" s="88">
        <v>29.03</v>
      </c>
      <c r="N1797" s="211">
        <v>42647</v>
      </c>
      <c r="O1797" s="88">
        <v>1596504</v>
      </c>
      <c r="P1797" s="199">
        <v>1585038</v>
      </c>
      <c r="Q1797" s="213">
        <v>42703</v>
      </c>
      <c r="R1797" s="213">
        <v>42703</v>
      </c>
    </row>
    <row r="1798" spans="1:18" s="53" customFormat="1" hidden="1" x14ac:dyDescent="0.25">
      <c r="A1798" s="207">
        <v>967</v>
      </c>
      <c r="B1798" s="213">
        <v>42689</v>
      </c>
      <c r="C1798" s="88">
        <v>114</v>
      </c>
      <c r="D1798" s="88">
        <v>3000034494</v>
      </c>
      <c r="E1798" s="88" t="s">
        <v>138</v>
      </c>
      <c r="F1798" s="88">
        <v>9117</v>
      </c>
      <c r="G1798" s="213">
        <v>42666</v>
      </c>
      <c r="H1798" s="213"/>
      <c r="I1798" s="213">
        <v>42671</v>
      </c>
      <c r="J1798" s="88" t="s">
        <v>8</v>
      </c>
      <c r="K1798" s="210">
        <v>31.74</v>
      </c>
      <c r="L1798" s="88">
        <v>31.54</v>
      </c>
      <c r="M1798" s="88">
        <v>31.54</v>
      </c>
      <c r="N1798" s="211">
        <v>42686</v>
      </c>
      <c r="O1798" s="88">
        <v>1615566</v>
      </c>
      <c r="P1798" s="199">
        <v>1605386</v>
      </c>
      <c r="Q1798" s="213">
        <v>42703</v>
      </c>
      <c r="R1798" s="213">
        <v>42703</v>
      </c>
    </row>
    <row r="1799" spans="1:18" s="53" customFormat="1" hidden="1" x14ac:dyDescent="0.25">
      <c r="A1799" s="207">
        <v>976</v>
      </c>
      <c r="B1799" s="213">
        <v>42689</v>
      </c>
      <c r="C1799" s="88">
        <v>114</v>
      </c>
      <c r="D1799" s="88">
        <v>3000035059</v>
      </c>
      <c r="E1799" s="88" t="s">
        <v>340</v>
      </c>
      <c r="F1799" s="88">
        <v>1262</v>
      </c>
      <c r="G1799" s="213">
        <v>42669</v>
      </c>
      <c r="H1799" s="213"/>
      <c r="I1799" s="213">
        <v>42672</v>
      </c>
      <c r="J1799" s="88" t="s">
        <v>16</v>
      </c>
      <c r="K1799" s="210">
        <v>28.63</v>
      </c>
      <c r="L1799" s="88">
        <v>28.41</v>
      </c>
      <c r="M1799" s="88">
        <v>28.41</v>
      </c>
      <c r="N1799" s="211">
        <v>42686</v>
      </c>
      <c r="O1799" s="88">
        <v>1588965</v>
      </c>
      <c r="P1799" s="206">
        <v>1576755</v>
      </c>
      <c r="Q1799" s="213">
        <v>42703</v>
      </c>
      <c r="R1799" s="213">
        <v>42703</v>
      </c>
    </row>
    <row r="1800" spans="1:18" s="53" customFormat="1" hidden="1" x14ac:dyDescent="0.25">
      <c r="A1800" s="207">
        <v>911</v>
      </c>
      <c r="B1800" s="208">
        <v>42677</v>
      </c>
      <c r="C1800" s="88">
        <v>114</v>
      </c>
      <c r="D1800" s="88">
        <v>3000035705</v>
      </c>
      <c r="E1800" s="88" t="s">
        <v>180</v>
      </c>
      <c r="F1800" s="88">
        <v>284</v>
      </c>
      <c r="G1800" s="209">
        <v>42660</v>
      </c>
      <c r="H1800" s="209"/>
      <c r="I1800" s="209">
        <v>42668</v>
      </c>
      <c r="J1800" s="88" t="s">
        <v>61</v>
      </c>
      <c r="K1800" s="210">
        <v>20.100000000000001</v>
      </c>
      <c r="L1800" s="88">
        <v>19.989999999999998</v>
      </c>
      <c r="M1800" s="88">
        <v>19.989999999999998</v>
      </c>
      <c r="N1800" s="211">
        <v>42688</v>
      </c>
      <c r="O1800" s="88">
        <v>1909600</v>
      </c>
      <c r="P1800" s="199">
        <v>1899149.4527363181</v>
      </c>
      <c r="Q1800" s="213">
        <v>42703</v>
      </c>
      <c r="R1800" s="213">
        <v>42703</v>
      </c>
    </row>
    <row r="1801" spans="1:18" s="53" customFormat="1" hidden="1" x14ac:dyDescent="0.25">
      <c r="A1801" s="207">
        <v>981</v>
      </c>
      <c r="B1801" s="213">
        <v>42689</v>
      </c>
      <c r="C1801" s="88">
        <v>114</v>
      </c>
      <c r="D1801" s="88">
        <v>3000035705</v>
      </c>
      <c r="E1801" s="88" t="s">
        <v>180</v>
      </c>
      <c r="F1801" s="88">
        <v>291</v>
      </c>
      <c r="G1801" s="213">
        <v>42664</v>
      </c>
      <c r="H1801" s="213"/>
      <c r="I1801" s="213">
        <v>42671</v>
      </c>
      <c r="J1801" s="88" t="s">
        <v>61</v>
      </c>
      <c r="K1801" s="210">
        <v>20.22</v>
      </c>
      <c r="L1801" s="88">
        <v>20.22</v>
      </c>
      <c r="M1801" s="88">
        <v>20.22</v>
      </c>
      <c r="N1801" s="211">
        <v>42691</v>
      </c>
      <c r="O1801" s="88">
        <v>1921000</v>
      </c>
      <c r="P1801" s="206">
        <v>1921000</v>
      </c>
      <c r="Q1801" s="213">
        <v>42703</v>
      </c>
      <c r="R1801" s="213">
        <v>42703</v>
      </c>
    </row>
    <row r="1802" spans="1:18" s="53" customFormat="1" hidden="1" x14ac:dyDescent="0.25">
      <c r="A1802" s="207">
        <v>924</v>
      </c>
      <c r="B1802" s="208">
        <v>42681</v>
      </c>
      <c r="C1802" s="88">
        <v>114</v>
      </c>
      <c r="D1802" s="88">
        <v>3000032160</v>
      </c>
      <c r="E1802" s="88" t="s">
        <v>15</v>
      </c>
      <c r="F1802" s="88">
        <v>3200</v>
      </c>
      <c r="G1802" s="209">
        <v>42671</v>
      </c>
      <c r="H1802" s="209"/>
      <c r="I1802" s="209">
        <v>42677</v>
      </c>
      <c r="J1802" s="88" t="s">
        <v>8</v>
      </c>
      <c r="K1802" s="210">
        <v>27.864999999999998</v>
      </c>
      <c r="L1802" s="88">
        <v>27.76</v>
      </c>
      <c r="M1802" s="88">
        <v>27.76</v>
      </c>
      <c r="N1802" s="211">
        <v>42692</v>
      </c>
      <c r="O1802" s="88">
        <v>1418329</v>
      </c>
      <c r="P1802" s="199">
        <v>1412984.4981159163</v>
      </c>
      <c r="Q1802" s="213">
        <v>42703</v>
      </c>
      <c r="R1802" s="213">
        <v>42703</v>
      </c>
    </row>
    <row r="1803" spans="1:18" s="53" customFormat="1" hidden="1" x14ac:dyDescent="0.25">
      <c r="A1803" s="207">
        <v>932</v>
      </c>
      <c r="B1803" s="208">
        <v>42682</v>
      </c>
      <c r="C1803" s="88">
        <v>114</v>
      </c>
      <c r="D1803" s="88">
        <v>3000034723</v>
      </c>
      <c r="E1803" s="88" t="s">
        <v>344</v>
      </c>
      <c r="F1803" s="88">
        <v>68</v>
      </c>
      <c r="G1803" s="209">
        <v>42669</v>
      </c>
      <c r="H1803" s="209"/>
      <c r="I1803" s="209">
        <v>42677</v>
      </c>
      <c r="J1803" s="88" t="s">
        <v>8</v>
      </c>
      <c r="K1803" s="210">
        <v>28.43</v>
      </c>
      <c r="L1803" s="88">
        <v>28.3</v>
      </c>
      <c r="M1803" s="88">
        <v>28.3</v>
      </c>
      <c r="N1803" s="211">
        <v>42692</v>
      </c>
      <c r="O1803" s="88">
        <v>1663155</v>
      </c>
      <c r="P1803" s="199">
        <v>1655550</v>
      </c>
      <c r="Q1803" s="213">
        <v>42703</v>
      </c>
      <c r="R1803" s="213">
        <v>42703</v>
      </c>
    </row>
    <row r="1804" spans="1:18" s="53" customFormat="1" hidden="1" x14ac:dyDescent="0.25">
      <c r="A1804" s="207">
        <v>933</v>
      </c>
      <c r="B1804" s="208">
        <v>42682</v>
      </c>
      <c r="C1804" s="88">
        <v>114</v>
      </c>
      <c r="D1804" s="88">
        <v>3000032985</v>
      </c>
      <c r="E1804" s="88" t="s">
        <v>15</v>
      </c>
      <c r="F1804" s="88">
        <v>3201</v>
      </c>
      <c r="G1804" s="209">
        <v>42671</v>
      </c>
      <c r="H1804" s="209"/>
      <c r="I1804" s="209">
        <v>42677</v>
      </c>
      <c r="J1804" s="88" t="s">
        <v>8</v>
      </c>
      <c r="K1804" s="210">
        <v>26.36</v>
      </c>
      <c r="L1804" s="88">
        <v>26.31</v>
      </c>
      <c r="M1804" s="88">
        <v>26.31</v>
      </c>
      <c r="N1804" s="211">
        <v>42692</v>
      </c>
      <c r="O1804" s="88">
        <v>1336452</v>
      </c>
      <c r="P1804" s="199">
        <v>1333917</v>
      </c>
      <c r="Q1804" s="213">
        <v>42703</v>
      </c>
      <c r="R1804" s="213">
        <v>42703</v>
      </c>
    </row>
    <row r="1805" spans="1:18" s="53" customFormat="1" hidden="1" x14ac:dyDescent="0.25">
      <c r="A1805" s="207">
        <v>921</v>
      </c>
      <c r="B1805" s="208">
        <v>42681</v>
      </c>
      <c r="C1805" s="88">
        <v>114</v>
      </c>
      <c r="D1805" s="88">
        <v>3000035062</v>
      </c>
      <c r="E1805" s="88" t="s">
        <v>27</v>
      </c>
      <c r="F1805" s="88">
        <v>915</v>
      </c>
      <c r="G1805" s="209">
        <v>42671</v>
      </c>
      <c r="H1805" s="209"/>
      <c r="I1805" s="209">
        <v>42678</v>
      </c>
      <c r="J1805" s="88" t="s">
        <v>8</v>
      </c>
      <c r="K1805" s="210">
        <v>29.8</v>
      </c>
      <c r="L1805" s="88">
        <v>29.64</v>
      </c>
      <c r="M1805" s="88">
        <v>29.64</v>
      </c>
      <c r="N1805" s="211">
        <v>42693</v>
      </c>
      <c r="O1805" s="88">
        <v>1716480</v>
      </c>
      <c r="P1805" s="199">
        <v>1707264</v>
      </c>
      <c r="Q1805" s="213">
        <v>42703</v>
      </c>
      <c r="R1805" s="213">
        <v>42703</v>
      </c>
    </row>
    <row r="1806" spans="1:18" s="53" customFormat="1" hidden="1" x14ac:dyDescent="0.25">
      <c r="A1806" s="207">
        <v>922</v>
      </c>
      <c r="B1806" s="208">
        <v>42681</v>
      </c>
      <c r="C1806" s="88">
        <v>114</v>
      </c>
      <c r="D1806" s="88">
        <v>3000034723</v>
      </c>
      <c r="E1806" s="88" t="s">
        <v>344</v>
      </c>
      <c r="F1806" s="20">
        <v>69</v>
      </c>
      <c r="G1806" s="209">
        <v>42673</v>
      </c>
      <c r="H1806" s="209"/>
      <c r="I1806" s="209">
        <v>42678</v>
      </c>
      <c r="J1806" s="88" t="s">
        <v>8</v>
      </c>
      <c r="K1806" s="210">
        <v>17.32</v>
      </c>
      <c r="L1806" s="88">
        <v>17.239999999999998</v>
      </c>
      <c r="M1806" s="88">
        <v>17.239999999999998</v>
      </c>
      <c r="N1806" s="211">
        <v>42693</v>
      </c>
      <c r="O1806" s="88">
        <v>1013220</v>
      </c>
      <c r="P1806" s="199">
        <v>1008539.9999999999</v>
      </c>
      <c r="Q1806" s="213">
        <v>42703</v>
      </c>
      <c r="R1806" s="213">
        <v>42703</v>
      </c>
    </row>
    <row r="1807" spans="1:18" s="53" customFormat="1" hidden="1" x14ac:dyDescent="0.25">
      <c r="A1807" s="207">
        <v>923</v>
      </c>
      <c r="B1807" s="208">
        <v>42681</v>
      </c>
      <c r="C1807" s="88">
        <v>114</v>
      </c>
      <c r="D1807" s="88">
        <v>3000035400</v>
      </c>
      <c r="E1807" s="88" t="s">
        <v>344</v>
      </c>
      <c r="F1807" s="20">
        <v>69</v>
      </c>
      <c r="G1807" s="209">
        <v>42673</v>
      </c>
      <c r="H1807" s="209"/>
      <c r="I1807" s="209">
        <v>42678</v>
      </c>
      <c r="J1807" s="88" t="s">
        <v>8</v>
      </c>
      <c r="K1807" s="210">
        <v>8.31</v>
      </c>
      <c r="L1807" s="88">
        <v>8.31</v>
      </c>
      <c r="M1807" s="88">
        <v>8.31</v>
      </c>
      <c r="N1807" s="211">
        <v>42693</v>
      </c>
      <c r="O1807" s="88">
        <v>465360</v>
      </c>
      <c r="P1807" s="199">
        <v>465360</v>
      </c>
      <c r="Q1807" s="213">
        <v>42703</v>
      </c>
      <c r="R1807" s="213">
        <v>42703</v>
      </c>
    </row>
    <row r="1808" spans="1:18" s="53" customFormat="1" hidden="1" x14ac:dyDescent="0.25">
      <c r="A1808" s="207">
        <v>936</v>
      </c>
      <c r="B1808" s="208">
        <v>42683</v>
      </c>
      <c r="C1808" s="88">
        <v>114</v>
      </c>
      <c r="D1808" s="88">
        <v>3000035743</v>
      </c>
      <c r="E1808" s="88" t="s">
        <v>27</v>
      </c>
      <c r="F1808" s="20">
        <v>223</v>
      </c>
      <c r="G1808" s="209">
        <v>42667</v>
      </c>
      <c r="H1808" s="209"/>
      <c r="I1808" s="209">
        <v>42678</v>
      </c>
      <c r="J1808" s="88" t="s">
        <v>16</v>
      </c>
      <c r="K1808" s="210">
        <v>37.25</v>
      </c>
      <c r="L1808" s="88">
        <v>37.25</v>
      </c>
      <c r="M1808" s="88">
        <v>37.25</v>
      </c>
      <c r="N1808" s="211">
        <v>42693</v>
      </c>
      <c r="O1808" s="88">
        <v>2123250</v>
      </c>
      <c r="P1808" s="199">
        <v>2123250</v>
      </c>
      <c r="Q1808" s="213">
        <v>42703</v>
      </c>
      <c r="R1808" s="213">
        <v>42703</v>
      </c>
    </row>
    <row r="1809" spans="1:64" s="53" customFormat="1" hidden="1" x14ac:dyDescent="0.25">
      <c r="A1809" s="207">
        <v>937</v>
      </c>
      <c r="B1809" s="208">
        <v>42683</v>
      </c>
      <c r="C1809" s="88">
        <v>114</v>
      </c>
      <c r="D1809" s="88">
        <v>3000034962</v>
      </c>
      <c r="E1809" s="88" t="s">
        <v>27</v>
      </c>
      <c r="F1809" s="20">
        <v>223</v>
      </c>
      <c r="G1809" s="209">
        <v>42667</v>
      </c>
      <c r="H1809" s="209"/>
      <c r="I1809" s="209">
        <v>42678</v>
      </c>
      <c r="J1809" s="88" t="s">
        <v>16</v>
      </c>
      <c r="K1809" s="210">
        <v>0.48</v>
      </c>
      <c r="L1809" s="88">
        <v>0.28999999999999998</v>
      </c>
      <c r="M1809" s="88">
        <v>0.28999999999999998</v>
      </c>
      <c r="N1809" s="211">
        <v>42693</v>
      </c>
      <c r="O1809" s="88">
        <v>27456</v>
      </c>
      <c r="P1809" s="199">
        <v>16588</v>
      </c>
      <c r="Q1809" s="213">
        <v>42703</v>
      </c>
      <c r="R1809" s="213">
        <v>42703</v>
      </c>
    </row>
    <row r="1810" spans="1:64" s="53" customFormat="1" hidden="1" x14ac:dyDescent="0.25">
      <c r="A1810" s="207">
        <v>942</v>
      </c>
      <c r="B1810" s="208">
        <v>42684</v>
      </c>
      <c r="C1810" s="88">
        <v>114</v>
      </c>
      <c r="D1810" s="88">
        <v>3000034222</v>
      </c>
      <c r="E1810" s="88" t="s">
        <v>15</v>
      </c>
      <c r="F1810" s="88">
        <v>3205</v>
      </c>
      <c r="G1810" s="209">
        <v>42676</v>
      </c>
      <c r="H1810" s="209"/>
      <c r="I1810" s="209">
        <v>42680</v>
      </c>
      <c r="J1810" s="88" t="s">
        <v>16</v>
      </c>
      <c r="K1810" s="210">
        <v>27.74</v>
      </c>
      <c r="L1810" s="88">
        <v>27.66</v>
      </c>
      <c r="M1810" s="88">
        <v>27.66</v>
      </c>
      <c r="N1810" s="211">
        <v>42695</v>
      </c>
      <c r="O1810" s="88">
        <v>1567310</v>
      </c>
      <c r="P1810" s="199">
        <v>1562790</v>
      </c>
      <c r="Q1810" s="213">
        <v>42703</v>
      </c>
      <c r="R1810" s="213">
        <v>42703</v>
      </c>
    </row>
    <row r="1811" spans="1:64" s="168" customFormat="1" hidden="1" x14ac:dyDescent="0.25">
      <c r="A1811" s="207">
        <v>943</v>
      </c>
      <c r="B1811" s="208">
        <v>42684</v>
      </c>
      <c r="C1811" s="88">
        <v>114</v>
      </c>
      <c r="D1811" s="88">
        <v>3000031775</v>
      </c>
      <c r="E1811" s="88" t="s">
        <v>15</v>
      </c>
      <c r="F1811" s="20">
        <v>3206</v>
      </c>
      <c r="G1811" s="209">
        <v>42676</v>
      </c>
      <c r="H1811" s="209"/>
      <c r="I1811" s="209">
        <v>42681</v>
      </c>
      <c r="J1811" s="88" t="s">
        <v>16</v>
      </c>
      <c r="K1811" s="210">
        <v>20.52</v>
      </c>
      <c r="L1811" s="88">
        <v>20.52</v>
      </c>
      <c r="M1811" s="88">
        <v>20.52</v>
      </c>
      <c r="N1811" s="211">
        <v>42696</v>
      </c>
      <c r="O1811" s="88">
        <v>1019844</v>
      </c>
      <c r="P1811" s="199">
        <v>1019844</v>
      </c>
      <c r="Q1811" s="213">
        <v>42703</v>
      </c>
      <c r="R1811" s="213">
        <v>42703</v>
      </c>
      <c r="S1811" s="53"/>
      <c r="T1811" s="53"/>
      <c r="U1811" s="53"/>
      <c r="V1811" s="53"/>
      <c r="W1811" s="53"/>
      <c r="X1811" s="53"/>
      <c r="Y1811" s="53"/>
      <c r="Z1811" s="53"/>
      <c r="AA1811" s="53"/>
      <c r="AB1811" s="53"/>
      <c r="AC1811" s="53"/>
      <c r="AD1811" s="53"/>
      <c r="AE1811" s="53"/>
      <c r="AF1811" s="53"/>
      <c r="AG1811" s="53"/>
      <c r="AH1811" s="53"/>
      <c r="AI1811" s="53"/>
      <c r="AJ1811" s="53"/>
      <c r="AK1811" s="53"/>
      <c r="AL1811" s="53"/>
      <c r="AM1811" s="53"/>
      <c r="AN1811" s="53"/>
      <c r="AO1811" s="53"/>
      <c r="AP1811" s="53"/>
      <c r="AQ1811" s="53"/>
      <c r="AR1811" s="53"/>
      <c r="AS1811" s="53"/>
      <c r="AT1811" s="53"/>
      <c r="AU1811" s="53"/>
      <c r="AV1811" s="53"/>
      <c r="AW1811" s="53"/>
      <c r="AX1811" s="53"/>
      <c r="AY1811" s="53"/>
      <c r="AZ1811" s="53"/>
      <c r="BA1811" s="53"/>
      <c r="BB1811" s="53"/>
      <c r="BC1811" s="53"/>
      <c r="BD1811" s="53"/>
      <c r="BE1811" s="53"/>
      <c r="BF1811" s="53"/>
      <c r="BG1811" s="53"/>
      <c r="BH1811" s="53"/>
      <c r="BI1811" s="53"/>
      <c r="BJ1811" s="53"/>
      <c r="BK1811" s="53"/>
      <c r="BL1811" s="53"/>
    </row>
    <row r="1812" spans="1:64" s="168" customFormat="1" hidden="1" x14ac:dyDescent="0.25">
      <c r="A1812" s="207">
        <v>944</v>
      </c>
      <c r="B1812" s="208">
        <v>42684</v>
      </c>
      <c r="C1812" s="88">
        <v>114</v>
      </c>
      <c r="D1812" s="88">
        <v>3000034222</v>
      </c>
      <c r="E1812" s="88" t="s">
        <v>15</v>
      </c>
      <c r="F1812" s="20">
        <v>3206</v>
      </c>
      <c r="G1812" s="209">
        <v>42676</v>
      </c>
      <c r="H1812" s="209"/>
      <c r="I1812" s="209">
        <v>42681</v>
      </c>
      <c r="J1812" s="88" t="s">
        <v>16</v>
      </c>
      <c r="K1812" s="210">
        <v>7</v>
      </c>
      <c r="L1812" s="88">
        <v>6.89</v>
      </c>
      <c r="M1812" s="88">
        <v>6.89</v>
      </c>
      <c r="N1812" s="211">
        <v>42696</v>
      </c>
      <c r="O1812" s="88">
        <v>395500</v>
      </c>
      <c r="P1812" s="199">
        <v>389285</v>
      </c>
      <c r="Q1812" s="213">
        <v>42703</v>
      </c>
      <c r="R1812" s="213">
        <v>42703</v>
      </c>
      <c r="S1812" s="53"/>
      <c r="T1812" s="53"/>
      <c r="U1812" s="53"/>
      <c r="V1812" s="53"/>
      <c r="W1812" s="53"/>
      <c r="X1812" s="53"/>
      <c r="Y1812" s="53"/>
      <c r="Z1812" s="53"/>
      <c r="AA1812" s="53"/>
      <c r="AB1812" s="53"/>
      <c r="AC1812" s="53"/>
      <c r="AD1812" s="53"/>
      <c r="AE1812" s="53"/>
      <c r="AF1812" s="53"/>
      <c r="AG1812" s="53"/>
      <c r="AH1812" s="53"/>
      <c r="AI1812" s="53"/>
      <c r="AJ1812" s="53"/>
      <c r="AK1812" s="53"/>
      <c r="AL1812" s="53"/>
      <c r="AM1812" s="53"/>
      <c r="AN1812" s="53"/>
      <c r="AO1812" s="53"/>
      <c r="AP1812" s="53"/>
      <c r="AQ1812" s="53"/>
      <c r="AR1812" s="53"/>
      <c r="AS1812" s="53"/>
      <c r="AT1812" s="53"/>
      <c r="AU1812" s="53"/>
      <c r="AV1812" s="53"/>
      <c r="AW1812" s="53"/>
      <c r="AX1812" s="53"/>
      <c r="AY1812" s="53"/>
      <c r="AZ1812" s="53"/>
      <c r="BA1812" s="53"/>
      <c r="BB1812" s="53"/>
      <c r="BC1812" s="53"/>
      <c r="BD1812" s="53"/>
      <c r="BE1812" s="53"/>
      <c r="BF1812" s="53"/>
      <c r="BG1812" s="53"/>
      <c r="BH1812" s="53"/>
      <c r="BI1812" s="53"/>
      <c r="BJ1812" s="53"/>
      <c r="BK1812" s="53"/>
      <c r="BL1812" s="53"/>
    </row>
    <row r="1813" spans="1:64" s="168" customFormat="1" hidden="1" x14ac:dyDescent="0.25">
      <c r="A1813" s="207">
        <v>948</v>
      </c>
      <c r="B1813" s="208">
        <v>42685</v>
      </c>
      <c r="C1813" s="88">
        <v>114</v>
      </c>
      <c r="D1813" s="88">
        <v>3000033786</v>
      </c>
      <c r="E1813" s="88" t="s">
        <v>15</v>
      </c>
      <c r="F1813" s="88">
        <v>3204</v>
      </c>
      <c r="G1813" s="209">
        <v>42676</v>
      </c>
      <c r="H1813" s="209"/>
      <c r="I1813" s="209">
        <v>42681</v>
      </c>
      <c r="J1813" s="88" t="s">
        <v>8</v>
      </c>
      <c r="K1813" s="210">
        <v>28.254999999999999</v>
      </c>
      <c r="L1813" s="88">
        <v>28.07</v>
      </c>
      <c r="M1813" s="88">
        <v>28.07</v>
      </c>
      <c r="N1813" s="211">
        <v>42696</v>
      </c>
      <c r="O1813" s="88">
        <v>1610535</v>
      </c>
      <c r="P1813" s="199">
        <v>1599990</v>
      </c>
      <c r="Q1813" s="213">
        <v>42703</v>
      </c>
      <c r="R1813" s="213">
        <v>42703</v>
      </c>
      <c r="S1813" s="53"/>
      <c r="T1813" s="53"/>
      <c r="U1813" s="53"/>
      <c r="V1813" s="53"/>
      <c r="W1813" s="53"/>
      <c r="X1813" s="53"/>
      <c r="Y1813" s="53"/>
      <c r="Z1813" s="53"/>
      <c r="AA1813" s="53"/>
      <c r="AB1813" s="53"/>
      <c r="AC1813" s="53"/>
      <c r="AD1813" s="53"/>
      <c r="AE1813" s="53"/>
      <c r="AF1813" s="53"/>
      <c r="AG1813" s="53"/>
      <c r="AH1813" s="53"/>
      <c r="AI1813" s="53"/>
      <c r="AJ1813" s="53"/>
      <c r="AK1813" s="53"/>
      <c r="AL1813" s="53"/>
      <c r="AM1813" s="53"/>
      <c r="AN1813" s="53"/>
      <c r="AO1813" s="53"/>
      <c r="AP1813" s="53"/>
      <c r="AQ1813" s="53"/>
      <c r="AR1813" s="53"/>
      <c r="AS1813" s="53"/>
      <c r="AT1813" s="53"/>
      <c r="AU1813" s="53"/>
      <c r="AV1813" s="53"/>
      <c r="AW1813" s="53"/>
      <c r="AX1813" s="53"/>
      <c r="AY1813" s="53"/>
      <c r="AZ1813" s="53"/>
      <c r="BA1813" s="53"/>
      <c r="BB1813" s="53"/>
      <c r="BC1813" s="53"/>
      <c r="BD1813" s="53"/>
      <c r="BE1813" s="53"/>
      <c r="BF1813" s="53"/>
      <c r="BG1813" s="53"/>
      <c r="BH1813" s="53"/>
      <c r="BI1813" s="53"/>
      <c r="BJ1813" s="53"/>
      <c r="BK1813" s="53"/>
      <c r="BL1813" s="53"/>
    </row>
    <row r="1814" spans="1:64" s="53" customFormat="1" hidden="1" x14ac:dyDescent="0.25">
      <c r="A1814" s="207">
        <v>750</v>
      </c>
      <c r="B1814" s="208">
        <v>42639</v>
      </c>
      <c r="C1814" s="88">
        <v>103</v>
      </c>
      <c r="D1814" s="88"/>
      <c r="E1814" s="88" t="s">
        <v>26</v>
      </c>
      <c r="F1814" s="88" t="s">
        <v>311</v>
      </c>
      <c r="G1814" s="209">
        <v>42574</v>
      </c>
      <c r="H1814" s="209"/>
      <c r="I1814" s="209">
        <v>42574</v>
      </c>
      <c r="J1814" s="88" t="s">
        <v>235</v>
      </c>
      <c r="K1814" s="210"/>
      <c r="L1814" s="88"/>
      <c r="M1814" s="88">
        <f>IF(L1814&gt;K1814,K1814,L1814)</f>
        <v>0</v>
      </c>
      <c r="N1814" s="211">
        <f>+I1814+15-1</f>
        <v>42588</v>
      </c>
      <c r="O1814" s="88">
        <v>494110</v>
      </c>
      <c r="P1814" s="214">
        <f>(O1814- (O1814*10%))</f>
        <v>444699</v>
      </c>
      <c r="Q1814" s="213">
        <v>42703</v>
      </c>
      <c r="R1814" s="213">
        <v>42703</v>
      </c>
    </row>
    <row r="1815" spans="1:64" s="53" customFormat="1" hidden="1" x14ac:dyDescent="0.25">
      <c r="A1815" s="207">
        <v>751</v>
      </c>
      <c r="B1815" s="208">
        <v>42639</v>
      </c>
      <c r="C1815" s="88">
        <v>103</v>
      </c>
      <c r="D1815" s="88"/>
      <c r="E1815" s="88" t="s">
        <v>26</v>
      </c>
      <c r="F1815" s="88" t="s">
        <v>312</v>
      </c>
      <c r="G1815" s="209">
        <v>42574</v>
      </c>
      <c r="H1815" s="209"/>
      <c r="I1815" s="209">
        <v>42574</v>
      </c>
      <c r="J1815" s="88" t="s">
        <v>235</v>
      </c>
      <c r="K1815" s="210"/>
      <c r="L1815" s="88"/>
      <c r="M1815" s="88">
        <f>IF(L1815&gt;K1815,K1815,L1815)</f>
        <v>0</v>
      </c>
      <c r="N1815" s="211">
        <f>+I1815+15-1</f>
        <v>42588</v>
      </c>
      <c r="O1815" s="88">
        <v>1811765</v>
      </c>
      <c r="P1815" s="214">
        <f>(O1815- (O1815*10%))</f>
        <v>1630588.5</v>
      </c>
      <c r="Q1815" s="213">
        <v>42703</v>
      </c>
      <c r="R1815" s="213">
        <v>42703</v>
      </c>
    </row>
    <row r="1816" spans="1:64" s="53" customFormat="1" hidden="1" x14ac:dyDescent="0.25">
      <c r="A1816" s="207">
        <v>752</v>
      </c>
      <c r="B1816" s="208">
        <v>42639</v>
      </c>
      <c r="C1816" s="88">
        <v>103</v>
      </c>
      <c r="D1816" s="88"/>
      <c r="E1816" s="88" t="s">
        <v>26</v>
      </c>
      <c r="F1816" s="88" t="s">
        <v>313</v>
      </c>
      <c r="G1816" s="209">
        <v>42574</v>
      </c>
      <c r="H1816" s="209"/>
      <c r="I1816" s="209">
        <v>42574</v>
      </c>
      <c r="J1816" s="88" t="s">
        <v>235</v>
      </c>
      <c r="K1816" s="210"/>
      <c r="L1816" s="88"/>
      <c r="M1816" s="88">
        <f>IF(L1816&gt;K1816,K1816,L1816)</f>
        <v>0</v>
      </c>
      <c r="N1816" s="211">
        <f>+I1816+15-1</f>
        <v>42588</v>
      </c>
      <c r="O1816" s="88">
        <v>541267</v>
      </c>
      <c r="P1816" s="214">
        <f>(O1816- (O1816*10%))</f>
        <v>487140.3</v>
      </c>
      <c r="Q1816" s="213">
        <v>42703</v>
      </c>
      <c r="R1816" s="213">
        <v>42703</v>
      </c>
    </row>
    <row r="1817" spans="1:64" s="3" customFormat="1" hidden="1" x14ac:dyDescent="0.25">
      <c r="A1817" s="30">
        <v>968</v>
      </c>
      <c r="B1817" s="204">
        <v>42689</v>
      </c>
      <c r="C1817" s="1">
        <v>114</v>
      </c>
      <c r="D1817" s="1">
        <v>3000035436</v>
      </c>
      <c r="E1817" s="1" t="s">
        <v>37</v>
      </c>
      <c r="F1817" s="1">
        <v>163</v>
      </c>
      <c r="G1817" s="204">
        <v>42668</v>
      </c>
      <c r="H1817" s="204"/>
      <c r="I1817" s="204">
        <v>42671</v>
      </c>
      <c r="J1817" s="1" t="s">
        <v>16</v>
      </c>
      <c r="K1817" s="77">
        <v>18.89</v>
      </c>
      <c r="L1817" s="1">
        <v>18.88</v>
      </c>
      <c r="M1817" s="1">
        <v>18.88</v>
      </c>
      <c r="N1817" s="7">
        <v>42686</v>
      </c>
      <c r="O1817" s="1">
        <v>1006837</v>
      </c>
      <c r="P1817" s="199">
        <v>1006304</v>
      </c>
      <c r="Q1817" s="204">
        <v>42703</v>
      </c>
      <c r="R1817" s="204">
        <v>42704</v>
      </c>
    </row>
    <row r="1818" spans="1:64" s="3" customFormat="1" hidden="1" x14ac:dyDescent="0.25">
      <c r="A1818" s="30">
        <v>979</v>
      </c>
      <c r="B1818" s="204">
        <v>42689</v>
      </c>
      <c r="C1818" s="1">
        <v>114</v>
      </c>
      <c r="D1818" s="1">
        <v>3000034718</v>
      </c>
      <c r="E1818" s="1" t="s">
        <v>18</v>
      </c>
      <c r="F1818" s="1">
        <v>96</v>
      </c>
      <c r="G1818" s="204">
        <v>42664</v>
      </c>
      <c r="H1818" s="204"/>
      <c r="I1818" s="204">
        <v>42671</v>
      </c>
      <c r="J1818" s="1" t="s">
        <v>8</v>
      </c>
      <c r="K1818" s="77">
        <v>28.44</v>
      </c>
      <c r="L1818" s="1">
        <v>28.17</v>
      </c>
      <c r="M1818" s="1">
        <v>28.17</v>
      </c>
      <c r="N1818" s="7">
        <v>42686</v>
      </c>
      <c r="O1818" s="1">
        <v>1663740</v>
      </c>
      <c r="P1818" s="199">
        <v>1647945</v>
      </c>
      <c r="Q1818" s="204">
        <v>42703</v>
      </c>
      <c r="R1818" s="204">
        <v>42704</v>
      </c>
    </row>
    <row r="1819" spans="1:64" s="3" customFormat="1" hidden="1" x14ac:dyDescent="0.25">
      <c r="A1819" s="13">
        <v>990</v>
      </c>
      <c r="B1819" s="204">
        <v>42690</v>
      </c>
      <c r="C1819" s="1">
        <v>114</v>
      </c>
      <c r="D1819" s="1">
        <v>3000035436</v>
      </c>
      <c r="E1819" s="1" t="s">
        <v>37</v>
      </c>
      <c r="F1819" s="1">
        <v>164</v>
      </c>
      <c r="G1819" s="204">
        <v>42668</v>
      </c>
      <c r="H1819" s="205"/>
      <c r="I1819" s="205">
        <v>42672</v>
      </c>
      <c r="J1819" s="1" t="s">
        <v>16</v>
      </c>
      <c r="K1819" s="77">
        <v>18.72</v>
      </c>
      <c r="L1819" s="1">
        <v>18.71</v>
      </c>
      <c r="M1819" s="1">
        <v>18.71</v>
      </c>
      <c r="N1819" s="7">
        <v>42687</v>
      </c>
      <c r="O1819" s="1">
        <v>997776</v>
      </c>
      <c r="P1819" s="199">
        <v>989478</v>
      </c>
      <c r="Q1819" s="204">
        <v>42703</v>
      </c>
      <c r="R1819" s="204">
        <v>42704</v>
      </c>
    </row>
    <row r="1820" spans="1:64" s="3" customFormat="1" hidden="1" x14ac:dyDescent="0.25">
      <c r="A1820" s="30">
        <v>938</v>
      </c>
      <c r="B1820" s="24">
        <v>42683</v>
      </c>
      <c r="C1820" s="1">
        <v>114</v>
      </c>
      <c r="D1820" s="1">
        <v>3000035893</v>
      </c>
      <c r="E1820" s="1" t="s">
        <v>30</v>
      </c>
      <c r="F1820" s="1">
        <v>333</v>
      </c>
      <c r="G1820" s="25">
        <v>42676</v>
      </c>
      <c r="H1820" s="25"/>
      <c r="I1820" s="25">
        <v>42678</v>
      </c>
      <c r="J1820" s="1" t="s">
        <v>229</v>
      </c>
      <c r="K1820" s="77">
        <v>28.55</v>
      </c>
      <c r="L1820" s="1">
        <v>28.42</v>
      </c>
      <c r="M1820" s="1">
        <v>28.42</v>
      </c>
      <c r="N1820" s="7">
        <v>42693</v>
      </c>
      <c r="O1820" s="1">
        <v>1413225</v>
      </c>
      <c r="P1820" s="199">
        <v>1406790</v>
      </c>
      <c r="Q1820" s="204">
        <v>42703</v>
      </c>
      <c r="R1820" s="204">
        <v>42704</v>
      </c>
    </row>
    <row r="1821" spans="1:64" s="3" customFormat="1" hidden="1" x14ac:dyDescent="0.25">
      <c r="A1821" s="30">
        <v>939</v>
      </c>
      <c r="B1821" s="24">
        <v>42683</v>
      </c>
      <c r="C1821" s="1">
        <v>114</v>
      </c>
      <c r="D1821" s="1">
        <v>3000035983</v>
      </c>
      <c r="E1821" s="1" t="s">
        <v>30</v>
      </c>
      <c r="F1821" s="1">
        <v>335</v>
      </c>
      <c r="G1821" s="25">
        <v>42676</v>
      </c>
      <c r="H1821" s="25"/>
      <c r="I1821" s="25">
        <v>42678</v>
      </c>
      <c r="J1821" s="1" t="s">
        <v>229</v>
      </c>
      <c r="K1821" s="77">
        <v>28.66</v>
      </c>
      <c r="L1821" s="1">
        <v>28.55</v>
      </c>
      <c r="M1821" s="1">
        <v>28.55</v>
      </c>
      <c r="N1821" s="7">
        <v>42693</v>
      </c>
      <c r="O1821" s="1">
        <v>1418670</v>
      </c>
      <c r="P1821" s="199">
        <v>1413225</v>
      </c>
      <c r="Q1821" s="204">
        <v>42703</v>
      </c>
      <c r="R1821" s="204">
        <v>42704</v>
      </c>
    </row>
    <row r="1822" spans="1:64" s="3" customFormat="1" hidden="1" x14ac:dyDescent="0.25">
      <c r="A1822" s="30">
        <v>941</v>
      </c>
      <c r="B1822" s="24">
        <v>42683</v>
      </c>
      <c r="C1822" s="1">
        <v>114</v>
      </c>
      <c r="D1822" s="1">
        <v>3000034965</v>
      </c>
      <c r="E1822" s="1" t="s">
        <v>18</v>
      </c>
      <c r="F1822" s="1">
        <v>102</v>
      </c>
      <c r="G1822" s="25">
        <v>42668</v>
      </c>
      <c r="H1822" s="25"/>
      <c r="I1822" s="25">
        <v>42678</v>
      </c>
      <c r="J1822" s="1" t="s">
        <v>16</v>
      </c>
      <c r="K1822" s="77">
        <v>19.649999999999999</v>
      </c>
      <c r="L1822" s="1">
        <v>19.579999999999998</v>
      </c>
      <c r="M1822" s="1">
        <v>19.579999999999998</v>
      </c>
      <c r="N1822" s="7">
        <v>42693</v>
      </c>
      <c r="O1822" s="1">
        <v>1123980</v>
      </c>
      <c r="P1822" s="199">
        <v>1104155</v>
      </c>
      <c r="Q1822" s="204">
        <v>42703</v>
      </c>
      <c r="R1822" s="204">
        <v>42704</v>
      </c>
    </row>
    <row r="1823" spans="1:64" s="3" customFormat="1" hidden="1" x14ac:dyDescent="0.25">
      <c r="A1823" s="30">
        <v>945</v>
      </c>
      <c r="B1823" s="24">
        <v>42684</v>
      </c>
      <c r="C1823" s="1">
        <v>114</v>
      </c>
      <c r="D1823" s="1">
        <v>3000034964</v>
      </c>
      <c r="E1823" s="1" t="s">
        <v>37</v>
      </c>
      <c r="F1823" s="1">
        <v>177</v>
      </c>
      <c r="G1823" s="25">
        <v>42676</v>
      </c>
      <c r="H1823" s="25"/>
      <c r="I1823" s="25">
        <v>42680</v>
      </c>
      <c r="J1823" s="1" t="s">
        <v>16</v>
      </c>
      <c r="K1823" s="77">
        <v>27.24</v>
      </c>
      <c r="L1823" s="1">
        <v>27.14</v>
      </c>
      <c r="M1823" s="1">
        <v>27.14</v>
      </c>
      <c r="N1823" s="7">
        <v>42695</v>
      </c>
      <c r="O1823" s="1">
        <v>1558128</v>
      </c>
      <c r="P1823" s="199">
        <v>1552408</v>
      </c>
      <c r="Q1823" s="204">
        <v>42703</v>
      </c>
      <c r="R1823" s="204">
        <v>42704</v>
      </c>
    </row>
    <row r="1824" spans="1:64" s="3" customFormat="1" hidden="1" x14ac:dyDescent="0.25">
      <c r="A1824" s="30">
        <v>950</v>
      </c>
      <c r="B1824" s="24">
        <v>42685</v>
      </c>
      <c r="C1824" s="1">
        <v>114</v>
      </c>
      <c r="D1824" s="1">
        <v>3000035893</v>
      </c>
      <c r="E1824" s="1" t="s">
        <v>30</v>
      </c>
      <c r="F1824" s="16">
        <v>337</v>
      </c>
      <c r="G1824" s="25">
        <v>42677</v>
      </c>
      <c r="H1824" s="74"/>
      <c r="I1824" s="74">
        <v>42682</v>
      </c>
      <c r="J1824" s="1" t="s">
        <v>229</v>
      </c>
      <c r="K1824" s="77">
        <v>2.68</v>
      </c>
      <c r="L1824" s="1">
        <v>2.68</v>
      </c>
      <c r="M1824" s="1">
        <v>2.68</v>
      </c>
      <c r="N1824" s="7">
        <v>42697</v>
      </c>
      <c r="O1824" s="1">
        <v>132660</v>
      </c>
      <c r="P1824" s="199">
        <v>132660</v>
      </c>
      <c r="Q1824" s="204">
        <v>42703</v>
      </c>
      <c r="R1824" s="204">
        <v>42704</v>
      </c>
    </row>
    <row r="1825" spans="1:19" s="3" customFormat="1" hidden="1" x14ac:dyDescent="0.25">
      <c r="A1825" s="13">
        <v>951</v>
      </c>
      <c r="B1825" s="24">
        <v>42685</v>
      </c>
      <c r="C1825" s="1">
        <v>114</v>
      </c>
      <c r="D1825" s="1">
        <v>3000035895</v>
      </c>
      <c r="E1825" s="1" t="s">
        <v>30</v>
      </c>
      <c r="F1825" s="16">
        <v>337</v>
      </c>
      <c r="G1825" s="25">
        <v>42677</v>
      </c>
      <c r="H1825" s="74"/>
      <c r="I1825" s="74">
        <v>42682</v>
      </c>
      <c r="J1825" s="1" t="s">
        <v>229</v>
      </c>
      <c r="K1825" s="77">
        <v>26.09</v>
      </c>
      <c r="L1825" s="1">
        <v>25.98</v>
      </c>
      <c r="M1825" s="1">
        <v>25.98</v>
      </c>
      <c r="N1825" s="7">
        <v>42697</v>
      </c>
      <c r="O1825" s="1">
        <v>1291455</v>
      </c>
      <c r="P1825" s="199">
        <v>1286010</v>
      </c>
      <c r="Q1825" s="204">
        <v>42703</v>
      </c>
      <c r="R1825" s="204">
        <v>42704</v>
      </c>
    </row>
    <row r="1826" spans="1:19" s="3" customFormat="1" hidden="1" x14ac:dyDescent="0.25">
      <c r="A1826" s="13">
        <v>952</v>
      </c>
      <c r="B1826" s="24">
        <v>42685</v>
      </c>
      <c r="C1826" s="1">
        <v>114</v>
      </c>
      <c r="D1826" s="1">
        <v>3000035895</v>
      </c>
      <c r="E1826" s="1" t="s">
        <v>30</v>
      </c>
      <c r="F1826" s="1">
        <v>344</v>
      </c>
      <c r="G1826" s="25">
        <v>42680</v>
      </c>
      <c r="H1826" s="74"/>
      <c r="I1826" s="74">
        <v>42682</v>
      </c>
      <c r="J1826" s="1" t="s">
        <v>229</v>
      </c>
      <c r="K1826" s="77">
        <v>29.06</v>
      </c>
      <c r="L1826" s="1">
        <v>28.9</v>
      </c>
      <c r="M1826" s="1">
        <v>28.9</v>
      </c>
      <c r="N1826" s="7">
        <v>42697</v>
      </c>
      <c r="O1826" s="1">
        <v>1438470</v>
      </c>
      <c r="P1826" s="199">
        <v>1430550</v>
      </c>
      <c r="Q1826" s="204">
        <v>42703</v>
      </c>
      <c r="R1826" s="204">
        <v>42704</v>
      </c>
    </row>
    <row r="1827" spans="1:19" s="3" customFormat="1" hidden="1" x14ac:dyDescent="0.25">
      <c r="A1827" s="13">
        <v>977</v>
      </c>
      <c r="B1827" s="204">
        <v>42689</v>
      </c>
      <c r="C1827" s="1">
        <v>114</v>
      </c>
      <c r="D1827" s="1">
        <v>3000033893</v>
      </c>
      <c r="E1827" s="1" t="s">
        <v>18</v>
      </c>
      <c r="F1827" s="1">
        <v>92</v>
      </c>
      <c r="G1827" s="204">
        <v>42649</v>
      </c>
      <c r="H1827" s="205"/>
      <c r="I1827" s="205">
        <v>42683</v>
      </c>
      <c r="J1827" s="1" t="s">
        <v>16</v>
      </c>
      <c r="K1827" s="77">
        <v>9.58</v>
      </c>
      <c r="L1827" s="1">
        <v>9.58</v>
      </c>
      <c r="M1827" s="1">
        <v>9.58</v>
      </c>
      <c r="N1827" s="7">
        <v>42698</v>
      </c>
      <c r="O1827" s="1">
        <v>476126</v>
      </c>
      <c r="P1827" s="199">
        <v>476126</v>
      </c>
      <c r="Q1827" s="204">
        <v>42703</v>
      </c>
      <c r="R1827" s="204">
        <v>42704</v>
      </c>
    </row>
    <row r="1828" spans="1:19" s="3" customFormat="1" hidden="1" x14ac:dyDescent="0.25">
      <c r="A1828" s="13">
        <v>978</v>
      </c>
      <c r="B1828" s="204">
        <v>42689</v>
      </c>
      <c r="C1828" s="1">
        <v>114</v>
      </c>
      <c r="D1828" s="1">
        <v>3000034726</v>
      </c>
      <c r="E1828" s="1" t="s">
        <v>18</v>
      </c>
      <c r="F1828" s="1">
        <v>92</v>
      </c>
      <c r="G1828" s="204">
        <v>42649</v>
      </c>
      <c r="H1828" s="205"/>
      <c r="I1828" s="205">
        <v>42683</v>
      </c>
      <c r="J1828" s="1" t="s">
        <v>16</v>
      </c>
      <c r="K1828" s="77">
        <v>18.8</v>
      </c>
      <c r="L1828" s="1">
        <v>18.690000000000001</v>
      </c>
      <c r="M1828" s="1">
        <v>18.690000000000001</v>
      </c>
      <c r="N1828" s="7">
        <v>42698</v>
      </c>
      <c r="O1828" s="1">
        <v>1071600</v>
      </c>
      <c r="P1828" s="199">
        <v>1065330</v>
      </c>
      <c r="Q1828" s="204">
        <v>42703</v>
      </c>
      <c r="R1828" s="204">
        <v>42704</v>
      </c>
    </row>
    <row r="1829" spans="1:19" s="3" customFormat="1" hidden="1" x14ac:dyDescent="0.25">
      <c r="A1829" s="13">
        <v>985</v>
      </c>
      <c r="B1829" s="204">
        <v>42689</v>
      </c>
      <c r="C1829" s="1">
        <v>114</v>
      </c>
      <c r="D1829" s="1">
        <v>3000035153</v>
      </c>
      <c r="E1829" s="1" t="s">
        <v>49</v>
      </c>
      <c r="F1829" s="1">
        <v>33</v>
      </c>
      <c r="G1829" s="204">
        <v>42679</v>
      </c>
      <c r="H1829" s="205"/>
      <c r="I1829" s="205">
        <v>42683</v>
      </c>
      <c r="J1829" s="1" t="s">
        <v>8</v>
      </c>
      <c r="K1829" s="77">
        <v>29.204999999999998</v>
      </c>
      <c r="L1829" s="1">
        <v>29.01</v>
      </c>
      <c r="M1829" s="1">
        <v>29.01</v>
      </c>
      <c r="N1829" s="7">
        <v>42698</v>
      </c>
      <c r="O1829" s="1">
        <v>1664685</v>
      </c>
      <c r="P1829" s="199">
        <v>1653570</v>
      </c>
      <c r="Q1829" s="204">
        <v>42703</v>
      </c>
      <c r="R1829" s="204">
        <v>42704</v>
      </c>
    </row>
    <row r="1830" spans="1:19" s="3" customFormat="1" hidden="1" x14ac:dyDescent="0.25">
      <c r="A1830" s="13">
        <v>980</v>
      </c>
      <c r="B1830" s="204">
        <v>42689</v>
      </c>
      <c r="C1830" s="1">
        <v>114</v>
      </c>
      <c r="D1830" s="1">
        <v>3000035793</v>
      </c>
      <c r="E1830" s="1" t="s">
        <v>180</v>
      </c>
      <c r="F1830" s="1">
        <v>295</v>
      </c>
      <c r="G1830" s="204">
        <v>42667</v>
      </c>
      <c r="H1830" s="205"/>
      <c r="I1830" s="205">
        <v>42684</v>
      </c>
      <c r="J1830" s="1" t="s">
        <v>61</v>
      </c>
      <c r="K1830" s="77">
        <v>24.09</v>
      </c>
      <c r="L1830" s="1">
        <v>24.09</v>
      </c>
      <c r="M1830" s="1">
        <v>24.09</v>
      </c>
      <c r="N1830" s="7">
        <v>42704</v>
      </c>
      <c r="O1830" s="1">
        <v>2384910</v>
      </c>
      <c r="P1830" s="206">
        <v>2384910</v>
      </c>
      <c r="Q1830" s="204">
        <v>42703</v>
      </c>
      <c r="R1830" s="204">
        <v>42704</v>
      </c>
    </row>
    <row r="1831" spans="1:19" s="3" customFormat="1" hidden="1" x14ac:dyDescent="0.25">
      <c r="A1831" s="212">
        <v>1008</v>
      </c>
      <c r="B1831" s="204">
        <v>42697</v>
      </c>
      <c r="C1831" s="1">
        <v>114</v>
      </c>
      <c r="D1831" s="1">
        <v>3000035065</v>
      </c>
      <c r="E1831" s="1" t="s">
        <v>18</v>
      </c>
      <c r="F1831" s="1">
        <v>120</v>
      </c>
      <c r="G1831" s="204">
        <v>42685</v>
      </c>
      <c r="H1831" s="205"/>
      <c r="I1831" s="205">
        <v>42689</v>
      </c>
      <c r="J1831" s="1" t="s">
        <v>8</v>
      </c>
      <c r="K1831" s="77">
        <v>20.09</v>
      </c>
      <c r="L1831" s="1">
        <v>20</v>
      </c>
      <c r="M1831" s="1">
        <v>20</v>
      </c>
      <c r="N1831" s="7">
        <v>42704</v>
      </c>
      <c r="O1831" s="1">
        <v>1157184</v>
      </c>
      <c r="P1831" s="199">
        <v>1152000</v>
      </c>
      <c r="Q1831" s="204">
        <v>42703</v>
      </c>
      <c r="R1831" s="204">
        <v>42704</v>
      </c>
    </row>
    <row r="1832" spans="1:19" s="3" customFormat="1" hidden="1" x14ac:dyDescent="0.25">
      <c r="A1832" s="201">
        <v>959</v>
      </c>
      <c r="B1832" s="194">
        <v>42685</v>
      </c>
      <c r="C1832" s="58">
        <v>114</v>
      </c>
      <c r="D1832" s="58">
        <v>3000031775</v>
      </c>
      <c r="E1832" s="58" t="s">
        <v>15</v>
      </c>
      <c r="F1832" s="58">
        <v>3190</v>
      </c>
      <c r="G1832" s="195">
        <v>42671</v>
      </c>
      <c r="H1832" s="195"/>
      <c r="I1832" s="195">
        <v>42680</v>
      </c>
      <c r="J1832" s="58" t="s">
        <v>16</v>
      </c>
      <c r="K1832" s="196">
        <v>26.67</v>
      </c>
      <c r="L1832" s="58">
        <v>26.44</v>
      </c>
      <c r="M1832" s="58">
        <v>26.44</v>
      </c>
      <c r="N1832" s="197">
        <v>42695</v>
      </c>
      <c r="O1832" s="58">
        <v>1325499</v>
      </c>
      <c r="P1832" s="200">
        <v>1314068</v>
      </c>
      <c r="Q1832" s="204">
        <v>42703</v>
      </c>
      <c r="R1832" s="204">
        <v>42703</v>
      </c>
    </row>
    <row r="1833" spans="1:19" s="3" customFormat="1" hidden="1" x14ac:dyDescent="0.25">
      <c r="A1833" s="30">
        <v>630</v>
      </c>
      <c r="B1833" s="24">
        <v>42607</v>
      </c>
      <c r="C1833" s="1">
        <v>114</v>
      </c>
      <c r="D1833" s="1">
        <v>3000030839</v>
      </c>
      <c r="E1833" s="1" t="s">
        <v>39</v>
      </c>
      <c r="F1833" s="1">
        <v>34</v>
      </c>
      <c r="G1833" s="25">
        <v>42594</v>
      </c>
      <c r="H1833" s="25"/>
      <c r="I1833" s="25">
        <v>42602</v>
      </c>
      <c r="J1833" s="1" t="s">
        <v>16</v>
      </c>
      <c r="K1833" s="77">
        <v>31.29</v>
      </c>
      <c r="L1833" s="1">
        <v>31.16</v>
      </c>
      <c r="M1833" s="1">
        <f t="shared" ref="M1833:M1839" si="217">IF(L1833&gt;K1833,K1833,L1833)</f>
        <v>31.16</v>
      </c>
      <c r="N1833" s="7">
        <f>+I1833+15-1</f>
        <v>42616</v>
      </c>
      <c r="O1833" s="75">
        <v>1580145</v>
      </c>
      <c r="P1833" s="26">
        <f t="shared" ref="P1833:P1840" si="218">(+O1833/K1833*M1833)</f>
        <v>1573580</v>
      </c>
      <c r="Q1833" s="204">
        <v>42710</v>
      </c>
      <c r="R1833" s="204">
        <v>42712</v>
      </c>
    </row>
    <row r="1834" spans="1:19" s="65" customFormat="1" hidden="1" x14ac:dyDescent="0.25">
      <c r="A1834" s="146">
        <v>881</v>
      </c>
      <c r="B1834" s="60">
        <v>42662</v>
      </c>
      <c r="C1834" s="18">
        <v>114</v>
      </c>
      <c r="D1834" s="18">
        <v>3000034721</v>
      </c>
      <c r="E1834" s="18" t="s">
        <v>27</v>
      </c>
      <c r="F1834" s="154">
        <v>908</v>
      </c>
      <c r="G1834" s="61">
        <v>42656</v>
      </c>
      <c r="H1834" s="61"/>
      <c r="I1834" s="61">
        <v>42659</v>
      </c>
      <c r="J1834" s="18" t="s">
        <v>8</v>
      </c>
      <c r="K1834" s="149">
        <v>28.195</v>
      </c>
      <c r="L1834" s="18">
        <v>28.1</v>
      </c>
      <c r="M1834" s="18">
        <f t="shared" si="217"/>
        <v>28.1</v>
      </c>
      <c r="N1834" s="62">
        <f>+I1834+15-'V V F India Out Standing'!O1100</f>
        <v>42674</v>
      </c>
      <c r="O1834" s="146">
        <v>1649408</v>
      </c>
      <c r="P1834" s="38">
        <f t="shared" si="218"/>
        <v>1643850.4983153041</v>
      </c>
      <c r="Q1834" s="204">
        <v>42710</v>
      </c>
      <c r="R1834" s="204">
        <v>42712</v>
      </c>
      <c r="S1834" s="113"/>
    </row>
    <row r="1835" spans="1:19" s="65" customFormat="1" hidden="1" x14ac:dyDescent="0.25">
      <c r="A1835" s="146">
        <v>882</v>
      </c>
      <c r="B1835" s="60">
        <v>42662</v>
      </c>
      <c r="C1835" s="18">
        <v>114</v>
      </c>
      <c r="D1835" s="18">
        <v>3000035062</v>
      </c>
      <c r="E1835" s="18" t="s">
        <v>27</v>
      </c>
      <c r="F1835" s="154">
        <v>908</v>
      </c>
      <c r="G1835" s="61">
        <v>42656</v>
      </c>
      <c r="H1835" s="61"/>
      <c r="I1835" s="61">
        <v>42659</v>
      </c>
      <c r="J1835" s="18" t="s">
        <v>8</v>
      </c>
      <c r="K1835" s="149">
        <v>1.54</v>
      </c>
      <c r="L1835" s="18">
        <v>1.54</v>
      </c>
      <c r="M1835" s="18">
        <f t="shared" si="217"/>
        <v>1.54</v>
      </c>
      <c r="N1835" s="62">
        <f>+I1835+15-'V V F India Out Standing'!O1101</f>
        <v>42674</v>
      </c>
      <c r="O1835" s="146">
        <v>88704</v>
      </c>
      <c r="P1835" s="38">
        <f t="shared" si="218"/>
        <v>88704</v>
      </c>
      <c r="Q1835" s="204">
        <v>42710</v>
      </c>
      <c r="R1835" s="204">
        <v>42712</v>
      </c>
      <c r="S1835" s="113"/>
    </row>
    <row r="1836" spans="1:19" s="65" customFormat="1" hidden="1" x14ac:dyDescent="0.25">
      <c r="A1836" s="146">
        <v>883</v>
      </c>
      <c r="B1836" s="60">
        <v>42662</v>
      </c>
      <c r="C1836" s="18">
        <v>114</v>
      </c>
      <c r="D1836" s="18">
        <v>3000034348</v>
      </c>
      <c r="E1836" s="18" t="s">
        <v>44</v>
      </c>
      <c r="F1836" s="154">
        <v>64</v>
      </c>
      <c r="G1836" s="61">
        <v>42653</v>
      </c>
      <c r="H1836" s="61"/>
      <c r="I1836" s="61">
        <v>42660</v>
      </c>
      <c r="J1836" s="18" t="s">
        <v>8</v>
      </c>
      <c r="K1836" s="149">
        <v>4.4000000000000004</v>
      </c>
      <c r="L1836" s="18">
        <v>4.4000000000000004</v>
      </c>
      <c r="M1836" s="18">
        <f t="shared" si="217"/>
        <v>4.4000000000000004</v>
      </c>
      <c r="N1836" s="62">
        <f>+I1836+15-'V V F India Out Standing'!O1102</f>
        <v>42675</v>
      </c>
      <c r="O1836" s="146">
        <v>253000</v>
      </c>
      <c r="P1836" s="38">
        <f t="shared" si="218"/>
        <v>253000</v>
      </c>
      <c r="Q1836" s="204">
        <v>42710</v>
      </c>
      <c r="R1836" s="204">
        <v>42712</v>
      </c>
      <c r="S1836" s="113"/>
    </row>
    <row r="1837" spans="1:19" s="65" customFormat="1" hidden="1" x14ac:dyDescent="0.25">
      <c r="A1837" s="146">
        <v>884</v>
      </c>
      <c r="B1837" s="60">
        <v>42662</v>
      </c>
      <c r="C1837" s="18">
        <v>114</v>
      </c>
      <c r="D1837" s="18">
        <v>3000034723</v>
      </c>
      <c r="E1837" s="18" t="s">
        <v>44</v>
      </c>
      <c r="F1837" s="154">
        <v>64</v>
      </c>
      <c r="G1837" s="61">
        <v>42653</v>
      </c>
      <c r="H1837" s="61"/>
      <c r="I1837" s="61">
        <v>42660</v>
      </c>
      <c r="J1837" s="18" t="s">
        <v>8</v>
      </c>
      <c r="K1837" s="149">
        <v>14.25</v>
      </c>
      <c r="L1837" s="18">
        <v>14.14</v>
      </c>
      <c r="M1837" s="18">
        <f t="shared" si="217"/>
        <v>14.14</v>
      </c>
      <c r="N1837" s="62">
        <f>+I1837+15-'V V F India Out Standing'!O1103</f>
        <v>42675</v>
      </c>
      <c r="O1837" s="146">
        <v>833625</v>
      </c>
      <c r="P1837" s="38">
        <f t="shared" si="218"/>
        <v>827190</v>
      </c>
      <c r="Q1837" s="204">
        <v>42710</v>
      </c>
      <c r="R1837" s="204">
        <v>42712</v>
      </c>
      <c r="S1837" s="113"/>
    </row>
    <row r="1838" spans="1:19" s="65" customFormat="1" hidden="1" x14ac:dyDescent="0.25">
      <c r="A1838" s="146">
        <v>885</v>
      </c>
      <c r="B1838" s="60">
        <v>42662</v>
      </c>
      <c r="C1838" s="18">
        <v>114</v>
      </c>
      <c r="D1838" s="18">
        <v>3000035088</v>
      </c>
      <c r="E1838" s="18" t="s">
        <v>30</v>
      </c>
      <c r="F1838" s="18">
        <v>302</v>
      </c>
      <c r="G1838" s="61">
        <v>42656</v>
      </c>
      <c r="H1838" s="61"/>
      <c r="I1838" s="61">
        <v>42660</v>
      </c>
      <c r="J1838" s="18" t="s">
        <v>229</v>
      </c>
      <c r="K1838" s="149">
        <v>28.5</v>
      </c>
      <c r="L1838" s="18">
        <v>28.39</v>
      </c>
      <c r="M1838" s="18">
        <f t="shared" si="217"/>
        <v>28.39</v>
      </c>
      <c r="N1838" s="62">
        <f>+I1838+15-'V V F India Out Standing'!O1104</f>
        <v>42675</v>
      </c>
      <c r="O1838" s="146">
        <v>1524751</v>
      </c>
      <c r="P1838" s="38">
        <f t="shared" si="218"/>
        <v>1518865.9961403508</v>
      </c>
      <c r="Q1838" s="204">
        <v>42710</v>
      </c>
      <c r="R1838" s="204">
        <v>42712</v>
      </c>
      <c r="S1838" s="113"/>
    </row>
    <row r="1839" spans="1:19" s="3" customFormat="1" hidden="1" x14ac:dyDescent="0.25">
      <c r="A1839" s="30">
        <v>949</v>
      </c>
      <c r="B1839" s="24">
        <v>42685</v>
      </c>
      <c r="C1839" s="1">
        <v>114</v>
      </c>
      <c r="D1839" s="1">
        <v>3000033786</v>
      </c>
      <c r="E1839" s="1" t="s">
        <v>15</v>
      </c>
      <c r="F1839" s="1">
        <v>3207</v>
      </c>
      <c r="G1839" s="25">
        <v>42676</v>
      </c>
      <c r="H1839" s="74"/>
      <c r="I1839" s="74">
        <v>42682</v>
      </c>
      <c r="J1839" s="1" t="s">
        <v>8</v>
      </c>
      <c r="K1839" s="77">
        <v>29.07</v>
      </c>
      <c r="L1839" s="1">
        <v>28.96</v>
      </c>
      <c r="M1839" s="1">
        <f t="shared" si="217"/>
        <v>28.96</v>
      </c>
      <c r="N1839" s="7">
        <f>+I1839+15-'V V F India Out Standing'!O1180</f>
        <v>42697</v>
      </c>
      <c r="O1839" s="75">
        <v>1656990</v>
      </c>
      <c r="P1839" s="26">
        <f t="shared" si="218"/>
        <v>1650720</v>
      </c>
      <c r="Q1839" s="204">
        <v>42710</v>
      </c>
      <c r="R1839" s="204">
        <v>42712</v>
      </c>
    </row>
    <row r="1840" spans="1:19" s="3" customFormat="1" hidden="1" x14ac:dyDescent="0.25">
      <c r="A1840" s="13">
        <v>991</v>
      </c>
      <c r="B1840" s="204">
        <v>42692</v>
      </c>
      <c r="C1840" s="1">
        <v>114</v>
      </c>
      <c r="D1840" s="1">
        <v>3000035153</v>
      </c>
      <c r="E1840" s="1" t="s">
        <v>49</v>
      </c>
      <c r="F1840" s="1">
        <v>35</v>
      </c>
      <c r="G1840" s="204">
        <v>42682</v>
      </c>
      <c r="H1840" s="205"/>
      <c r="I1840" s="205">
        <v>42686</v>
      </c>
      <c r="J1840" s="1" t="s">
        <v>8</v>
      </c>
      <c r="K1840" s="77">
        <v>29.33</v>
      </c>
      <c r="L1840" s="1">
        <v>29.15</v>
      </c>
      <c r="M1840" s="1">
        <v>29.15</v>
      </c>
      <c r="N1840" s="7">
        <f>+I1840+15-'V V F India Out Standing'!O1191</f>
        <v>42701</v>
      </c>
      <c r="O1840" s="75">
        <v>1671810</v>
      </c>
      <c r="P1840" s="26">
        <f t="shared" si="218"/>
        <v>1661550</v>
      </c>
      <c r="Q1840" s="204">
        <v>42710</v>
      </c>
      <c r="R1840" s="204">
        <v>42712</v>
      </c>
    </row>
    <row r="1841" spans="1:21" s="3" customFormat="1" hidden="1" x14ac:dyDescent="0.25">
      <c r="A1841" s="212">
        <v>1050</v>
      </c>
      <c r="B1841" s="204">
        <v>42710</v>
      </c>
      <c r="C1841" s="1">
        <v>114</v>
      </c>
      <c r="D1841" s="1">
        <v>3200031673</v>
      </c>
      <c r="E1841" s="1" t="s">
        <v>356</v>
      </c>
      <c r="F1841" s="1">
        <v>308</v>
      </c>
      <c r="G1841" s="204">
        <v>42689</v>
      </c>
      <c r="H1841" s="205"/>
      <c r="I1841" s="205">
        <v>42689</v>
      </c>
      <c r="J1841" s="1" t="s">
        <v>357</v>
      </c>
      <c r="K1841" s="77"/>
      <c r="L1841" s="1"/>
      <c r="M1841" s="1"/>
      <c r="N1841" s="62">
        <f>+I1841+15-1</f>
        <v>42703</v>
      </c>
      <c r="O1841" s="75">
        <v>471155</v>
      </c>
      <c r="P1841" s="38">
        <v>409700</v>
      </c>
      <c r="Q1841" s="204">
        <v>42710</v>
      </c>
      <c r="R1841" s="204">
        <v>42712</v>
      </c>
    </row>
    <row r="1842" spans="1:21" s="3" customFormat="1" hidden="1" x14ac:dyDescent="0.25">
      <c r="A1842" s="212">
        <v>1011</v>
      </c>
      <c r="B1842" s="204">
        <v>42697</v>
      </c>
      <c r="C1842" s="1">
        <v>114</v>
      </c>
      <c r="D1842" s="1">
        <v>3000034718</v>
      </c>
      <c r="E1842" s="1" t="s">
        <v>18</v>
      </c>
      <c r="F1842" s="1">
        <v>122</v>
      </c>
      <c r="G1842" s="204">
        <v>42686</v>
      </c>
      <c r="H1842" s="205"/>
      <c r="I1842" s="205">
        <v>42690</v>
      </c>
      <c r="J1842" s="1" t="s">
        <v>8</v>
      </c>
      <c r="K1842" s="77">
        <v>3.56</v>
      </c>
      <c r="L1842" s="1">
        <v>3.51</v>
      </c>
      <c r="M1842" s="1">
        <v>3.51</v>
      </c>
      <c r="N1842" s="7">
        <f>+I1842+15-'V V F India Out Standing'!O1216</f>
        <v>42705</v>
      </c>
      <c r="O1842" s="75">
        <v>208260</v>
      </c>
      <c r="P1842" s="26">
        <f t="shared" ref="P1842:P1853" si="219">(+O1842/K1842*M1842)</f>
        <v>205335</v>
      </c>
      <c r="Q1842" s="204">
        <v>42710</v>
      </c>
      <c r="R1842" s="204">
        <v>42712</v>
      </c>
    </row>
    <row r="1843" spans="1:21" s="3" customFormat="1" hidden="1" x14ac:dyDescent="0.25">
      <c r="A1843" s="212">
        <v>1012</v>
      </c>
      <c r="B1843" s="204">
        <v>42697</v>
      </c>
      <c r="C1843" s="1">
        <v>114</v>
      </c>
      <c r="D1843" s="1">
        <v>3000035065</v>
      </c>
      <c r="E1843" s="1" t="s">
        <v>18</v>
      </c>
      <c r="F1843" s="1">
        <v>122</v>
      </c>
      <c r="G1843" s="204">
        <v>42686</v>
      </c>
      <c r="H1843" s="205"/>
      <c r="I1843" s="205">
        <v>42690</v>
      </c>
      <c r="J1843" s="1" t="s">
        <v>8</v>
      </c>
      <c r="K1843" s="77">
        <v>16.690000000000001</v>
      </c>
      <c r="L1843" s="1">
        <v>16.690000000000001</v>
      </c>
      <c r="M1843" s="1">
        <v>16.690000000000001</v>
      </c>
      <c r="N1843" s="7">
        <f>+I1843+15-'V V F India Out Standing'!O1217</f>
        <v>42705</v>
      </c>
      <c r="O1843" s="75">
        <v>961344</v>
      </c>
      <c r="P1843" s="26">
        <f t="shared" si="219"/>
        <v>961344</v>
      </c>
      <c r="Q1843" s="204">
        <v>42710</v>
      </c>
      <c r="R1843" s="204">
        <v>42712</v>
      </c>
    </row>
    <row r="1844" spans="1:21" s="3" customFormat="1" hidden="1" x14ac:dyDescent="0.25">
      <c r="A1844" s="212">
        <v>1013</v>
      </c>
      <c r="B1844" s="204">
        <v>42697</v>
      </c>
      <c r="C1844" s="1">
        <v>114</v>
      </c>
      <c r="D1844" s="1">
        <v>3000035065</v>
      </c>
      <c r="E1844" s="1" t="s">
        <v>18</v>
      </c>
      <c r="F1844" s="1">
        <v>123</v>
      </c>
      <c r="G1844" s="204">
        <v>42686</v>
      </c>
      <c r="H1844" s="204"/>
      <c r="I1844" s="204">
        <v>42690</v>
      </c>
      <c r="J1844" s="1" t="s">
        <v>8</v>
      </c>
      <c r="K1844" s="77">
        <v>19.489999999999998</v>
      </c>
      <c r="L1844" s="1">
        <v>19.440000000000001</v>
      </c>
      <c r="M1844" s="1">
        <v>19.440000000000001</v>
      </c>
      <c r="N1844" s="7">
        <f>+I1844+15-'V V F India Out Standing'!O1218</f>
        <v>42705</v>
      </c>
      <c r="O1844" s="75">
        <v>1122624</v>
      </c>
      <c r="P1844" s="26">
        <f t="shared" si="219"/>
        <v>1119744.0000000002</v>
      </c>
      <c r="Q1844" s="204">
        <v>42710</v>
      </c>
      <c r="R1844" s="204">
        <v>42712</v>
      </c>
    </row>
    <row r="1845" spans="1:21" s="3" customFormat="1" hidden="1" x14ac:dyDescent="0.25">
      <c r="A1845" s="212">
        <v>1001</v>
      </c>
      <c r="B1845" s="204">
        <v>42695</v>
      </c>
      <c r="C1845" s="1">
        <v>114</v>
      </c>
      <c r="D1845" s="1">
        <v>3000035918</v>
      </c>
      <c r="E1845" s="1" t="s">
        <v>202</v>
      </c>
      <c r="F1845" s="1">
        <v>186</v>
      </c>
      <c r="G1845" s="204">
        <v>42676</v>
      </c>
      <c r="H1845" s="205"/>
      <c r="I1845" s="205">
        <v>42688</v>
      </c>
      <c r="J1845" s="1" t="s">
        <v>61</v>
      </c>
      <c r="K1845" s="77">
        <v>20.32</v>
      </c>
      <c r="L1845" s="1">
        <v>20.23</v>
      </c>
      <c r="M1845" s="1">
        <v>20.23</v>
      </c>
      <c r="N1845" s="7">
        <f>+I1845+20-'V V F India Out Standing'!O1224</f>
        <v>42708</v>
      </c>
      <c r="O1845" s="75">
        <v>2021840</v>
      </c>
      <c r="P1845" s="26">
        <f t="shared" si="219"/>
        <v>2012885</v>
      </c>
      <c r="Q1845" s="204">
        <v>42710</v>
      </c>
      <c r="R1845" s="204">
        <v>42712</v>
      </c>
    </row>
    <row r="1846" spans="1:21" s="3" customFormat="1" hidden="1" x14ac:dyDescent="0.25">
      <c r="A1846" s="212">
        <v>1021</v>
      </c>
      <c r="B1846" s="204">
        <v>42697</v>
      </c>
      <c r="C1846" s="1">
        <v>114</v>
      </c>
      <c r="D1846" s="1">
        <v>3000036156</v>
      </c>
      <c r="E1846" s="1" t="s">
        <v>158</v>
      </c>
      <c r="F1846" s="1">
        <v>125</v>
      </c>
      <c r="G1846" s="204">
        <v>42683</v>
      </c>
      <c r="H1846" s="205"/>
      <c r="I1846" s="205">
        <v>42693</v>
      </c>
      <c r="J1846" s="1" t="s">
        <v>61</v>
      </c>
      <c r="K1846" s="77">
        <v>20.13</v>
      </c>
      <c r="L1846" s="1">
        <v>20</v>
      </c>
      <c r="M1846" s="1">
        <v>20</v>
      </c>
      <c r="N1846" s="211">
        <f>+I1846+20-1</f>
        <v>42712</v>
      </c>
      <c r="O1846" s="207">
        <v>2002935</v>
      </c>
      <c r="P1846" s="26">
        <f t="shared" si="219"/>
        <v>1990000</v>
      </c>
      <c r="Q1846" s="204">
        <v>42710</v>
      </c>
      <c r="R1846" s="204">
        <v>42712</v>
      </c>
    </row>
    <row r="1847" spans="1:21" s="3" customFormat="1" hidden="1" x14ac:dyDescent="0.25">
      <c r="A1847" s="212">
        <v>1040</v>
      </c>
      <c r="B1847" s="204">
        <v>42706</v>
      </c>
      <c r="C1847" s="1">
        <v>103</v>
      </c>
      <c r="D1847" s="1">
        <v>3000035774</v>
      </c>
      <c r="E1847" s="1" t="s">
        <v>355</v>
      </c>
      <c r="F1847" s="1">
        <v>300</v>
      </c>
      <c r="G1847" s="204">
        <v>42698</v>
      </c>
      <c r="H1847" s="205"/>
      <c r="I1847" s="205">
        <v>42699</v>
      </c>
      <c r="J1847" s="1" t="s">
        <v>16</v>
      </c>
      <c r="K1847" s="77">
        <v>25.93</v>
      </c>
      <c r="L1847" s="1">
        <v>25.93</v>
      </c>
      <c r="M1847" s="1">
        <v>25.93</v>
      </c>
      <c r="N1847" s="204">
        <f>G1847+20</f>
        <v>42718</v>
      </c>
      <c r="O1847" s="75">
        <v>1406929</v>
      </c>
      <c r="P1847" s="26">
        <f t="shared" si="219"/>
        <v>1406929</v>
      </c>
      <c r="Q1847" s="204">
        <v>42710</v>
      </c>
      <c r="R1847" s="204">
        <v>42712</v>
      </c>
      <c r="S1847" s="15" t="s">
        <v>366</v>
      </c>
      <c r="T1847" s="15"/>
      <c r="U1847" s="15"/>
    </row>
    <row r="1848" spans="1:21" s="3" customFormat="1" hidden="1" x14ac:dyDescent="0.25">
      <c r="A1848" s="212">
        <v>1025</v>
      </c>
      <c r="B1848" s="204">
        <v>42702</v>
      </c>
      <c r="C1848" s="1">
        <v>116</v>
      </c>
      <c r="D1848" s="1">
        <v>3000036529</v>
      </c>
      <c r="E1848" s="1" t="s">
        <v>353</v>
      </c>
      <c r="F1848" s="1">
        <v>15</v>
      </c>
      <c r="G1848" s="204">
        <v>42689</v>
      </c>
      <c r="H1848" s="205"/>
      <c r="I1848" s="205">
        <v>42698</v>
      </c>
      <c r="J1848" s="1" t="s">
        <v>232</v>
      </c>
      <c r="K1848" s="77">
        <v>23.52</v>
      </c>
      <c r="L1848" s="1">
        <v>23.47</v>
      </c>
      <c r="M1848" s="1">
        <v>23.52</v>
      </c>
      <c r="N1848" s="62">
        <f>+G1848+15-1</f>
        <v>42703</v>
      </c>
      <c r="O1848" s="18">
        <v>1907237</v>
      </c>
      <c r="P1848" s="38">
        <f t="shared" si="219"/>
        <v>1907237</v>
      </c>
      <c r="Q1848" s="204">
        <v>42703</v>
      </c>
    </row>
    <row r="1849" spans="1:21" s="260" customFormat="1" hidden="1" x14ac:dyDescent="0.25">
      <c r="A1849" s="109">
        <v>870</v>
      </c>
      <c r="B1849" s="110">
        <v>42656</v>
      </c>
      <c r="C1849" s="63">
        <v>103</v>
      </c>
      <c r="D1849" s="63">
        <v>3000032224</v>
      </c>
      <c r="E1849" s="63" t="s">
        <v>192</v>
      </c>
      <c r="F1849" s="63">
        <v>30</v>
      </c>
      <c r="G1849" s="111">
        <v>42648</v>
      </c>
      <c r="H1849" s="111"/>
      <c r="I1849" s="111">
        <v>42653</v>
      </c>
      <c r="J1849" s="63" t="s">
        <v>61</v>
      </c>
      <c r="K1849" s="113">
        <v>20.18</v>
      </c>
      <c r="L1849" s="63">
        <v>20.149999999999999</v>
      </c>
      <c r="M1849" s="63">
        <f>IF(L1849&gt;K1849,K1849,L1849)</f>
        <v>20.149999999999999</v>
      </c>
      <c r="N1849" s="66">
        <f>+I1849+20-1</f>
        <v>42672</v>
      </c>
      <c r="O1849" s="109">
        <v>1574040</v>
      </c>
      <c r="P1849" s="38">
        <f t="shared" si="219"/>
        <v>1571700</v>
      </c>
      <c r="Q1849" s="258">
        <v>42718</v>
      </c>
      <c r="R1849" s="258">
        <v>42719</v>
      </c>
      <c r="S1849" s="230">
        <f>R1849-N1849</f>
        <v>47</v>
      </c>
    </row>
    <row r="1850" spans="1:21" s="65" customFormat="1" hidden="1" x14ac:dyDescent="0.25">
      <c r="A1850" s="146">
        <v>946</v>
      </c>
      <c r="B1850" s="60">
        <v>42685</v>
      </c>
      <c r="C1850" s="18">
        <v>114</v>
      </c>
      <c r="D1850" s="18">
        <v>3000035062</v>
      </c>
      <c r="E1850" s="18" t="s">
        <v>27</v>
      </c>
      <c r="F1850" s="154">
        <v>916</v>
      </c>
      <c r="G1850" s="61">
        <v>42679</v>
      </c>
      <c r="H1850" s="61"/>
      <c r="I1850" s="61">
        <v>42682</v>
      </c>
      <c r="J1850" s="18" t="s">
        <v>8</v>
      </c>
      <c r="K1850" s="149">
        <v>28.66</v>
      </c>
      <c r="L1850" s="18">
        <v>28.454999999999998</v>
      </c>
      <c r="M1850" s="18">
        <f>IF(L1850&gt;K1850,K1850,L1850)</f>
        <v>28.454999999999998</v>
      </c>
      <c r="N1850" s="62">
        <f>+I1850+15-'V V F India Out Standing'!O1178</f>
        <v>42697</v>
      </c>
      <c r="O1850" s="146">
        <v>1650816</v>
      </c>
      <c r="P1850" s="38">
        <f t="shared" si="219"/>
        <v>1639008</v>
      </c>
      <c r="Q1850" s="258">
        <v>42718</v>
      </c>
      <c r="R1850" s="258">
        <v>42719</v>
      </c>
      <c r="S1850" s="230">
        <f>R1850-N1850</f>
        <v>22</v>
      </c>
    </row>
    <row r="1851" spans="1:21" s="65" customFormat="1" hidden="1" x14ac:dyDescent="0.25">
      <c r="A1851" s="146">
        <v>947</v>
      </c>
      <c r="B1851" s="60">
        <v>42685</v>
      </c>
      <c r="C1851" s="18">
        <v>114</v>
      </c>
      <c r="D1851" s="18">
        <v>3000035398</v>
      </c>
      <c r="E1851" s="18" t="s">
        <v>27</v>
      </c>
      <c r="F1851" s="154">
        <v>916</v>
      </c>
      <c r="G1851" s="61">
        <v>42679</v>
      </c>
      <c r="H1851" s="267"/>
      <c r="I1851" s="267">
        <v>42682</v>
      </c>
      <c r="J1851" s="18" t="s">
        <v>8</v>
      </c>
      <c r="K1851" s="149">
        <v>2.2549999999999999</v>
      </c>
      <c r="L1851" s="18">
        <v>2.2549999999999999</v>
      </c>
      <c r="M1851" s="18">
        <f>IF(L1851&gt;K1851,K1851,L1851)</f>
        <v>2.2549999999999999</v>
      </c>
      <c r="N1851" s="62">
        <f>+I1851+15-'V V F India Out Standing'!O1179</f>
        <v>42697</v>
      </c>
      <c r="O1851" s="146">
        <v>126280</v>
      </c>
      <c r="P1851" s="38">
        <f t="shared" si="219"/>
        <v>126280</v>
      </c>
      <c r="Q1851" s="258">
        <v>42718</v>
      </c>
      <c r="R1851" s="258">
        <v>42719</v>
      </c>
      <c r="S1851" s="230">
        <f>R1851-N1851</f>
        <v>22</v>
      </c>
    </row>
    <row r="1852" spans="1:21" s="65" customFormat="1" hidden="1" x14ac:dyDescent="0.25">
      <c r="A1852" s="65">
        <v>969</v>
      </c>
      <c r="B1852" s="258">
        <v>42689</v>
      </c>
      <c r="C1852" s="18">
        <v>114</v>
      </c>
      <c r="D1852" s="18">
        <v>3000034962</v>
      </c>
      <c r="E1852" s="18" t="s">
        <v>27</v>
      </c>
      <c r="F1852" s="18">
        <v>232</v>
      </c>
      <c r="G1852" s="258">
        <v>42677</v>
      </c>
      <c r="H1852" s="261"/>
      <c r="I1852" s="261">
        <v>42685</v>
      </c>
      <c r="J1852" s="18" t="s">
        <v>16</v>
      </c>
      <c r="K1852" s="149">
        <v>19.95</v>
      </c>
      <c r="L1852" s="18">
        <v>19.940000000000001</v>
      </c>
      <c r="M1852" s="18">
        <v>19.940000000000001</v>
      </c>
      <c r="N1852" s="62">
        <f>+I1852+15-'V V F India Out Standing'!O1204</f>
        <v>42700</v>
      </c>
      <c r="O1852" s="146">
        <v>1141140</v>
      </c>
      <c r="P1852" s="38">
        <f t="shared" si="219"/>
        <v>1140568</v>
      </c>
      <c r="Q1852" s="258">
        <v>42718</v>
      </c>
      <c r="R1852" s="258">
        <v>42719</v>
      </c>
      <c r="S1852" s="230">
        <f>R1852-N1852</f>
        <v>19</v>
      </c>
    </row>
    <row r="1853" spans="1:21" s="65" customFormat="1" hidden="1" x14ac:dyDescent="0.25">
      <c r="A1853" s="65">
        <v>974</v>
      </c>
      <c r="B1853" s="258">
        <v>42689</v>
      </c>
      <c r="C1853" s="18">
        <v>114</v>
      </c>
      <c r="D1853" s="18">
        <v>3000034966</v>
      </c>
      <c r="E1853" s="18" t="s">
        <v>344</v>
      </c>
      <c r="F1853" s="18">
        <v>77</v>
      </c>
      <c r="G1853" s="258">
        <v>42679</v>
      </c>
      <c r="H1853" s="261"/>
      <c r="I1853" s="261">
        <v>42684</v>
      </c>
      <c r="J1853" s="18" t="s">
        <v>16</v>
      </c>
      <c r="K1853" s="149">
        <v>26.9</v>
      </c>
      <c r="L1853" s="18">
        <v>26.82</v>
      </c>
      <c r="M1853" s="18">
        <v>26.82</v>
      </c>
      <c r="N1853" s="62">
        <f>+I1853+15-'V V F India Out Standing'!O1203</f>
        <v>42699</v>
      </c>
      <c r="O1853" s="146">
        <v>1538680</v>
      </c>
      <c r="P1853" s="38">
        <f t="shared" si="219"/>
        <v>1534104</v>
      </c>
      <c r="Q1853" s="258">
        <v>42718</v>
      </c>
      <c r="R1853" s="258">
        <v>42719</v>
      </c>
      <c r="S1853" s="230">
        <f>R1853-N1853</f>
        <v>20</v>
      </c>
    </row>
    <row r="1854" spans="1:21" s="41" customFormat="1" hidden="1" x14ac:dyDescent="0.25">
      <c r="A1854" s="41">
        <v>987</v>
      </c>
      <c r="B1854" s="263">
        <v>42690</v>
      </c>
      <c r="C1854" s="21">
        <v>114</v>
      </c>
      <c r="D1854" s="21"/>
      <c r="E1854" s="21" t="s">
        <v>138</v>
      </c>
      <c r="F1854" s="21" t="s">
        <v>342</v>
      </c>
      <c r="G1854" s="263">
        <v>42690</v>
      </c>
      <c r="H1854" s="264"/>
      <c r="I1854" s="264"/>
      <c r="J1854" s="21" t="s">
        <v>343</v>
      </c>
      <c r="K1854" s="124"/>
      <c r="L1854" s="21"/>
      <c r="M1854" s="21"/>
      <c r="N1854" s="21"/>
      <c r="O1854" s="122">
        <v>11594</v>
      </c>
      <c r="P1854" s="266"/>
      <c r="Q1854" s="265"/>
      <c r="R1854" s="258">
        <v>42730</v>
      </c>
      <c r="S1854" s="230"/>
    </row>
    <row r="1855" spans="1:21" s="41" customFormat="1" hidden="1" x14ac:dyDescent="0.25">
      <c r="A1855" s="41">
        <v>988</v>
      </c>
      <c r="B1855" s="263">
        <v>42690</v>
      </c>
      <c r="C1855" s="21">
        <v>114</v>
      </c>
      <c r="D1855" s="21">
        <v>3000034497</v>
      </c>
      <c r="E1855" s="21" t="s">
        <v>138</v>
      </c>
      <c r="F1855" s="21">
        <v>9131</v>
      </c>
      <c r="G1855" s="263">
        <v>42677</v>
      </c>
      <c r="H1855" s="264"/>
      <c r="I1855" s="264">
        <v>42685</v>
      </c>
      <c r="J1855" s="21" t="s">
        <v>16</v>
      </c>
      <c r="K1855" s="124">
        <v>26.52</v>
      </c>
      <c r="L1855" s="21">
        <v>26.41</v>
      </c>
      <c r="M1855" s="21">
        <v>26.41</v>
      </c>
      <c r="N1855" s="22">
        <f>+I1855+15-'V V F India Out Standing'!O1215</f>
        <v>42700</v>
      </c>
      <c r="O1855" s="122">
        <v>1318044</v>
      </c>
      <c r="P1855" s="36">
        <f>(+O1855/K1855*M1855)-O1854</f>
        <v>1300983</v>
      </c>
      <c r="Q1855" s="265"/>
      <c r="R1855" s="258">
        <v>42730</v>
      </c>
      <c r="S1855" s="230">
        <f t="shared" ref="S1855:S1856" si="220">R1855-N1855</f>
        <v>30</v>
      </c>
    </row>
    <row r="1856" spans="1:21" s="41" customFormat="1" hidden="1" x14ac:dyDescent="0.25">
      <c r="A1856" s="41">
        <v>996</v>
      </c>
      <c r="B1856" s="263">
        <v>42692</v>
      </c>
      <c r="C1856" s="21">
        <v>114</v>
      </c>
      <c r="D1856" s="21">
        <v>3000035895</v>
      </c>
      <c r="E1856" s="21" t="s">
        <v>30</v>
      </c>
      <c r="F1856" s="21">
        <v>356</v>
      </c>
      <c r="G1856" s="263">
        <v>42685</v>
      </c>
      <c r="H1856" s="264"/>
      <c r="I1856" s="264">
        <v>42687</v>
      </c>
      <c r="J1856" s="21" t="s">
        <v>229</v>
      </c>
      <c r="K1856" s="124">
        <v>28.35</v>
      </c>
      <c r="L1856" s="21">
        <v>28.25</v>
      </c>
      <c r="M1856" s="21">
        <v>28.25</v>
      </c>
      <c r="N1856" s="22">
        <f>+I1856+15-'V V F India Out Standing'!O1206</f>
        <v>42702</v>
      </c>
      <c r="O1856" s="122">
        <v>1403325</v>
      </c>
      <c r="P1856" s="36">
        <f>(+O1856/K1856*M1856)</f>
        <v>1398375</v>
      </c>
      <c r="Q1856" s="265"/>
      <c r="R1856" s="258">
        <v>42719</v>
      </c>
      <c r="S1856" s="230">
        <f t="shared" si="220"/>
        <v>17</v>
      </c>
    </row>
    <row r="1857" spans="1:22" s="65" customFormat="1" hidden="1" x14ac:dyDescent="0.25">
      <c r="A1857" s="65">
        <v>992</v>
      </c>
      <c r="B1857" s="258">
        <v>42692</v>
      </c>
      <c r="C1857" s="18">
        <v>114</v>
      </c>
      <c r="D1857" s="18">
        <v>3000034966</v>
      </c>
      <c r="E1857" s="18" t="s">
        <v>344</v>
      </c>
      <c r="F1857" s="18">
        <v>83</v>
      </c>
      <c r="G1857" s="258">
        <v>42684</v>
      </c>
      <c r="H1857" s="261"/>
      <c r="I1857" s="261">
        <v>42687</v>
      </c>
      <c r="J1857" s="18" t="s">
        <v>16</v>
      </c>
      <c r="K1857" s="149">
        <v>16</v>
      </c>
      <c r="L1857" s="18">
        <v>15.93</v>
      </c>
      <c r="M1857" s="18">
        <v>15.93</v>
      </c>
      <c r="N1857" s="62">
        <f>+I1857+15-'V V F India Out Standing'!O1211</f>
        <v>42702</v>
      </c>
      <c r="O1857" s="146">
        <v>915200</v>
      </c>
      <c r="P1857" s="38">
        <f>(+O1857/K1857*M1857)</f>
        <v>911196</v>
      </c>
      <c r="Q1857" s="258">
        <v>42718</v>
      </c>
      <c r="R1857" s="258">
        <v>42719</v>
      </c>
      <c r="S1857" s="230">
        <f t="shared" ref="S1857:S1870" si="221">R1857-N1857</f>
        <v>17</v>
      </c>
    </row>
    <row r="1858" spans="1:22" s="65" customFormat="1" hidden="1" x14ac:dyDescent="0.25">
      <c r="A1858" s="65">
        <v>993</v>
      </c>
      <c r="B1858" s="258">
        <v>42692</v>
      </c>
      <c r="C1858" s="18">
        <v>114</v>
      </c>
      <c r="D1858" s="18">
        <v>3000036153</v>
      </c>
      <c r="E1858" s="18" t="s">
        <v>344</v>
      </c>
      <c r="F1858" s="18">
        <v>83</v>
      </c>
      <c r="G1858" s="258">
        <v>42684</v>
      </c>
      <c r="H1858" s="261"/>
      <c r="I1858" s="261">
        <v>42687</v>
      </c>
      <c r="J1858" s="18" t="s">
        <v>16</v>
      </c>
      <c r="K1858" s="149">
        <v>10.33</v>
      </c>
      <c r="L1858" s="18">
        <v>10.33</v>
      </c>
      <c r="M1858" s="18">
        <v>10.33</v>
      </c>
      <c r="N1858" s="62">
        <f>+I1858+15-'V V F India Out Standing'!O1212</f>
        <v>42702</v>
      </c>
      <c r="O1858" s="146">
        <v>557820</v>
      </c>
      <c r="P1858" s="38">
        <f>(+O1858/K1858*M1858)</f>
        <v>557820</v>
      </c>
      <c r="Q1858" s="258">
        <v>42718</v>
      </c>
      <c r="R1858" s="258">
        <v>42719</v>
      </c>
      <c r="S1858" s="230">
        <f t="shared" si="221"/>
        <v>17</v>
      </c>
    </row>
    <row r="1859" spans="1:22" s="65" customFormat="1" hidden="1" x14ac:dyDescent="0.25">
      <c r="A1859" s="268">
        <v>17</v>
      </c>
      <c r="B1859" s="258">
        <v>42692</v>
      </c>
      <c r="C1859" s="18">
        <v>114</v>
      </c>
      <c r="D1859" s="18">
        <v>3000035895</v>
      </c>
      <c r="E1859" s="18" t="s">
        <v>30</v>
      </c>
      <c r="F1859" s="18">
        <v>356</v>
      </c>
      <c r="G1859" s="258">
        <v>42685</v>
      </c>
      <c r="H1859" s="261"/>
      <c r="I1859" s="261">
        <v>42687</v>
      </c>
      <c r="J1859" s="18" t="s">
        <v>229</v>
      </c>
      <c r="K1859" s="149">
        <v>28.35</v>
      </c>
      <c r="L1859" s="18">
        <v>28.25</v>
      </c>
      <c r="M1859" s="18">
        <v>28.25</v>
      </c>
      <c r="N1859" s="62">
        <f>+I1859+15-'V V F India Out Standing'!O1213</f>
        <v>42702</v>
      </c>
      <c r="O1859" s="146">
        <v>1403325</v>
      </c>
      <c r="P1859" s="38">
        <f>(+O1859/K1859*M1859)</f>
        <v>1398375</v>
      </c>
      <c r="Q1859" s="258">
        <v>42718</v>
      </c>
      <c r="R1859" s="258">
        <v>42719</v>
      </c>
      <c r="S1859" s="230">
        <f t="shared" si="221"/>
        <v>17</v>
      </c>
    </row>
    <row r="1860" spans="1:22" s="65" customFormat="1" hidden="1" x14ac:dyDescent="0.25">
      <c r="A1860" s="260">
        <v>1016</v>
      </c>
      <c r="B1860" s="258">
        <v>42697</v>
      </c>
      <c r="C1860" s="18">
        <v>114</v>
      </c>
      <c r="D1860" s="18">
        <v>3000035895</v>
      </c>
      <c r="E1860" s="18" t="s">
        <v>30</v>
      </c>
      <c r="F1860" s="18">
        <v>362</v>
      </c>
      <c r="G1860" s="258">
        <v>42688</v>
      </c>
      <c r="H1860" s="261"/>
      <c r="I1860" s="261">
        <v>42690</v>
      </c>
      <c r="J1860" s="18" t="s">
        <v>229</v>
      </c>
      <c r="K1860" s="149">
        <v>28.54</v>
      </c>
      <c r="L1860" s="18">
        <v>28.42</v>
      </c>
      <c r="M1860" s="18">
        <v>28.42</v>
      </c>
      <c r="N1860" s="62">
        <f>+I1860+15-'V V F India Out Standing'!O1224</f>
        <v>42705</v>
      </c>
      <c r="O1860" s="146">
        <v>1412730</v>
      </c>
      <c r="P1860" s="38">
        <f>(+O1860/K1860*M1860)</f>
        <v>1406790</v>
      </c>
      <c r="Q1860" s="258">
        <v>42718</v>
      </c>
      <c r="R1860" s="258">
        <v>42719</v>
      </c>
      <c r="S1860" s="230">
        <f t="shared" si="221"/>
        <v>14</v>
      </c>
    </row>
    <row r="1861" spans="1:22" s="65" customFormat="1" hidden="1" x14ac:dyDescent="0.25">
      <c r="A1861" s="260"/>
      <c r="B1861" s="258">
        <v>42696</v>
      </c>
      <c r="C1861" s="18">
        <v>114</v>
      </c>
      <c r="D1861" s="18"/>
      <c r="E1861" s="18" t="s">
        <v>15</v>
      </c>
      <c r="F1861" s="18" t="s">
        <v>360</v>
      </c>
      <c r="G1861" s="258">
        <v>42695</v>
      </c>
      <c r="H1861" s="261"/>
      <c r="I1861" s="261"/>
      <c r="J1861" s="18" t="s">
        <v>347</v>
      </c>
      <c r="K1861" s="149"/>
      <c r="L1861" s="18"/>
      <c r="M1861" s="18"/>
      <c r="N1861" s="18"/>
      <c r="O1861" s="146">
        <v>2427</v>
      </c>
      <c r="P1861" s="259"/>
      <c r="Q1861" s="258">
        <v>42718</v>
      </c>
      <c r="R1861" s="258">
        <v>42719</v>
      </c>
      <c r="S1861" s="230"/>
    </row>
    <row r="1862" spans="1:22" s="65" customFormat="1" hidden="1" x14ac:dyDescent="0.25">
      <c r="A1862" s="269">
        <v>1003</v>
      </c>
      <c r="B1862" s="258">
        <v>42696</v>
      </c>
      <c r="C1862" s="18">
        <v>114</v>
      </c>
      <c r="D1862" s="18">
        <v>3000032985</v>
      </c>
      <c r="E1862" s="18" t="s">
        <v>15</v>
      </c>
      <c r="F1862" s="18">
        <v>3227</v>
      </c>
      <c r="G1862" s="258">
        <v>42682</v>
      </c>
      <c r="H1862" s="261"/>
      <c r="I1862" s="261">
        <v>42689</v>
      </c>
      <c r="J1862" s="18" t="s">
        <v>8</v>
      </c>
      <c r="K1862" s="149">
        <v>27.11</v>
      </c>
      <c r="L1862" s="18">
        <v>26.97</v>
      </c>
      <c r="M1862" s="18">
        <v>26.97</v>
      </c>
      <c r="N1862" s="62">
        <f>+I1862+15-'V V F India Out Standing'!O1209</f>
        <v>42704</v>
      </c>
      <c r="O1862" s="146">
        <v>1374477</v>
      </c>
      <c r="P1862" s="38">
        <f>(+O1862/K1862*M1862)-closed!O1861</f>
        <v>1364952</v>
      </c>
      <c r="Q1862" s="258">
        <v>42718</v>
      </c>
      <c r="R1862" s="258">
        <v>42719</v>
      </c>
      <c r="S1862" s="230">
        <f t="shared" si="221"/>
        <v>15</v>
      </c>
    </row>
    <row r="1863" spans="1:22" s="65" customFormat="1" hidden="1" x14ac:dyDescent="0.25">
      <c r="A1863" s="260">
        <v>1009</v>
      </c>
      <c r="B1863" s="258">
        <v>42697</v>
      </c>
      <c r="C1863" s="18">
        <v>114</v>
      </c>
      <c r="D1863" s="18">
        <v>3000034965</v>
      </c>
      <c r="E1863" s="18" t="s">
        <v>18</v>
      </c>
      <c r="F1863" s="18">
        <v>121</v>
      </c>
      <c r="G1863" s="61">
        <v>42686</v>
      </c>
      <c r="H1863" s="267"/>
      <c r="I1863" s="267">
        <v>42691</v>
      </c>
      <c r="J1863" s="18" t="s">
        <v>16</v>
      </c>
      <c r="K1863" s="149">
        <v>17.149999999999999</v>
      </c>
      <c r="L1863" s="18">
        <v>17.149999999999999</v>
      </c>
      <c r="M1863" s="18">
        <f t="shared" ref="M1863:M1870" si="222">IF(L1863&gt;K1863,K1863,L1863)</f>
        <v>17.149999999999999</v>
      </c>
      <c r="N1863" s="62">
        <f>+I1863+15-'V V F India Out Standing'!O1217</f>
        <v>42706</v>
      </c>
      <c r="O1863" s="146">
        <v>980980</v>
      </c>
      <c r="P1863" s="38">
        <f t="shared" ref="P1863:P1870" si="223">(+O1863/K1863*M1863)</f>
        <v>980980</v>
      </c>
      <c r="Q1863" s="258">
        <v>42718</v>
      </c>
      <c r="R1863" s="258">
        <v>42719</v>
      </c>
      <c r="S1863" s="230">
        <f t="shared" si="221"/>
        <v>13</v>
      </c>
    </row>
    <row r="1864" spans="1:22" s="65" customFormat="1" hidden="1" x14ac:dyDescent="0.25">
      <c r="A1864" s="260">
        <v>1010</v>
      </c>
      <c r="B1864" s="258">
        <v>42697</v>
      </c>
      <c r="C1864" s="18">
        <v>114</v>
      </c>
      <c r="D1864" s="18">
        <v>3000035057</v>
      </c>
      <c r="E1864" s="18" t="s">
        <v>18</v>
      </c>
      <c r="F1864" s="18">
        <v>121</v>
      </c>
      <c r="G1864" s="258">
        <v>42686</v>
      </c>
      <c r="H1864" s="261"/>
      <c r="I1864" s="261">
        <v>42691</v>
      </c>
      <c r="J1864" s="18" t="s">
        <v>16</v>
      </c>
      <c r="K1864" s="149">
        <v>1.6</v>
      </c>
      <c r="L1864" s="18">
        <v>1.6</v>
      </c>
      <c r="M1864" s="18">
        <f t="shared" si="222"/>
        <v>1.6</v>
      </c>
      <c r="N1864" s="62">
        <f>+I1864+15-'V V F India Out Standing'!O1218</f>
        <v>42706</v>
      </c>
      <c r="O1864" s="146">
        <v>88800</v>
      </c>
      <c r="P1864" s="38">
        <f t="shared" si="223"/>
        <v>88800</v>
      </c>
      <c r="Q1864" s="258">
        <v>42718</v>
      </c>
      <c r="R1864" s="258">
        <v>42719</v>
      </c>
      <c r="S1864" s="230">
        <f t="shared" si="221"/>
        <v>13</v>
      </c>
    </row>
    <row r="1865" spans="1:22" s="65" customFormat="1" hidden="1" x14ac:dyDescent="0.25">
      <c r="A1865" s="65">
        <v>1063</v>
      </c>
      <c r="B1865" s="258">
        <v>42711</v>
      </c>
      <c r="C1865" s="18">
        <v>116</v>
      </c>
      <c r="D1865" s="18">
        <v>3000036876</v>
      </c>
      <c r="E1865" s="18" t="s">
        <v>346</v>
      </c>
      <c r="F1865" s="18">
        <v>9601988882</v>
      </c>
      <c r="G1865" s="258">
        <v>42706</v>
      </c>
      <c r="H1865" s="261"/>
      <c r="I1865" s="261">
        <v>42706</v>
      </c>
      <c r="J1865" s="18" t="s">
        <v>16</v>
      </c>
      <c r="K1865" s="149">
        <v>20.07</v>
      </c>
      <c r="L1865" s="18">
        <v>20.07</v>
      </c>
      <c r="M1865" s="18">
        <f t="shared" si="222"/>
        <v>20.07</v>
      </c>
      <c r="N1865" s="62">
        <f t="shared" ref="N1865:N1870" si="224">+I1865+10-1</f>
        <v>42715</v>
      </c>
      <c r="O1865" s="146">
        <v>1064475</v>
      </c>
      <c r="P1865" s="38">
        <f t="shared" si="223"/>
        <v>1064475</v>
      </c>
      <c r="Q1865" s="258">
        <v>42718</v>
      </c>
      <c r="R1865" s="258">
        <v>42719</v>
      </c>
      <c r="S1865" s="230">
        <f t="shared" si="221"/>
        <v>4</v>
      </c>
    </row>
    <row r="1866" spans="1:22" s="65" customFormat="1" hidden="1" x14ac:dyDescent="0.25">
      <c r="A1866" s="260">
        <v>1076</v>
      </c>
      <c r="B1866" s="258">
        <v>42711</v>
      </c>
      <c r="C1866" s="18">
        <v>116</v>
      </c>
      <c r="D1866" s="18">
        <v>3000036876</v>
      </c>
      <c r="E1866" s="18" t="s">
        <v>346</v>
      </c>
      <c r="F1866" s="18">
        <v>9601988883</v>
      </c>
      <c r="G1866" s="258">
        <v>42706</v>
      </c>
      <c r="H1866" s="261"/>
      <c r="I1866" s="261">
        <v>42706</v>
      </c>
      <c r="J1866" s="18" t="s">
        <v>16</v>
      </c>
      <c r="K1866" s="149">
        <v>19.32</v>
      </c>
      <c r="L1866" s="18">
        <v>19.32</v>
      </c>
      <c r="M1866" s="18">
        <f t="shared" si="222"/>
        <v>19.32</v>
      </c>
      <c r="N1866" s="62">
        <f t="shared" si="224"/>
        <v>42715</v>
      </c>
      <c r="O1866" s="146">
        <v>1024697</v>
      </c>
      <c r="P1866" s="38">
        <f t="shared" si="223"/>
        <v>1024697.0000000001</v>
      </c>
      <c r="Q1866" s="258">
        <v>42718</v>
      </c>
      <c r="R1866" s="258">
        <v>42719</v>
      </c>
      <c r="S1866" s="230">
        <f t="shared" si="221"/>
        <v>4</v>
      </c>
    </row>
    <row r="1867" spans="1:22" s="65" customFormat="1" hidden="1" x14ac:dyDescent="0.25">
      <c r="A1867" s="65">
        <v>1089</v>
      </c>
      <c r="B1867" s="258">
        <v>42711</v>
      </c>
      <c r="C1867" s="18">
        <v>116</v>
      </c>
      <c r="D1867" s="18">
        <v>3000036876</v>
      </c>
      <c r="E1867" s="18" t="s">
        <v>346</v>
      </c>
      <c r="F1867" s="18">
        <v>9601988884</v>
      </c>
      <c r="G1867" s="258">
        <v>42706</v>
      </c>
      <c r="H1867" s="261"/>
      <c r="I1867" s="261">
        <v>42706</v>
      </c>
      <c r="J1867" s="18" t="s">
        <v>16</v>
      </c>
      <c r="K1867" s="149">
        <v>19.809999999999999</v>
      </c>
      <c r="L1867" s="18">
        <v>19.809999999999999</v>
      </c>
      <c r="M1867" s="18">
        <f t="shared" si="222"/>
        <v>19.809999999999999</v>
      </c>
      <c r="N1867" s="62">
        <f t="shared" si="224"/>
        <v>42715</v>
      </c>
      <c r="O1867" s="146">
        <v>1050686</v>
      </c>
      <c r="P1867" s="38">
        <f t="shared" si="223"/>
        <v>1050686</v>
      </c>
      <c r="Q1867" s="258">
        <v>42718</v>
      </c>
      <c r="R1867" s="258">
        <v>42719</v>
      </c>
      <c r="S1867" s="230">
        <f t="shared" si="221"/>
        <v>4</v>
      </c>
    </row>
    <row r="1868" spans="1:22" s="65" customFormat="1" hidden="1" x14ac:dyDescent="0.25">
      <c r="A1868" s="260">
        <v>1102</v>
      </c>
      <c r="B1868" s="258">
        <v>42711</v>
      </c>
      <c r="C1868" s="18">
        <v>116</v>
      </c>
      <c r="D1868" s="18">
        <v>3000036876</v>
      </c>
      <c r="E1868" s="18" t="s">
        <v>346</v>
      </c>
      <c r="F1868" s="18">
        <v>9601988885</v>
      </c>
      <c r="G1868" s="258">
        <v>42706</v>
      </c>
      <c r="H1868" s="261"/>
      <c r="I1868" s="261">
        <v>42706</v>
      </c>
      <c r="J1868" s="18" t="s">
        <v>16</v>
      </c>
      <c r="K1868" s="149">
        <v>19.07</v>
      </c>
      <c r="L1868" s="18">
        <v>19.07</v>
      </c>
      <c r="M1868" s="18">
        <f t="shared" si="222"/>
        <v>19.07</v>
      </c>
      <c r="N1868" s="62">
        <f t="shared" si="224"/>
        <v>42715</v>
      </c>
      <c r="O1868" s="146">
        <v>1011437</v>
      </c>
      <c r="P1868" s="38">
        <f t="shared" si="223"/>
        <v>1011436.9999999999</v>
      </c>
      <c r="Q1868" s="258">
        <v>42718</v>
      </c>
      <c r="R1868" s="258">
        <v>42719</v>
      </c>
      <c r="S1868" s="230">
        <f t="shared" si="221"/>
        <v>4</v>
      </c>
    </row>
    <row r="1869" spans="1:22" s="65" customFormat="1" hidden="1" x14ac:dyDescent="0.25">
      <c r="B1869" s="258">
        <v>42717</v>
      </c>
      <c r="C1869" s="18">
        <v>116</v>
      </c>
      <c r="D1869" s="18">
        <v>3000036876</v>
      </c>
      <c r="E1869" s="18" t="s">
        <v>346</v>
      </c>
      <c r="F1869" s="18">
        <v>9601988890</v>
      </c>
      <c r="G1869" s="258">
        <v>42709</v>
      </c>
      <c r="H1869" s="261"/>
      <c r="I1869" s="261">
        <v>42709</v>
      </c>
      <c r="J1869" s="18" t="s">
        <v>16</v>
      </c>
      <c r="K1869" s="149">
        <v>20.04</v>
      </c>
      <c r="L1869" s="18">
        <v>20.04</v>
      </c>
      <c r="M1869" s="18">
        <f t="shared" si="222"/>
        <v>20.04</v>
      </c>
      <c r="N1869" s="62">
        <f t="shared" si="224"/>
        <v>42718</v>
      </c>
      <c r="O1869" s="146">
        <v>1062885</v>
      </c>
      <c r="P1869" s="38">
        <f t="shared" si="223"/>
        <v>1062885</v>
      </c>
      <c r="Q1869" s="258">
        <v>42718</v>
      </c>
      <c r="R1869" s="258">
        <v>42719</v>
      </c>
      <c r="S1869" s="230">
        <f t="shared" si="221"/>
        <v>1</v>
      </c>
      <c r="T1869" s="41"/>
      <c r="U1869" s="41"/>
      <c r="V1869" s="41"/>
    </row>
    <row r="1870" spans="1:22" s="65" customFormat="1" hidden="1" x14ac:dyDescent="0.25">
      <c r="B1870" s="258">
        <v>42717</v>
      </c>
      <c r="C1870" s="18">
        <v>116</v>
      </c>
      <c r="D1870" s="18">
        <v>3000036876</v>
      </c>
      <c r="E1870" s="18" t="s">
        <v>346</v>
      </c>
      <c r="F1870" s="18">
        <v>9601988891</v>
      </c>
      <c r="G1870" s="258">
        <v>42709</v>
      </c>
      <c r="H1870" s="261"/>
      <c r="I1870" s="261">
        <v>42709</v>
      </c>
      <c r="J1870" s="18" t="s">
        <v>16</v>
      </c>
      <c r="K1870" s="149">
        <v>19.97</v>
      </c>
      <c r="L1870" s="18">
        <v>19.97</v>
      </c>
      <c r="M1870" s="18">
        <f t="shared" si="222"/>
        <v>19.97</v>
      </c>
      <c r="N1870" s="62">
        <f t="shared" si="224"/>
        <v>42718</v>
      </c>
      <c r="O1870" s="146">
        <v>1059172</v>
      </c>
      <c r="P1870" s="38">
        <f t="shared" si="223"/>
        <v>1059172</v>
      </c>
      <c r="Q1870" s="258">
        <v>42718</v>
      </c>
      <c r="R1870" s="258">
        <v>42719</v>
      </c>
      <c r="S1870" s="230">
        <f t="shared" si="221"/>
        <v>1</v>
      </c>
      <c r="T1870" s="262" t="s">
        <v>367</v>
      </c>
      <c r="U1870" s="15"/>
      <c r="V1870" s="41"/>
    </row>
    <row r="1871" spans="1:22" s="1" customFormat="1" hidden="1" x14ac:dyDescent="0.25">
      <c r="A1871" s="1">
        <v>1791</v>
      </c>
      <c r="B1871" s="204">
        <v>42732</v>
      </c>
      <c r="C1871" s="1">
        <v>116</v>
      </c>
      <c r="D1871" s="1">
        <v>3000036866</v>
      </c>
      <c r="E1871" s="8" t="s">
        <v>464</v>
      </c>
      <c r="F1871" s="1">
        <v>62865004</v>
      </c>
      <c r="G1871" s="204">
        <v>42724</v>
      </c>
      <c r="H1871" s="204"/>
      <c r="I1871" s="204">
        <v>42724</v>
      </c>
      <c r="J1871" s="1" t="s">
        <v>16</v>
      </c>
      <c r="K1871" s="1">
        <v>19.77</v>
      </c>
      <c r="L1871" s="1">
        <v>19.77</v>
      </c>
      <c r="M1871" s="1">
        <f t="shared" ref="M1871:M1881" si="225">IF(L1871&gt;K1871,K1871,L1871)</f>
        <v>19.77</v>
      </c>
      <c r="N1871" s="211">
        <f t="shared" ref="N1871:N1880" si="226">+I1871+15-1</f>
        <v>42738</v>
      </c>
      <c r="O1871" s="1">
        <v>1039222</v>
      </c>
      <c r="P1871" s="38">
        <f>(+O1871/K1871*M1871)</f>
        <v>1039222</v>
      </c>
      <c r="Q1871" s="258">
        <v>42719</v>
      </c>
      <c r="R1871" s="21" t="s">
        <v>164</v>
      </c>
    </row>
    <row r="1872" spans="1:22" s="1" customFormat="1" hidden="1" x14ac:dyDescent="0.25">
      <c r="A1872" s="1">
        <v>1791</v>
      </c>
      <c r="B1872" s="204">
        <v>42732</v>
      </c>
      <c r="C1872" s="1">
        <v>116</v>
      </c>
      <c r="D1872" s="1">
        <v>3000036866</v>
      </c>
      <c r="E1872" s="8" t="s">
        <v>464</v>
      </c>
      <c r="F1872" s="1">
        <v>62864958</v>
      </c>
      <c r="G1872" s="204">
        <v>42723</v>
      </c>
      <c r="H1872" s="204"/>
      <c r="I1872" s="204">
        <v>42723</v>
      </c>
      <c r="J1872" s="1" t="s">
        <v>16</v>
      </c>
      <c r="K1872" s="1">
        <v>19.82</v>
      </c>
      <c r="L1872" s="1">
        <v>19.82</v>
      </c>
      <c r="M1872" s="1">
        <f t="shared" si="225"/>
        <v>19.82</v>
      </c>
      <c r="N1872" s="211">
        <f t="shared" si="226"/>
        <v>42737</v>
      </c>
      <c r="O1872" s="1">
        <v>1041851</v>
      </c>
      <c r="P1872" s="38">
        <f>(+O1872/K1872*M1872)</f>
        <v>1041851</v>
      </c>
      <c r="Q1872" s="258">
        <v>42719</v>
      </c>
      <c r="R1872" s="21" t="s">
        <v>164</v>
      </c>
    </row>
    <row r="1873" spans="1:20" s="1" customFormat="1" hidden="1" x14ac:dyDescent="0.25">
      <c r="A1873" s="1">
        <v>1791</v>
      </c>
      <c r="B1873" s="204">
        <v>42732</v>
      </c>
      <c r="C1873" s="1">
        <v>116</v>
      </c>
      <c r="D1873" s="1">
        <v>3000036866</v>
      </c>
      <c r="E1873" s="8" t="s">
        <v>464</v>
      </c>
      <c r="F1873" s="1">
        <v>62865135</v>
      </c>
      <c r="G1873" s="204">
        <v>42726</v>
      </c>
      <c r="H1873" s="204"/>
      <c r="I1873" s="204">
        <v>42726</v>
      </c>
      <c r="J1873" s="1" t="s">
        <v>16</v>
      </c>
      <c r="K1873" s="1">
        <v>19.760000000000002</v>
      </c>
      <c r="L1873" s="1">
        <v>19.760000000000002</v>
      </c>
      <c r="M1873" s="1">
        <f t="shared" si="225"/>
        <v>19.760000000000002</v>
      </c>
      <c r="N1873" s="211">
        <f t="shared" si="226"/>
        <v>42740</v>
      </c>
      <c r="O1873" s="1">
        <v>1038697</v>
      </c>
      <c r="P1873" s="38">
        <f>(+O1873/K1873*M1873)</f>
        <v>1038697</v>
      </c>
      <c r="Q1873" s="258">
        <v>42719</v>
      </c>
      <c r="R1873" s="21" t="s">
        <v>164</v>
      </c>
    </row>
    <row r="1874" spans="1:20" s="1" customFormat="1" hidden="1" x14ac:dyDescent="0.25">
      <c r="A1874" s="1">
        <v>1791</v>
      </c>
      <c r="B1874" s="204">
        <v>42758</v>
      </c>
      <c r="C1874" s="1">
        <v>116</v>
      </c>
      <c r="D1874" s="1">
        <v>3000036866</v>
      </c>
      <c r="E1874" s="8" t="s">
        <v>464</v>
      </c>
      <c r="F1874" s="1">
        <v>62865986</v>
      </c>
      <c r="G1874" s="204">
        <v>42753</v>
      </c>
      <c r="H1874" s="204"/>
      <c r="I1874" s="204">
        <v>42753</v>
      </c>
      <c r="J1874" s="1" t="s">
        <v>16</v>
      </c>
      <c r="K1874" s="1">
        <v>19.899999999999999</v>
      </c>
      <c r="L1874" s="1">
        <v>19.899999999999999</v>
      </c>
      <c r="M1874" s="1">
        <f>IF(L1874&gt;K1874,K1874,L1874)</f>
        <v>19.899999999999999</v>
      </c>
      <c r="N1874" s="211">
        <f>+I1874+15-1</f>
        <v>42767</v>
      </c>
      <c r="O1874" s="1">
        <v>1046056</v>
      </c>
      <c r="P1874" s="38">
        <f>(+O1874/K1874*M1874)</f>
        <v>1046056</v>
      </c>
      <c r="Q1874" s="258">
        <v>42719</v>
      </c>
      <c r="R1874" s="21" t="s">
        <v>164</v>
      </c>
    </row>
    <row r="1875" spans="1:20" s="1" customFormat="1" hidden="1" x14ac:dyDescent="0.25">
      <c r="A1875" s="1">
        <v>1791</v>
      </c>
      <c r="B1875" s="204">
        <v>42765</v>
      </c>
      <c r="C1875" s="1">
        <v>116</v>
      </c>
      <c r="D1875" s="1">
        <v>3000036866</v>
      </c>
      <c r="E1875" s="8" t="s">
        <v>464</v>
      </c>
      <c r="F1875" s="1">
        <v>62866010</v>
      </c>
      <c r="G1875" s="204">
        <v>42755</v>
      </c>
      <c r="H1875" s="204"/>
      <c r="I1875" s="204">
        <v>42755</v>
      </c>
      <c r="J1875" s="1" t="s">
        <v>16</v>
      </c>
      <c r="K1875" s="1">
        <v>19.850000000000001</v>
      </c>
      <c r="L1875" s="1">
        <v>19.850000000000001</v>
      </c>
      <c r="M1875" s="1">
        <f>IF(L1875&gt;K1875,K1875,L1875)</f>
        <v>19.850000000000001</v>
      </c>
      <c r="N1875" s="66">
        <f>+I1875+20-'V V F India Out Standing'!O104</f>
        <v>-737865</v>
      </c>
      <c r="O1875" s="1">
        <v>1043428</v>
      </c>
      <c r="P1875" s="38">
        <f>(+O1875/K1875*M1875)</f>
        <v>1043428</v>
      </c>
      <c r="Q1875" s="225"/>
    </row>
    <row r="1876" spans="1:20" s="3" customFormat="1" hidden="1" x14ac:dyDescent="0.25">
      <c r="A1876" s="30">
        <v>753</v>
      </c>
      <c r="B1876" s="24">
        <v>42639</v>
      </c>
      <c r="C1876" s="1">
        <v>103</v>
      </c>
      <c r="D1876" s="1"/>
      <c r="E1876" s="1" t="s">
        <v>26</v>
      </c>
      <c r="F1876" s="1" t="s">
        <v>314</v>
      </c>
      <c r="G1876" s="25">
        <v>42574</v>
      </c>
      <c r="H1876" s="25"/>
      <c r="I1876" s="25">
        <v>42574</v>
      </c>
      <c r="J1876" s="1" t="s">
        <v>235</v>
      </c>
      <c r="K1876" s="77"/>
      <c r="L1876" s="1"/>
      <c r="M1876" s="1">
        <f t="shared" si="225"/>
        <v>0</v>
      </c>
      <c r="N1876" s="7">
        <f t="shared" si="226"/>
        <v>42588</v>
      </c>
      <c r="O1876" s="75">
        <v>957686</v>
      </c>
      <c r="P1876" s="71">
        <f>(O1876- (O1876*10%))</f>
        <v>861917.4</v>
      </c>
      <c r="Q1876" s="258">
        <v>42718</v>
      </c>
      <c r="R1876" s="258">
        <v>42718</v>
      </c>
      <c r="S1876" s="230">
        <f t="shared" ref="S1876:S1940" si="227">R1876-N1876</f>
        <v>130</v>
      </c>
    </row>
    <row r="1877" spans="1:20" s="3" customFormat="1" hidden="1" x14ac:dyDescent="0.25">
      <c r="A1877" s="30">
        <v>754</v>
      </c>
      <c r="B1877" s="24">
        <v>42639</v>
      </c>
      <c r="C1877" s="1">
        <v>103</v>
      </c>
      <c r="D1877" s="1"/>
      <c r="E1877" s="1" t="s">
        <v>26</v>
      </c>
      <c r="F1877" s="1" t="s">
        <v>315</v>
      </c>
      <c r="G1877" s="25">
        <v>42574</v>
      </c>
      <c r="H1877" s="25"/>
      <c r="I1877" s="25">
        <v>42574</v>
      </c>
      <c r="J1877" s="1" t="s">
        <v>235</v>
      </c>
      <c r="K1877" s="77"/>
      <c r="L1877" s="1"/>
      <c r="M1877" s="1">
        <f t="shared" si="225"/>
        <v>0</v>
      </c>
      <c r="N1877" s="7">
        <f t="shared" si="226"/>
        <v>42588</v>
      </c>
      <c r="O1877" s="75">
        <v>779665</v>
      </c>
      <c r="P1877" s="71">
        <f>(O1877- (O1877*10%))</f>
        <v>701698.5</v>
      </c>
      <c r="Q1877" s="258">
        <v>42718</v>
      </c>
      <c r="R1877" s="258">
        <v>42718</v>
      </c>
      <c r="S1877" s="230">
        <f t="shared" si="227"/>
        <v>130</v>
      </c>
    </row>
    <row r="1878" spans="1:20" s="3" customFormat="1" hidden="1" x14ac:dyDescent="0.25">
      <c r="A1878" s="30">
        <v>755</v>
      </c>
      <c r="B1878" s="24">
        <v>42639</v>
      </c>
      <c r="C1878" s="1">
        <v>103</v>
      </c>
      <c r="D1878" s="1"/>
      <c r="E1878" s="1" t="s">
        <v>26</v>
      </c>
      <c r="F1878" s="1" t="s">
        <v>316</v>
      </c>
      <c r="G1878" s="25">
        <v>42574</v>
      </c>
      <c r="H1878" s="25"/>
      <c r="I1878" s="25">
        <v>42574</v>
      </c>
      <c r="J1878" s="1" t="s">
        <v>235</v>
      </c>
      <c r="K1878" s="77"/>
      <c r="L1878" s="1"/>
      <c r="M1878" s="1">
        <f t="shared" si="225"/>
        <v>0</v>
      </c>
      <c r="N1878" s="7">
        <f t="shared" si="226"/>
        <v>42588</v>
      </c>
      <c r="O1878" s="75">
        <v>212729</v>
      </c>
      <c r="P1878" s="71">
        <f>(O1878- (O1878*10%))</f>
        <v>191456.1</v>
      </c>
      <c r="Q1878" s="258">
        <v>42718</v>
      </c>
      <c r="R1878" s="258">
        <v>42718</v>
      </c>
      <c r="S1878" s="230">
        <f t="shared" si="227"/>
        <v>130</v>
      </c>
    </row>
    <row r="1879" spans="1:20" s="3" customFormat="1" hidden="1" x14ac:dyDescent="0.25">
      <c r="A1879" s="30">
        <v>756</v>
      </c>
      <c r="B1879" s="24">
        <v>42639</v>
      </c>
      <c r="C1879" s="1">
        <v>103</v>
      </c>
      <c r="D1879" s="1"/>
      <c r="E1879" s="1" t="s">
        <v>26</v>
      </c>
      <c r="F1879" s="1" t="s">
        <v>317</v>
      </c>
      <c r="G1879" s="25">
        <v>42574</v>
      </c>
      <c r="H1879" s="25"/>
      <c r="I1879" s="25">
        <v>42574</v>
      </c>
      <c r="J1879" s="1" t="s">
        <v>235</v>
      </c>
      <c r="K1879" s="77"/>
      <c r="L1879" s="1"/>
      <c r="M1879" s="1">
        <f t="shared" si="225"/>
        <v>0</v>
      </c>
      <c r="N1879" s="7">
        <f t="shared" si="226"/>
        <v>42588</v>
      </c>
      <c r="O1879" s="75">
        <v>359143</v>
      </c>
      <c r="P1879" s="71">
        <f>(O1879- (O1879*10%))</f>
        <v>323228.7</v>
      </c>
      <c r="Q1879" s="258">
        <v>42718</v>
      </c>
      <c r="R1879" s="258">
        <v>42718</v>
      </c>
      <c r="S1879" s="230">
        <f t="shared" si="227"/>
        <v>130</v>
      </c>
    </row>
    <row r="1880" spans="1:20" s="3" customFormat="1" hidden="1" x14ac:dyDescent="0.25">
      <c r="A1880" s="30">
        <v>757</v>
      </c>
      <c r="B1880" s="24">
        <v>42639</v>
      </c>
      <c r="C1880" s="1">
        <v>103</v>
      </c>
      <c r="D1880" s="1"/>
      <c r="E1880" s="1" t="s">
        <v>26</v>
      </c>
      <c r="F1880" s="1" t="s">
        <v>318</v>
      </c>
      <c r="G1880" s="25">
        <v>42574</v>
      </c>
      <c r="H1880" s="25"/>
      <c r="I1880" s="25">
        <v>42574</v>
      </c>
      <c r="J1880" s="1" t="s">
        <v>235</v>
      </c>
      <c r="K1880" s="77"/>
      <c r="L1880" s="1"/>
      <c r="M1880" s="1">
        <f t="shared" si="225"/>
        <v>0</v>
      </c>
      <c r="N1880" s="7">
        <f t="shared" si="226"/>
        <v>42588</v>
      </c>
      <c r="O1880" s="75">
        <v>1432877</v>
      </c>
      <c r="P1880" s="71">
        <f>(O1880- (O1880*10%))</f>
        <v>1289589.3</v>
      </c>
      <c r="Q1880" s="258">
        <v>42718</v>
      </c>
      <c r="R1880" s="258">
        <v>42718</v>
      </c>
      <c r="S1880" s="230">
        <f t="shared" si="227"/>
        <v>130</v>
      </c>
      <c r="T1880" s="3" t="s">
        <v>465</v>
      </c>
    </row>
    <row r="1881" spans="1:20" s="85" customFormat="1" hidden="1" x14ac:dyDescent="0.25">
      <c r="A1881" s="212">
        <v>1648</v>
      </c>
      <c r="B1881" s="282">
        <v>42724</v>
      </c>
      <c r="C1881" s="5">
        <v>116</v>
      </c>
      <c r="D1881" s="5">
        <v>3000036974</v>
      </c>
      <c r="E1881" s="63" t="s">
        <v>231</v>
      </c>
      <c r="F1881" s="5">
        <v>532</v>
      </c>
      <c r="G1881" s="282">
        <v>42714</v>
      </c>
      <c r="H1881" s="283"/>
      <c r="I1881" s="283">
        <v>42714</v>
      </c>
      <c r="J1881" s="5" t="s">
        <v>232</v>
      </c>
      <c r="K1881" s="281">
        <v>23.17</v>
      </c>
      <c r="L1881" s="5">
        <v>23.17</v>
      </c>
      <c r="M1881" s="5">
        <f t="shared" si="225"/>
        <v>23.17</v>
      </c>
      <c r="N1881" s="40">
        <f>+I1881+10-1</f>
        <v>42723</v>
      </c>
      <c r="O1881" s="284">
        <v>1878855</v>
      </c>
      <c r="P1881" s="38">
        <f>(+O1881/K1881*M1881)</f>
        <v>1878855</v>
      </c>
      <c r="Q1881" s="285">
        <v>42730</v>
      </c>
      <c r="R1881" s="285">
        <v>42731</v>
      </c>
      <c r="S1881" s="113">
        <f t="shared" si="227"/>
        <v>8</v>
      </c>
    </row>
    <row r="1882" spans="1:20" s="3" customFormat="1" hidden="1" x14ac:dyDescent="0.25">
      <c r="A1882" s="15"/>
      <c r="B1882" s="204">
        <v>42690</v>
      </c>
      <c r="C1882" s="1">
        <v>114</v>
      </c>
      <c r="D1882" s="1"/>
      <c r="E1882" s="1" t="s">
        <v>138</v>
      </c>
      <c r="F1882" s="1" t="s">
        <v>368</v>
      </c>
      <c r="G1882" s="204">
        <v>42690</v>
      </c>
      <c r="H1882" s="205"/>
      <c r="I1882" s="205"/>
      <c r="J1882" s="1" t="s">
        <v>343</v>
      </c>
      <c r="K1882" s="77"/>
      <c r="L1882" s="1"/>
      <c r="M1882" s="1"/>
      <c r="N1882" s="1"/>
      <c r="O1882" s="75">
        <v>11594</v>
      </c>
      <c r="P1882" s="225"/>
      <c r="Q1882" s="258">
        <v>42730</v>
      </c>
      <c r="R1882" s="258">
        <v>42731</v>
      </c>
      <c r="S1882" s="230">
        <f t="shared" si="227"/>
        <v>42731</v>
      </c>
    </row>
    <row r="1883" spans="1:20" s="3" customFormat="1" hidden="1" x14ac:dyDescent="0.25">
      <c r="A1883" s="102"/>
      <c r="B1883" s="204">
        <v>42690</v>
      </c>
      <c r="C1883" s="1">
        <v>114</v>
      </c>
      <c r="D1883" s="1">
        <v>3000034497</v>
      </c>
      <c r="E1883" s="1" t="s">
        <v>138</v>
      </c>
      <c r="F1883" s="1">
        <v>9131</v>
      </c>
      <c r="G1883" s="204">
        <v>42677</v>
      </c>
      <c r="H1883" s="205"/>
      <c r="I1883" s="205">
        <v>42685</v>
      </c>
      <c r="J1883" s="1" t="s">
        <v>16</v>
      </c>
      <c r="K1883" s="77">
        <v>26.52</v>
      </c>
      <c r="L1883" s="1">
        <v>26.41</v>
      </c>
      <c r="M1883" s="1">
        <v>26.41</v>
      </c>
      <c r="N1883" s="7">
        <f>+I1883+15-'V V F India Out Standing'!O1231</f>
        <v>42700</v>
      </c>
      <c r="O1883" s="75">
        <v>1318044</v>
      </c>
      <c r="P1883" s="38">
        <f>(+O1883/K1883*M1883)-O1882</f>
        <v>1300983</v>
      </c>
      <c r="Q1883" s="258">
        <v>42730</v>
      </c>
      <c r="R1883" s="258">
        <v>42731</v>
      </c>
      <c r="S1883" s="230">
        <f t="shared" si="227"/>
        <v>31</v>
      </c>
    </row>
    <row r="1884" spans="1:20" s="65" customFormat="1" hidden="1" x14ac:dyDescent="0.25">
      <c r="B1884" s="258">
        <v>42696</v>
      </c>
      <c r="C1884" s="18">
        <v>114</v>
      </c>
      <c r="D1884" s="18"/>
      <c r="E1884" s="18" t="s">
        <v>15</v>
      </c>
      <c r="F1884" s="18" t="s">
        <v>358</v>
      </c>
      <c r="G1884" s="258">
        <v>42695</v>
      </c>
      <c r="H1884" s="261"/>
      <c r="I1884" s="146"/>
      <c r="J1884" s="18" t="s">
        <v>347</v>
      </c>
      <c r="K1884" s="149"/>
      <c r="L1884" s="18"/>
      <c r="M1884" s="18"/>
      <c r="N1884" s="18"/>
      <c r="O1884" s="146">
        <v>2467</v>
      </c>
      <c r="P1884" s="259"/>
      <c r="Q1884" s="258">
        <v>42730</v>
      </c>
      <c r="R1884" s="258">
        <v>42731</v>
      </c>
      <c r="S1884" s="230"/>
    </row>
    <row r="1885" spans="1:20" s="65" customFormat="1" hidden="1" x14ac:dyDescent="0.25">
      <c r="A1885" s="260">
        <v>1004</v>
      </c>
      <c r="B1885" s="258">
        <v>42696</v>
      </c>
      <c r="C1885" s="18">
        <v>114</v>
      </c>
      <c r="D1885" s="18">
        <v>3000033786</v>
      </c>
      <c r="E1885" s="18" t="s">
        <v>15</v>
      </c>
      <c r="F1885" s="18">
        <v>3225</v>
      </c>
      <c r="G1885" s="258">
        <v>42682</v>
      </c>
      <c r="H1885" s="261"/>
      <c r="I1885" s="261">
        <v>42689</v>
      </c>
      <c r="J1885" s="18" t="s">
        <v>8</v>
      </c>
      <c r="K1885" s="149">
        <v>10</v>
      </c>
      <c r="L1885" s="18">
        <v>10</v>
      </c>
      <c r="M1885" s="18">
        <v>10</v>
      </c>
      <c r="N1885" s="62">
        <f>+I1885+15-'V V F India Out Standing'!O1211</f>
        <v>42704</v>
      </c>
      <c r="O1885" s="146">
        <v>570000</v>
      </c>
      <c r="P1885" s="38">
        <f>(+O1885/K1885*M1885)-closed!O1884</f>
        <v>567533</v>
      </c>
      <c r="Q1885" s="258">
        <v>42730</v>
      </c>
      <c r="R1885" s="258">
        <v>42731</v>
      </c>
      <c r="S1885" s="230">
        <f t="shared" si="227"/>
        <v>27</v>
      </c>
    </row>
    <row r="1886" spans="1:20" s="65" customFormat="1" hidden="1" x14ac:dyDescent="0.25">
      <c r="A1886" s="260">
        <v>1005</v>
      </c>
      <c r="B1886" s="258">
        <v>42696</v>
      </c>
      <c r="C1886" s="18">
        <v>114</v>
      </c>
      <c r="D1886" s="18">
        <v>3000034725</v>
      </c>
      <c r="E1886" s="18" t="s">
        <v>15</v>
      </c>
      <c r="F1886" s="18">
        <v>3225</v>
      </c>
      <c r="G1886" s="258">
        <v>42682</v>
      </c>
      <c r="H1886" s="261"/>
      <c r="I1886" s="261">
        <v>42689</v>
      </c>
      <c r="J1886" s="18" t="s">
        <v>8</v>
      </c>
      <c r="K1886" s="149">
        <v>17.48</v>
      </c>
      <c r="L1886" s="18">
        <v>17.41</v>
      </c>
      <c r="M1886" s="18">
        <v>17.41</v>
      </c>
      <c r="N1886" s="62">
        <f>+I1886+15-'V V F India Out Standing'!O1212</f>
        <v>42704</v>
      </c>
      <c r="O1886" s="146">
        <v>1022580</v>
      </c>
      <c r="P1886" s="38">
        <f>(+O1886/K1886*M1886)</f>
        <v>1018485</v>
      </c>
      <c r="Q1886" s="258">
        <v>42730</v>
      </c>
      <c r="R1886" s="258">
        <v>42731</v>
      </c>
      <c r="S1886" s="230">
        <f t="shared" si="227"/>
        <v>27</v>
      </c>
    </row>
    <row r="1887" spans="1:20" s="65" customFormat="1" hidden="1" x14ac:dyDescent="0.25">
      <c r="B1887" s="258">
        <v>42696</v>
      </c>
      <c r="C1887" s="18">
        <v>114</v>
      </c>
      <c r="D1887" s="18"/>
      <c r="E1887" s="18" t="s">
        <v>15</v>
      </c>
      <c r="F1887" s="18" t="s">
        <v>359</v>
      </c>
      <c r="G1887" s="258">
        <v>42695</v>
      </c>
      <c r="H1887" s="261"/>
      <c r="I1887" s="146"/>
      <c r="J1887" s="18" t="s">
        <v>347</v>
      </c>
      <c r="K1887" s="149"/>
      <c r="L1887" s="18"/>
      <c r="M1887" s="18"/>
      <c r="N1887" s="18"/>
      <c r="O1887" s="146">
        <v>3323</v>
      </c>
      <c r="P1887" s="259"/>
      <c r="Q1887" s="258">
        <v>42730</v>
      </c>
      <c r="R1887" s="258">
        <v>42731</v>
      </c>
      <c r="S1887" s="230"/>
    </row>
    <row r="1888" spans="1:20" s="65" customFormat="1" hidden="1" x14ac:dyDescent="0.25">
      <c r="A1888" s="260">
        <v>1006</v>
      </c>
      <c r="B1888" s="258">
        <v>42696</v>
      </c>
      <c r="C1888" s="18">
        <v>114</v>
      </c>
      <c r="D1888" s="18">
        <v>3000033786</v>
      </c>
      <c r="E1888" s="18" t="s">
        <v>15</v>
      </c>
      <c r="F1888" s="18">
        <v>3226</v>
      </c>
      <c r="G1888" s="258">
        <v>42682</v>
      </c>
      <c r="H1888" s="261"/>
      <c r="I1888" s="261">
        <v>42689</v>
      </c>
      <c r="J1888" s="18" t="s">
        <v>8</v>
      </c>
      <c r="K1888" s="149">
        <v>27.83</v>
      </c>
      <c r="L1888" s="18">
        <v>27.69</v>
      </c>
      <c r="M1888" s="18">
        <v>27.69</v>
      </c>
      <c r="N1888" s="62">
        <f>+I1888+15-'V V F India Out Standing'!O1214</f>
        <v>42704</v>
      </c>
      <c r="O1888" s="146">
        <v>1586310</v>
      </c>
      <c r="P1888" s="38">
        <f>(+O1888/K1888*M1888)-closed!O1887</f>
        <v>1575007</v>
      </c>
      <c r="Q1888" s="258">
        <v>42730</v>
      </c>
      <c r="R1888" s="258">
        <v>42731</v>
      </c>
      <c r="S1888" s="230">
        <f t="shared" si="227"/>
        <v>27</v>
      </c>
    </row>
    <row r="1889" spans="1:22" s="3" customFormat="1" hidden="1" x14ac:dyDescent="0.25">
      <c r="A1889" s="212">
        <v>1014</v>
      </c>
      <c r="B1889" s="204">
        <v>42697</v>
      </c>
      <c r="C1889" s="1">
        <v>114</v>
      </c>
      <c r="D1889" s="1">
        <v>3000035065</v>
      </c>
      <c r="E1889" s="1" t="s">
        <v>18</v>
      </c>
      <c r="F1889" s="1">
        <v>125</v>
      </c>
      <c r="G1889" s="204">
        <v>42688</v>
      </c>
      <c r="H1889" s="205"/>
      <c r="I1889" s="205">
        <v>42693</v>
      </c>
      <c r="J1889" s="1" t="s">
        <v>8</v>
      </c>
      <c r="K1889" s="77">
        <v>3.73</v>
      </c>
      <c r="L1889" s="1">
        <v>3.57</v>
      </c>
      <c r="M1889" s="1">
        <v>3.57</v>
      </c>
      <c r="N1889" s="7">
        <f>+I1889+15-'V V F India Out Standing'!O1225</f>
        <v>42708</v>
      </c>
      <c r="O1889" s="75">
        <v>214848</v>
      </c>
      <c r="P1889" s="38">
        <f t="shared" ref="P1889:P1920" si="228">(+O1889/K1889*M1889)</f>
        <v>205632</v>
      </c>
      <c r="Q1889" s="258">
        <v>42730</v>
      </c>
      <c r="R1889" s="258">
        <v>42731</v>
      </c>
      <c r="S1889" s="230">
        <f t="shared" si="227"/>
        <v>23</v>
      </c>
    </row>
    <row r="1890" spans="1:22" s="3" customFormat="1" hidden="1" x14ac:dyDescent="0.25">
      <c r="A1890" s="212">
        <v>1015</v>
      </c>
      <c r="B1890" s="204">
        <v>42697</v>
      </c>
      <c r="C1890" s="1">
        <v>114</v>
      </c>
      <c r="D1890" s="1">
        <v>3000035399</v>
      </c>
      <c r="E1890" s="1" t="s">
        <v>18</v>
      </c>
      <c r="F1890" s="1">
        <v>125</v>
      </c>
      <c r="G1890" s="204">
        <v>42688</v>
      </c>
      <c r="H1890" s="205"/>
      <c r="I1890" s="205">
        <v>42693</v>
      </c>
      <c r="J1890" s="1" t="s">
        <v>8</v>
      </c>
      <c r="K1890" s="77">
        <v>23.99</v>
      </c>
      <c r="L1890" s="1">
        <v>23.99</v>
      </c>
      <c r="M1890" s="1">
        <v>23.99</v>
      </c>
      <c r="N1890" s="7">
        <f>+I1890+15-'V V F India Out Standing'!O1226</f>
        <v>42708</v>
      </c>
      <c r="O1890" s="75">
        <v>1343440</v>
      </c>
      <c r="P1890" s="38">
        <f t="shared" si="228"/>
        <v>1343440</v>
      </c>
      <c r="Q1890" s="258">
        <v>42730</v>
      </c>
      <c r="R1890" s="258">
        <v>42731</v>
      </c>
      <c r="S1890" s="230">
        <f t="shared" si="227"/>
        <v>23</v>
      </c>
    </row>
    <row r="1891" spans="1:22" s="3" customFormat="1" hidden="1" x14ac:dyDescent="0.25">
      <c r="A1891" s="212">
        <v>1017</v>
      </c>
      <c r="B1891" s="204">
        <v>42697</v>
      </c>
      <c r="C1891" s="1">
        <v>114</v>
      </c>
      <c r="D1891" s="1">
        <v>3000035895</v>
      </c>
      <c r="E1891" s="1" t="s">
        <v>30</v>
      </c>
      <c r="F1891" s="1">
        <v>370</v>
      </c>
      <c r="G1891" s="204">
        <v>42691</v>
      </c>
      <c r="H1891" s="205"/>
      <c r="I1891" s="205">
        <v>42693</v>
      </c>
      <c r="J1891" s="1" t="s">
        <v>229</v>
      </c>
      <c r="K1891" s="77">
        <v>28.72</v>
      </c>
      <c r="L1891" s="1">
        <v>28.61</v>
      </c>
      <c r="M1891" s="1">
        <v>28.61</v>
      </c>
      <c r="N1891" s="7">
        <f>+I1891+15-'V V F India Out Standing'!O1232</f>
        <v>42708</v>
      </c>
      <c r="O1891" s="75">
        <v>1421640</v>
      </c>
      <c r="P1891" s="38">
        <f t="shared" si="228"/>
        <v>1416195</v>
      </c>
      <c r="Q1891" s="258">
        <v>42730</v>
      </c>
      <c r="R1891" s="258">
        <v>42731</v>
      </c>
      <c r="S1891" s="230">
        <f t="shared" si="227"/>
        <v>23</v>
      </c>
    </row>
    <row r="1892" spans="1:22" s="3" customFormat="1" hidden="1" x14ac:dyDescent="0.25">
      <c r="A1892" s="212">
        <v>1029</v>
      </c>
      <c r="B1892" s="204">
        <v>42702</v>
      </c>
      <c r="C1892" s="1">
        <v>114</v>
      </c>
      <c r="D1892" s="1">
        <v>3000035437</v>
      </c>
      <c r="E1892" s="1" t="s">
        <v>30</v>
      </c>
      <c r="F1892" s="1">
        <v>382</v>
      </c>
      <c r="G1892" s="204">
        <v>42695</v>
      </c>
      <c r="H1892" s="205"/>
      <c r="I1892" s="205">
        <v>42699</v>
      </c>
      <c r="J1892" s="1" t="s">
        <v>229</v>
      </c>
      <c r="K1892" s="77">
        <v>28.88</v>
      </c>
      <c r="L1892" s="1">
        <v>28.72</v>
      </c>
      <c r="M1892" s="1">
        <v>28.72</v>
      </c>
      <c r="N1892" s="7">
        <f>+I1892+15-'V V F India Out Standing'!O1241</f>
        <v>42714</v>
      </c>
      <c r="O1892" s="75">
        <v>1415120</v>
      </c>
      <c r="P1892" s="38">
        <f t="shared" si="228"/>
        <v>1407280</v>
      </c>
      <c r="Q1892" s="258">
        <v>42730</v>
      </c>
      <c r="R1892" s="258">
        <v>42731</v>
      </c>
      <c r="S1892" s="230">
        <f t="shared" si="227"/>
        <v>17</v>
      </c>
    </row>
    <row r="1893" spans="1:22" s="3" customFormat="1" hidden="1" x14ac:dyDescent="0.25">
      <c r="A1893" s="212">
        <v>1022</v>
      </c>
      <c r="B1893" s="204">
        <v>42697</v>
      </c>
      <c r="C1893" s="1">
        <v>114</v>
      </c>
      <c r="D1893" s="1">
        <v>3000035063</v>
      </c>
      <c r="E1893" s="1" t="s">
        <v>348</v>
      </c>
      <c r="F1893" s="1" t="s">
        <v>349</v>
      </c>
      <c r="G1893" s="204">
        <v>42691</v>
      </c>
      <c r="H1893" s="205"/>
      <c r="I1893" s="205">
        <v>42695</v>
      </c>
      <c r="J1893" s="1" t="s">
        <v>8</v>
      </c>
      <c r="K1893" s="77">
        <v>23.295000000000002</v>
      </c>
      <c r="L1893" s="1">
        <v>23.094999999999999</v>
      </c>
      <c r="M1893" s="1">
        <v>23.094999999999999</v>
      </c>
      <c r="N1893" s="211">
        <f>+I1893+15-1</f>
        <v>42709</v>
      </c>
      <c r="O1893" s="75">
        <v>1341792</v>
      </c>
      <c r="P1893" s="38">
        <f t="shared" si="228"/>
        <v>1330271.9999999998</v>
      </c>
      <c r="Q1893" s="258">
        <v>42730</v>
      </c>
      <c r="R1893" s="258">
        <v>42731</v>
      </c>
      <c r="S1893" s="230">
        <f t="shared" si="227"/>
        <v>22</v>
      </c>
    </row>
    <row r="1894" spans="1:22" s="3" customFormat="1" hidden="1" x14ac:dyDescent="0.25">
      <c r="A1894" s="3">
        <v>1023</v>
      </c>
      <c r="B1894" s="204">
        <v>42697</v>
      </c>
      <c r="C1894" s="1">
        <v>114</v>
      </c>
      <c r="D1894" s="1">
        <v>3000035907</v>
      </c>
      <c r="E1894" s="1" t="s">
        <v>348</v>
      </c>
      <c r="F1894" s="1" t="s">
        <v>350</v>
      </c>
      <c r="G1894" s="204">
        <v>42691</v>
      </c>
      <c r="H1894" s="205"/>
      <c r="I1894" s="205">
        <v>42695</v>
      </c>
      <c r="J1894" s="1" t="s">
        <v>8</v>
      </c>
      <c r="K1894" s="77">
        <v>4.5949999999999998</v>
      </c>
      <c r="L1894" s="1">
        <v>4.5949999999999998</v>
      </c>
      <c r="M1894" s="1">
        <v>4.5949999999999998</v>
      </c>
      <c r="N1894" s="211">
        <f>+I1894+15-1</f>
        <v>42709</v>
      </c>
      <c r="O1894" s="75">
        <v>257320</v>
      </c>
      <c r="P1894" s="38">
        <f t="shared" si="228"/>
        <v>257320</v>
      </c>
      <c r="Q1894" s="258">
        <v>42730</v>
      </c>
      <c r="R1894" s="258">
        <v>42731</v>
      </c>
      <c r="S1894" s="230">
        <f t="shared" si="227"/>
        <v>22</v>
      </c>
    </row>
    <row r="1895" spans="1:22" s="41" customFormat="1" hidden="1" x14ac:dyDescent="0.25">
      <c r="A1895" s="72">
        <v>1007</v>
      </c>
      <c r="B1895" s="263">
        <v>42697</v>
      </c>
      <c r="C1895" s="21">
        <v>114</v>
      </c>
      <c r="D1895" s="21">
        <v>3000035918</v>
      </c>
      <c r="E1895" s="21" t="s">
        <v>202</v>
      </c>
      <c r="F1895" s="21">
        <v>189</v>
      </c>
      <c r="G1895" s="263">
        <v>42679</v>
      </c>
      <c r="H1895" s="264"/>
      <c r="I1895" s="264">
        <v>42690</v>
      </c>
      <c r="J1895" s="21" t="s">
        <v>61</v>
      </c>
      <c r="K1895" s="124">
        <v>20</v>
      </c>
      <c r="L1895" s="21">
        <v>19.899999999999999</v>
      </c>
      <c r="M1895" s="21">
        <v>19.899999999999999</v>
      </c>
      <c r="N1895" s="22">
        <f>+I1895+20-'V V F India Out Standing'!O1231</f>
        <v>42710</v>
      </c>
      <c r="O1895" s="122">
        <v>1990000</v>
      </c>
      <c r="P1895" s="36">
        <f t="shared" si="228"/>
        <v>1980049.9999999998</v>
      </c>
      <c r="Q1895" s="258">
        <v>42730</v>
      </c>
      <c r="R1895" s="258">
        <v>42731</v>
      </c>
      <c r="S1895" s="230">
        <f t="shared" si="227"/>
        <v>21</v>
      </c>
    </row>
    <row r="1896" spans="1:22" s="3" customFormat="1" hidden="1" x14ac:dyDescent="0.25">
      <c r="A1896" s="3">
        <v>1167</v>
      </c>
      <c r="B1896" s="204">
        <v>42717</v>
      </c>
      <c r="C1896" s="1">
        <v>114</v>
      </c>
      <c r="D1896" s="1">
        <v>3000035795</v>
      </c>
      <c r="E1896" s="1" t="s">
        <v>365</v>
      </c>
      <c r="F1896" s="1">
        <v>841</v>
      </c>
      <c r="G1896" s="204">
        <v>42682</v>
      </c>
      <c r="H1896" s="205"/>
      <c r="I1896" s="205">
        <v>42693</v>
      </c>
      <c r="J1896" s="1" t="s">
        <v>61</v>
      </c>
      <c r="K1896" s="77">
        <v>20.12</v>
      </c>
      <c r="L1896" s="1">
        <v>19.98</v>
      </c>
      <c r="M1896" s="1">
        <f>IF(L1896&gt;K1896,K1896,L1896)</f>
        <v>19.98</v>
      </c>
      <c r="N1896" s="211">
        <f>+I1896+20-1</f>
        <v>42712</v>
      </c>
      <c r="O1896" s="75">
        <v>1935689</v>
      </c>
      <c r="P1896" s="38">
        <f t="shared" si="228"/>
        <v>1922219.9910536779</v>
      </c>
      <c r="Q1896" s="258">
        <v>42730</v>
      </c>
      <c r="R1896" s="258">
        <v>42731</v>
      </c>
      <c r="S1896" s="230">
        <f t="shared" si="227"/>
        <v>19</v>
      </c>
    </row>
    <row r="1897" spans="1:22" s="3" customFormat="1" hidden="1" x14ac:dyDescent="0.25">
      <c r="A1897" s="212">
        <v>1032</v>
      </c>
      <c r="B1897" s="204">
        <v>42704</v>
      </c>
      <c r="C1897" s="1">
        <v>114</v>
      </c>
      <c r="D1897" s="1">
        <v>3000035398</v>
      </c>
      <c r="E1897" s="1" t="s">
        <v>27</v>
      </c>
      <c r="F1897" s="1">
        <v>931</v>
      </c>
      <c r="G1897" s="204">
        <v>42698</v>
      </c>
      <c r="H1897" s="205"/>
      <c r="I1897" s="205">
        <v>42701</v>
      </c>
      <c r="J1897" s="1" t="s">
        <v>8</v>
      </c>
      <c r="K1897" s="77">
        <v>25.72</v>
      </c>
      <c r="L1897" s="1">
        <v>25.52</v>
      </c>
      <c r="M1897" s="1">
        <v>25.52</v>
      </c>
      <c r="N1897" s="7">
        <f>+I1897+15-1</f>
        <v>42715</v>
      </c>
      <c r="O1897" s="75">
        <v>1440320</v>
      </c>
      <c r="P1897" s="38">
        <f t="shared" si="228"/>
        <v>1429120</v>
      </c>
      <c r="Q1897" s="258">
        <v>42730</v>
      </c>
      <c r="R1897" s="258">
        <v>42731</v>
      </c>
      <c r="S1897" s="230">
        <f t="shared" si="227"/>
        <v>16</v>
      </c>
    </row>
    <row r="1898" spans="1:22" s="3" customFormat="1" hidden="1" x14ac:dyDescent="0.25">
      <c r="A1898" s="212">
        <v>1031</v>
      </c>
      <c r="B1898" s="204">
        <v>42704</v>
      </c>
      <c r="C1898" s="1">
        <v>114</v>
      </c>
      <c r="D1898" s="1">
        <v>3000035398</v>
      </c>
      <c r="E1898" s="1" t="s">
        <v>27</v>
      </c>
      <c r="F1898" s="1">
        <v>930</v>
      </c>
      <c r="G1898" s="204">
        <v>42697</v>
      </c>
      <c r="H1898" s="205"/>
      <c r="I1898" s="205">
        <v>42702</v>
      </c>
      <c r="J1898" s="1" t="s">
        <v>8</v>
      </c>
      <c r="K1898" s="77">
        <v>27.89</v>
      </c>
      <c r="L1898" s="1">
        <v>27.56</v>
      </c>
      <c r="M1898" s="1">
        <v>27.56</v>
      </c>
      <c r="N1898" s="7">
        <f>+I1898+15-1</f>
        <v>42716</v>
      </c>
      <c r="O1898" s="75">
        <v>1561840</v>
      </c>
      <c r="P1898" s="38">
        <f t="shared" si="228"/>
        <v>1543360</v>
      </c>
      <c r="Q1898" s="258">
        <v>42730</v>
      </c>
      <c r="R1898" s="258">
        <v>42731</v>
      </c>
      <c r="S1898" s="230">
        <f t="shared" si="227"/>
        <v>15</v>
      </c>
    </row>
    <row r="1899" spans="1:22" s="3" customFormat="1" hidden="1" x14ac:dyDescent="0.25">
      <c r="A1899" s="212">
        <v>1026</v>
      </c>
      <c r="B1899" s="204">
        <v>42702</v>
      </c>
      <c r="C1899" s="1">
        <v>114</v>
      </c>
      <c r="D1899" s="1">
        <v>3000036156</v>
      </c>
      <c r="E1899" s="1" t="s">
        <v>158</v>
      </c>
      <c r="F1899" s="1">
        <v>130</v>
      </c>
      <c r="G1899" s="204">
        <v>42686</v>
      </c>
      <c r="H1899" s="205"/>
      <c r="I1899" s="205">
        <v>42697</v>
      </c>
      <c r="J1899" s="1" t="s">
        <v>61</v>
      </c>
      <c r="K1899" s="77">
        <v>20.07</v>
      </c>
      <c r="L1899" s="1">
        <v>20.04</v>
      </c>
      <c r="M1899" s="1">
        <v>20.04</v>
      </c>
      <c r="N1899" s="211">
        <f>+I1899+20-1</f>
        <v>42716</v>
      </c>
      <c r="O1899" s="207">
        <v>1998955</v>
      </c>
      <c r="P1899" s="38">
        <f t="shared" si="228"/>
        <v>1995967.0254110612</v>
      </c>
      <c r="Q1899" s="258">
        <v>42730</v>
      </c>
      <c r="R1899" s="258">
        <v>42731</v>
      </c>
      <c r="S1899" s="230">
        <f t="shared" si="227"/>
        <v>15</v>
      </c>
    </row>
    <row r="1900" spans="1:22" s="3" customFormat="1" hidden="1" x14ac:dyDescent="0.25">
      <c r="A1900" s="3">
        <v>1037</v>
      </c>
      <c r="B1900" s="204">
        <v>42704</v>
      </c>
      <c r="C1900" s="1">
        <v>114</v>
      </c>
      <c r="D1900" s="1">
        <v>3000036156</v>
      </c>
      <c r="E1900" s="1" t="s">
        <v>158</v>
      </c>
      <c r="F1900" s="1">
        <v>126</v>
      </c>
      <c r="G1900" s="204">
        <v>42684</v>
      </c>
      <c r="H1900" s="205"/>
      <c r="I1900" s="205">
        <v>42702</v>
      </c>
      <c r="J1900" s="1" t="s">
        <v>61</v>
      </c>
      <c r="K1900" s="77">
        <v>20.18</v>
      </c>
      <c r="L1900" s="1">
        <v>20.13</v>
      </c>
      <c r="M1900" s="1">
        <v>20.13</v>
      </c>
      <c r="N1900" s="211">
        <f>+I1900+20-1</f>
        <v>42721</v>
      </c>
      <c r="O1900" s="207">
        <v>2007910</v>
      </c>
      <c r="P1900" s="38">
        <f t="shared" si="228"/>
        <v>2002935</v>
      </c>
      <c r="Q1900" s="258">
        <v>42730</v>
      </c>
      <c r="R1900" s="258">
        <v>42731</v>
      </c>
      <c r="S1900" s="230">
        <f t="shared" si="227"/>
        <v>10</v>
      </c>
    </row>
    <row r="1901" spans="1:22" s="3" customFormat="1" hidden="1" x14ac:dyDescent="0.25">
      <c r="A1901" s="212">
        <v>1336</v>
      </c>
      <c r="B1901" s="204">
        <v>42720</v>
      </c>
      <c r="C1901" s="1">
        <v>116</v>
      </c>
      <c r="D1901" s="1">
        <v>3000036876</v>
      </c>
      <c r="E1901" s="1" t="s">
        <v>346</v>
      </c>
      <c r="F1901" s="1">
        <v>9601988944</v>
      </c>
      <c r="G1901" s="204">
        <v>42712</v>
      </c>
      <c r="H1901" s="205"/>
      <c r="I1901" s="205">
        <v>42712</v>
      </c>
      <c r="J1901" s="1" t="s">
        <v>16</v>
      </c>
      <c r="K1901" s="77">
        <v>15.96</v>
      </c>
      <c r="L1901" s="1">
        <v>15.96</v>
      </c>
      <c r="M1901" s="1">
        <f>IF(L1901&gt;K1901,K1901,L1901)</f>
        <v>15.96</v>
      </c>
      <c r="N1901" s="211">
        <f>+I1901+10-1</f>
        <v>42721</v>
      </c>
      <c r="O1901" s="75">
        <v>846489</v>
      </c>
      <c r="P1901" s="38">
        <f t="shared" si="228"/>
        <v>846489</v>
      </c>
      <c r="Q1901" s="258">
        <v>42730</v>
      </c>
      <c r="R1901" s="258">
        <v>42731</v>
      </c>
      <c r="S1901" s="230">
        <f t="shared" si="227"/>
        <v>10</v>
      </c>
    </row>
    <row r="1902" spans="1:22" s="3" customFormat="1" hidden="1" x14ac:dyDescent="0.25">
      <c r="A1902" s="3">
        <v>1349</v>
      </c>
      <c r="B1902" s="204">
        <v>42720</v>
      </c>
      <c r="C1902" s="1">
        <v>116</v>
      </c>
      <c r="D1902" s="1">
        <v>3000036876</v>
      </c>
      <c r="E1902" s="1" t="s">
        <v>346</v>
      </c>
      <c r="F1902" s="1">
        <v>9601988951</v>
      </c>
      <c r="G1902" s="204">
        <v>42713</v>
      </c>
      <c r="H1902" s="205"/>
      <c r="I1902" s="205">
        <v>42713</v>
      </c>
      <c r="J1902" s="1" t="s">
        <v>16</v>
      </c>
      <c r="K1902" s="77">
        <v>15.6</v>
      </c>
      <c r="L1902" s="1">
        <v>15.6</v>
      </c>
      <c r="M1902" s="1">
        <f>IF(L1902&gt;K1902,K1902,L1902)</f>
        <v>15.6</v>
      </c>
      <c r="N1902" s="211">
        <f>+I1902+10-1</f>
        <v>42722</v>
      </c>
      <c r="O1902" s="75">
        <v>827395</v>
      </c>
      <c r="P1902" s="38">
        <f t="shared" si="228"/>
        <v>827395</v>
      </c>
      <c r="Q1902" s="258">
        <v>42730</v>
      </c>
      <c r="R1902" s="258">
        <v>42731</v>
      </c>
      <c r="S1902" s="230">
        <f t="shared" si="227"/>
        <v>9</v>
      </c>
      <c r="T1902" s="15" t="s">
        <v>466</v>
      </c>
      <c r="U1902" s="15"/>
      <c r="V1902" s="15"/>
    </row>
    <row r="1903" spans="1:22" s="85" customFormat="1" hidden="1" x14ac:dyDescent="0.25">
      <c r="A1903" s="212">
        <v>1018</v>
      </c>
      <c r="B1903" s="282">
        <v>42697</v>
      </c>
      <c r="C1903" s="5">
        <v>114</v>
      </c>
      <c r="D1903" s="5">
        <v>3000035153</v>
      </c>
      <c r="E1903" s="5" t="s">
        <v>49</v>
      </c>
      <c r="F1903" s="5">
        <v>38</v>
      </c>
      <c r="G1903" s="282">
        <v>42691</v>
      </c>
      <c r="H1903" s="283"/>
      <c r="I1903" s="283">
        <v>42694</v>
      </c>
      <c r="J1903" s="5" t="s">
        <v>8</v>
      </c>
      <c r="K1903" s="281">
        <v>29.635000000000002</v>
      </c>
      <c r="L1903" s="5">
        <v>29.52</v>
      </c>
      <c r="M1903" s="5">
        <v>29.52</v>
      </c>
      <c r="N1903" s="280">
        <f>+I1903+15-'V V F India Out Standing'!O1221</f>
        <v>42709</v>
      </c>
      <c r="O1903" s="284">
        <v>1689195</v>
      </c>
      <c r="P1903" s="36">
        <f t="shared" si="228"/>
        <v>1682640</v>
      </c>
      <c r="Q1903" s="285">
        <v>42732</v>
      </c>
      <c r="R1903" s="285">
        <v>42733</v>
      </c>
      <c r="S1903" s="113">
        <f t="shared" si="227"/>
        <v>24</v>
      </c>
    </row>
    <row r="1904" spans="1:22" s="3" customFormat="1" hidden="1" x14ac:dyDescent="0.25">
      <c r="A1904" s="212">
        <v>1027</v>
      </c>
      <c r="B1904" s="204">
        <v>42702</v>
      </c>
      <c r="C1904" s="1">
        <v>114</v>
      </c>
      <c r="D1904" s="1">
        <v>3000035063</v>
      </c>
      <c r="E1904" s="1" t="s">
        <v>348</v>
      </c>
      <c r="F1904" s="1" t="s">
        <v>354</v>
      </c>
      <c r="G1904" s="204">
        <v>42691</v>
      </c>
      <c r="H1904" s="205"/>
      <c r="I1904" s="205">
        <v>42698</v>
      </c>
      <c r="J1904" s="1" t="s">
        <v>8</v>
      </c>
      <c r="K1904" s="77">
        <v>23.965</v>
      </c>
      <c r="L1904" s="1">
        <v>23.86</v>
      </c>
      <c r="M1904" s="1">
        <v>23.86</v>
      </c>
      <c r="N1904" s="211">
        <f t="shared" ref="N1904:N1909" si="229">+I1904+15-1</f>
        <v>42712</v>
      </c>
      <c r="O1904" s="75">
        <v>1380384</v>
      </c>
      <c r="P1904" s="36">
        <f t="shared" si="228"/>
        <v>1374336</v>
      </c>
      <c r="Q1904" s="258">
        <v>42732</v>
      </c>
      <c r="R1904" s="258">
        <v>42733</v>
      </c>
      <c r="S1904" s="230">
        <f t="shared" si="227"/>
        <v>21</v>
      </c>
    </row>
    <row r="1905" spans="1:19" s="3" customFormat="1" hidden="1" x14ac:dyDescent="0.25">
      <c r="A1905" s="212">
        <v>1310</v>
      </c>
      <c r="B1905" s="204">
        <v>42717</v>
      </c>
      <c r="C1905" s="1">
        <v>114</v>
      </c>
      <c r="D1905" s="1">
        <v>3000035100</v>
      </c>
      <c r="E1905" s="1" t="s">
        <v>348</v>
      </c>
      <c r="F1905" s="1">
        <v>88</v>
      </c>
      <c r="G1905" s="204">
        <v>42697</v>
      </c>
      <c r="H1905" s="205"/>
      <c r="I1905" s="205">
        <v>42707</v>
      </c>
      <c r="J1905" s="1" t="s">
        <v>16</v>
      </c>
      <c r="K1905" s="77">
        <v>29.47</v>
      </c>
      <c r="L1905" s="1">
        <v>29.41</v>
      </c>
      <c r="M1905" s="1">
        <f>IF(L1905&gt;K1905,K1905,L1905)</f>
        <v>29.41</v>
      </c>
      <c r="N1905" s="211">
        <f t="shared" si="229"/>
        <v>42721</v>
      </c>
      <c r="O1905" s="75">
        <v>1685684</v>
      </c>
      <c r="P1905" s="36">
        <f t="shared" si="228"/>
        <v>1682252</v>
      </c>
      <c r="Q1905" s="258">
        <v>42732</v>
      </c>
      <c r="R1905" s="258">
        <v>42733</v>
      </c>
      <c r="S1905" s="230">
        <f t="shared" si="227"/>
        <v>12</v>
      </c>
    </row>
    <row r="1906" spans="1:19" s="3" customFormat="1" hidden="1" x14ac:dyDescent="0.25">
      <c r="A1906" s="3">
        <v>1297</v>
      </c>
      <c r="B1906" s="204">
        <v>42717</v>
      </c>
      <c r="C1906" s="1">
        <v>114</v>
      </c>
      <c r="D1906" s="1">
        <v>3000035397</v>
      </c>
      <c r="E1906" s="1" t="s">
        <v>348</v>
      </c>
      <c r="F1906" s="1">
        <v>237</v>
      </c>
      <c r="G1906" s="204">
        <v>42700</v>
      </c>
      <c r="H1906" s="205"/>
      <c r="I1906" s="205">
        <v>42708</v>
      </c>
      <c r="J1906" s="1" t="s">
        <v>8</v>
      </c>
      <c r="K1906" s="77">
        <v>28.58</v>
      </c>
      <c r="L1906" s="1">
        <v>28.31</v>
      </c>
      <c r="M1906" s="1">
        <f>IF(L1906&gt;K1906,K1906,L1906)</f>
        <v>28.31</v>
      </c>
      <c r="N1906" s="211">
        <f t="shared" si="229"/>
        <v>42722</v>
      </c>
      <c r="O1906" s="75">
        <v>1600480</v>
      </c>
      <c r="P1906" s="36">
        <f t="shared" si="228"/>
        <v>1585360</v>
      </c>
      <c r="Q1906" s="258">
        <v>42732</v>
      </c>
      <c r="R1906" s="258">
        <v>42733</v>
      </c>
      <c r="S1906" s="230">
        <f t="shared" si="227"/>
        <v>11</v>
      </c>
    </row>
    <row r="1907" spans="1:19" s="3" customFormat="1" hidden="1" x14ac:dyDescent="0.25">
      <c r="A1907" s="212">
        <v>1180</v>
      </c>
      <c r="B1907" s="204">
        <v>42717</v>
      </c>
      <c r="C1907" s="1">
        <v>114</v>
      </c>
      <c r="D1907" s="1">
        <v>3000035057</v>
      </c>
      <c r="E1907" s="1" t="s">
        <v>18</v>
      </c>
      <c r="F1907" s="1">
        <v>128</v>
      </c>
      <c r="G1907" s="204">
        <v>42689</v>
      </c>
      <c r="H1907" s="205"/>
      <c r="I1907" s="205">
        <v>42703</v>
      </c>
      <c r="J1907" s="1" t="s">
        <v>16</v>
      </c>
      <c r="K1907" s="77">
        <v>27.54</v>
      </c>
      <c r="L1907" s="1">
        <v>27.33</v>
      </c>
      <c r="M1907" s="1">
        <f>IF(L1907&gt;K1907,K1907,L1907)</f>
        <v>27.33</v>
      </c>
      <c r="N1907" s="211">
        <f t="shared" si="229"/>
        <v>42717</v>
      </c>
      <c r="O1907" s="75">
        <v>1528470</v>
      </c>
      <c r="P1907" s="36">
        <f t="shared" si="228"/>
        <v>1516815</v>
      </c>
      <c r="Q1907" s="258">
        <v>42732</v>
      </c>
      <c r="R1907" s="258">
        <v>42733</v>
      </c>
      <c r="S1907" s="230">
        <f t="shared" si="227"/>
        <v>16</v>
      </c>
    </row>
    <row r="1908" spans="1:19" s="3" customFormat="1" hidden="1" x14ac:dyDescent="0.25">
      <c r="A1908" s="212">
        <v>1034</v>
      </c>
      <c r="B1908" s="204">
        <v>42704</v>
      </c>
      <c r="C1908" s="1">
        <v>114</v>
      </c>
      <c r="D1908" s="1">
        <v>3000035057</v>
      </c>
      <c r="E1908" s="1" t="s">
        <v>18</v>
      </c>
      <c r="F1908" s="1">
        <v>130</v>
      </c>
      <c r="G1908" s="204">
        <v>42693</v>
      </c>
      <c r="H1908" s="205"/>
      <c r="I1908" s="205">
        <v>42701</v>
      </c>
      <c r="J1908" s="1" t="s">
        <v>16</v>
      </c>
      <c r="K1908" s="77">
        <v>20.75</v>
      </c>
      <c r="L1908" s="1">
        <v>20.75</v>
      </c>
      <c r="M1908" s="1">
        <v>20.75</v>
      </c>
      <c r="N1908" s="7">
        <f t="shared" si="229"/>
        <v>42715</v>
      </c>
      <c r="O1908" s="75">
        <v>1151625</v>
      </c>
      <c r="P1908" s="36">
        <f t="shared" si="228"/>
        <v>1151625</v>
      </c>
      <c r="Q1908" s="258">
        <v>42732</v>
      </c>
      <c r="R1908" s="258">
        <v>42733</v>
      </c>
      <c r="S1908" s="230">
        <f t="shared" si="227"/>
        <v>18</v>
      </c>
    </row>
    <row r="1909" spans="1:19" s="3" customFormat="1" hidden="1" x14ac:dyDescent="0.25">
      <c r="A1909" s="212">
        <v>1035</v>
      </c>
      <c r="B1909" s="204">
        <v>42704</v>
      </c>
      <c r="C1909" s="1">
        <v>114</v>
      </c>
      <c r="D1909" s="1">
        <v>3000036433</v>
      </c>
      <c r="E1909" s="1" t="s">
        <v>18</v>
      </c>
      <c r="F1909" s="1">
        <v>130</v>
      </c>
      <c r="G1909" s="204">
        <v>42693</v>
      </c>
      <c r="H1909" s="205"/>
      <c r="I1909" s="205">
        <v>42701</v>
      </c>
      <c r="J1909" s="1" t="s">
        <v>16</v>
      </c>
      <c r="K1909" s="77">
        <v>7.2</v>
      </c>
      <c r="L1909" s="1">
        <v>7.2</v>
      </c>
      <c r="M1909" s="1">
        <v>7.2</v>
      </c>
      <c r="N1909" s="7">
        <f t="shared" si="229"/>
        <v>42715</v>
      </c>
      <c r="O1909" s="75">
        <v>390240</v>
      </c>
      <c r="P1909" s="36">
        <f t="shared" si="228"/>
        <v>390240</v>
      </c>
      <c r="Q1909" s="258">
        <v>42732</v>
      </c>
      <c r="R1909" s="258">
        <v>42733</v>
      </c>
      <c r="S1909" s="230">
        <f t="shared" si="227"/>
        <v>18</v>
      </c>
    </row>
    <row r="1910" spans="1:19" s="3" customFormat="1" hidden="1" x14ac:dyDescent="0.25">
      <c r="A1910" s="212">
        <v>1028</v>
      </c>
      <c r="B1910" s="204">
        <v>42702</v>
      </c>
      <c r="C1910" s="1">
        <v>114</v>
      </c>
      <c r="D1910" s="1">
        <v>3000035399</v>
      </c>
      <c r="E1910" s="1" t="s">
        <v>18</v>
      </c>
      <c r="F1910" s="1">
        <v>131</v>
      </c>
      <c r="G1910" s="204">
        <v>42693</v>
      </c>
      <c r="H1910" s="205"/>
      <c r="I1910" s="205">
        <v>42698</v>
      </c>
      <c r="J1910" s="1" t="s">
        <v>8</v>
      </c>
      <c r="K1910" s="77">
        <v>20.53</v>
      </c>
      <c r="L1910" s="1">
        <v>20.53</v>
      </c>
      <c r="M1910" s="1">
        <v>20.53</v>
      </c>
      <c r="N1910" s="7">
        <f>+I1910+15-'V V F India Out Standing'!O1235</f>
        <v>42713</v>
      </c>
      <c r="O1910" s="75">
        <v>1149680</v>
      </c>
      <c r="P1910" s="36">
        <f t="shared" si="228"/>
        <v>1149680</v>
      </c>
      <c r="Q1910" s="258">
        <v>42732</v>
      </c>
      <c r="R1910" s="258">
        <v>42733</v>
      </c>
      <c r="S1910" s="230">
        <f t="shared" si="227"/>
        <v>20</v>
      </c>
    </row>
    <row r="1911" spans="1:19" s="3" customFormat="1" hidden="1" x14ac:dyDescent="0.25">
      <c r="A1911" s="3">
        <v>1193</v>
      </c>
      <c r="B1911" s="204">
        <v>42717</v>
      </c>
      <c r="C1911" s="1">
        <v>114</v>
      </c>
      <c r="D1911" s="1">
        <v>3000035399</v>
      </c>
      <c r="E1911" s="1" t="s">
        <v>18</v>
      </c>
      <c r="F1911" s="16">
        <v>132</v>
      </c>
      <c r="G1911" s="204">
        <v>42696</v>
      </c>
      <c r="H1911" s="205"/>
      <c r="I1911" s="205">
        <v>42706</v>
      </c>
      <c r="J1911" s="1" t="s">
        <v>8</v>
      </c>
      <c r="K1911" s="77">
        <v>5.48</v>
      </c>
      <c r="L1911" s="1">
        <v>5.44</v>
      </c>
      <c r="M1911" s="1">
        <f>IF(L1911&gt;K1911,K1911,L1911)</f>
        <v>5.44</v>
      </c>
      <c r="N1911" s="211">
        <f>+I1911+15-1</f>
        <v>42720</v>
      </c>
      <c r="O1911" s="75">
        <v>306880</v>
      </c>
      <c r="P1911" s="36">
        <f t="shared" si="228"/>
        <v>304640</v>
      </c>
      <c r="Q1911" s="258">
        <v>42732</v>
      </c>
      <c r="R1911" s="258">
        <v>42733</v>
      </c>
      <c r="S1911" s="230">
        <f t="shared" si="227"/>
        <v>13</v>
      </c>
    </row>
    <row r="1912" spans="1:19" s="3" customFormat="1" hidden="1" x14ac:dyDescent="0.25">
      <c r="A1912" s="212">
        <v>1206</v>
      </c>
      <c r="B1912" s="204">
        <v>42717</v>
      </c>
      <c r="C1912" s="1">
        <v>114</v>
      </c>
      <c r="D1912" s="1">
        <v>3000035699</v>
      </c>
      <c r="E1912" s="1" t="s">
        <v>18</v>
      </c>
      <c r="F1912" s="16">
        <v>132</v>
      </c>
      <c r="G1912" s="204">
        <v>42696</v>
      </c>
      <c r="H1912" s="205"/>
      <c r="I1912" s="205">
        <v>42706</v>
      </c>
      <c r="J1912" s="1" t="s">
        <v>8</v>
      </c>
      <c r="K1912" s="77">
        <v>14.52</v>
      </c>
      <c r="L1912" s="1">
        <v>14.52</v>
      </c>
      <c r="M1912" s="1">
        <f>IF(L1912&gt;K1912,K1912,L1912)</f>
        <v>14.52</v>
      </c>
      <c r="N1912" s="211">
        <f>+I1912+15-1</f>
        <v>42720</v>
      </c>
      <c r="O1912" s="75">
        <v>805860</v>
      </c>
      <c r="P1912" s="36">
        <f t="shared" si="228"/>
        <v>805860</v>
      </c>
      <c r="Q1912" s="258">
        <v>42732</v>
      </c>
      <c r="R1912" s="258">
        <v>42733</v>
      </c>
      <c r="S1912" s="230">
        <f t="shared" si="227"/>
        <v>13</v>
      </c>
    </row>
    <row r="1913" spans="1:19" s="3" customFormat="1" hidden="1" x14ac:dyDescent="0.25">
      <c r="A1913" s="3">
        <v>1219</v>
      </c>
      <c r="B1913" s="204">
        <v>42717</v>
      </c>
      <c r="C1913" s="1">
        <v>114</v>
      </c>
      <c r="D1913" s="1">
        <v>3000035699</v>
      </c>
      <c r="E1913" s="1" t="s">
        <v>18</v>
      </c>
      <c r="F1913" s="16">
        <v>133</v>
      </c>
      <c r="G1913" s="204">
        <v>42696</v>
      </c>
      <c r="H1913" s="205"/>
      <c r="I1913" s="205">
        <v>42706</v>
      </c>
      <c r="J1913" s="1" t="s">
        <v>8</v>
      </c>
      <c r="K1913" s="77">
        <v>15.48</v>
      </c>
      <c r="L1913" s="1">
        <v>15.39</v>
      </c>
      <c r="M1913" s="1">
        <f>IF(L1913&gt;K1913,K1913,L1913)</f>
        <v>15.39</v>
      </c>
      <c r="N1913" s="211">
        <f>+I1913+15-1</f>
        <v>42720</v>
      </c>
      <c r="O1913" s="75">
        <v>859140</v>
      </c>
      <c r="P1913" s="36">
        <f t="shared" si="228"/>
        <v>854145</v>
      </c>
      <c r="Q1913" s="258">
        <v>42732</v>
      </c>
      <c r="R1913" s="258">
        <v>42733</v>
      </c>
      <c r="S1913" s="230">
        <f t="shared" si="227"/>
        <v>13</v>
      </c>
    </row>
    <row r="1914" spans="1:19" s="3" customFormat="1" hidden="1" x14ac:dyDescent="0.25">
      <c r="A1914" s="212">
        <v>1232</v>
      </c>
      <c r="B1914" s="204">
        <v>42717</v>
      </c>
      <c r="C1914" s="1">
        <v>114</v>
      </c>
      <c r="D1914" s="1">
        <v>3000035806</v>
      </c>
      <c r="E1914" s="1" t="s">
        <v>18</v>
      </c>
      <c r="F1914" s="16">
        <v>133</v>
      </c>
      <c r="G1914" s="204">
        <v>42696</v>
      </c>
      <c r="H1914" s="205"/>
      <c r="I1914" s="205">
        <v>42706</v>
      </c>
      <c r="J1914" s="1" t="s">
        <v>8</v>
      </c>
      <c r="K1914" s="77">
        <v>4.51</v>
      </c>
      <c r="L1914" s="1">
        <v>4.51</v>
      </c>
      <c r="M1914" s="1">
        <f>IF(L1914&gt;K1914,K1914,L1914)</f>
        <v>4.51</v>
      </c>
      <c r="N1914" s="211">
        <f>+I1914+15-1</f>
        <v>42720</v>
      </c>
      <c r="O1914" s="75">
        <v>249854</v>
      </c>
      <c r="P1914" s="36">
        <f t="shared" si="228"/>
        <v>249854</v>
      </c>
      <c r="Q1914" s="258">
        <v>42732</v>
      </c>
      <c r="R1914" s="258">
        <v>42733</v>
      </c>
      <c r="S1914" s="230">
        <f t="shared" si="227"/>
        <v>13</v>
      </c>
    </row>
    <row r="1915" spans="1:19" s="3" customFormat="1" hidden="1" x14ac:dyDescent="0.25">
      <c r="A1915" s="212">
        <v>1030</v>
      </c>
      <c r="B1915" s="204">
        <v>42702</v>
      </c>
      <c r="C1915" s="1">
        <v>114</v>
      </c>
      <c r="D1915" s="1">
        <v>3000035437</v>
      </c>
      <c r="E1915" s="1" t="s">
        <v>30</v>
      </c>
      <c r="F1915" s="1">
        <v>389</v>
      </c>
      <c r="G1915" s="204">
        <v>42697</v>
      </c>
      <c r="H1915" s="205"/>
      <c r="I1915" s="205">
        <v>42699</v>
      </c>
      <c r="J1915" s="1" t="s">
        <v>229</v>
      </c>
      <c r="K1915" s="77">
        <v>28.18</v>
      </c>
      <c r="L1915" s="1">
        <v>28.01</v>
      </c>
      <c r="M1915" s="1">
        <v>28.01</v>
      </c>
      <c r="N1915" s="7">
        <f>+I1915+15-'V V F India Out Standing'!O1242</f>
        <v>42714</v>
      </c>
      <c r="O1915" s="75">
        <v>1380820</v>
      </c>
      <c r="P1915" s="36">
        <f t="shared" si="228"/>
        <v>1372490</v>
      </c>
      <c r="Q1915" s="258">
        <v>42732</v>
      </c>
      <c r="R1915" s="258">
        <v>42733</v>
      </c>
      <c r="S1915" s="230">
        <f t="shared" si="227"/>
        <v>19</v>
      </c>
    </row>
    <row r="1916" spans="1:19" s="3" customFormat="1" hidden="1" x14ac:dyDescent="0.25">
      <c r="A1916" s="212">
        <v>1039</v>
      </c>
      <c r="B1916" s="204">
        <v>42704</v>
      </c>
      <c r="C1916" s="1">
        <v>114</v>
      </c>
      <c r="D1916" s="1">
        <v>3000035437</v>
      </c>
      <c r="E1916" s="1" t="s">
        <v>30</v>
      </c>
      <c r="F1916" s="1">
        <v>395</v>
      </c>
      <c r="G1916" s="204">
        <v>42699</v>
      </c>
      <c r="H1916" s="205"/>
      <c r="I1916" s="205">
        <v>42701</v>
      </c>
      <c r="J1916" s="1" t="s">
        <v>229</v>
      </c>
      <c r="K1916" s="77">
        <v>28.7</v>
      </c>
      <c r="L1916" s="1">
        <v>28.55</v>
      </c>
      <c r="M1916" s="1">
        <v>28.55</v>
      </c>
      <c r="N1916" s="7">
        <f>+I1916+15-'V V F India Out Standing'!O1250</f>
        <v>42716</v>
      </c>
      <c r="O1916" s="75">
        <v>1406300</v>
      </c>
      <c r="P1916" s="36">
        <f t="shared" si="228"/>
        <v>1398950</v>
      </c>
      <c r="Q1916" s="258">
        <v>42732</v>
      </c>
      <c r="R1916" s="258">
        <v>42733</v>
      </c>
      <c r="S1916" s="230">
        <f t="shared" si="227"/>
        <v>17</v>
      </c>
    </row>
    <row r="1917" spans="1:19" s="3" customFormat="1" hidden="1" x14ac:dyDescent="0.25">
      <c r="A1917" s="3">
        <v>1323</v>
      </c>
      <c r="B1917" s="204">
        <v>42717</v>
      </c>
      <c r="C1917" s="1">
        <v>114</v>
      </c>
      <c r="D1917" s="1">
        <v>3000035437</v>
      </c>
      <c r="E1917" s="1" t="s">
        <v>30</v>
      </c>
      <c r="F1917" s="1">
        <v>402</v>
      </c>
      <c r="G1917" s="204">
        <v>42701</v>
      </c>
      <c r="H1917" s="205"/>
      <c r="I1917" s="205">
        <v>42704</v>
      </c>
      <c r="J1917" s="1" t="s">
        <v>229</v>
      </c>
      <c r="K1917" s="77">
        <v>28.24</v>
      </c>
      <c r="L1917" s="1">
        <v>28.06</v>
      </c>
      <c r="M1917" s="1">
        <f>IF(L1917&gt;K1917,K1917,L1917)</f>
        <v>28.06</v>
      </c>
      <c r="N1917" s="211">
        <f t="shared" ref="N1917:N1932" si="230">+I1917+15-1</f>
        <v>42718</v>
      </c>
      <c r="O1917" s="75">
        <v>1383760</v>
      </c>
      <c r="P1917" s="36">
        <f t="shared" si="228"/>
        <v>1374940</v>
      </c>
      <c r="Q1917" s="258">
        <v>42732</v>
      </c>
      <c r="R1917" s="258">
        <v>42733</v>
      </c>
      <c r="S1917" s="230">
        <f t="shared" si="227"/>
        <v>15</v>
      </c>
    </row>
    <row r="1918" spans="1:19" s="3" customFormat="1" hidden="1" x14ac:dyDescent="0.25">
      <c r="A1918" s="212">
        <v>1622</v>
      </c>
      <c r="B1918" s="204">
        <v>42720</v>
      </c>
      <c r="C1918" s="1">
        <v>114</v>
      </c>
      <c r="D1918" s="1" t="s">
        <v>369</v>
      </c>
      <c r="E1918" s="1" t="s">
        <v>30</v>
      </c>
      <c r="F1918" s="1">
        <v>410</v>
      </c>
      <c r="G1918" s="204">
        <v>42704</v>
      </c>
      <c r="H1918" s="205"/>
      <c r="I1918" s="205">
        <v>42710</v>
      </c>
      <c r="J1918" s="1" t="s">
        <v>229</v>
      </c>
      <c r="K1918" s="77">
        <v>28.53</v>
      </c>
      <c r="L1918" s="1">
        <v>28.36</v>
      </c>
      <c r="M1918" s="1">
        <f>IF(L1918&gt;K1918,K1918,L1918)</f>
        <v>28.36</v>
      </c>
      <c r="N1918" s="211">
        <f t="shared" si="230"/>
        <v>42724</v>
      </c>
      <c r="O1918" s="75">
        <v>1397970</v>
      </c>
      <c r="P1918" s="36">
        <f t="shared" si="228"/>
        <v>1389640</v>
      </c>
      <c r="Q1918" s="258">
        <v>42732</v>
      </c>
      <c r="R1918" s="258">
        <v>42733</v>
      </c>
      <c r="S1918" s="230">
        <f t="shared" si="227"/>
        <v>9</v>
      </c>
    </row>
    <row r="1919" spans="1:19" s="3" customFormat="1" hidden="1" x14ac:dyDescent="0.25">
      <c r="A1919" s="3">
        <v>1557</v>
      </c>
      <c r="B1919" s="204">
        <v>42720</v>
      </c>
      <c r="C1919" s="1">
        <v>114</v>
      </c>
      <c r="D1919" s="1">
        <v>3000035561</v>
      </c>
      <c r="E1919" s="1" t="s">
        <v>30</v>
      </c>
      <c r="F1919" s="1">
        <v>416</v>
      </c>
      <c r="G1919" s="204">
        <v>42707</v>
      </c>
      <c r="H1919" s="205"/>
      <c r="I1919" s="205">
        <v>42710</v>
      </c>
      <c r="J1919" s="1" t="s">
        <v>229</v>
      </c>
      <c r="K1919" s="77">
        <v>28.21</v>
      </c>
      <c r="L1919" s="1">
        <v>28.04</v>
      </c>
      <c r="M1919" s="1">
        <f>IF(L1919&gt;K1919,K1919,L1919)</f>
        <v>28.04</v>
      </c>
      <c r="N1919" s="211">
        <f t="shared" si="230"/>
        <v>42724</v>
      </c>
      <c r="O1919" s="75">
        <v>1382290</v>
      </c>
      <c r="P1919" s="36">
        <f t="shared" si="228"/>
        <v>1373960</v>
      </c>
      <c r="Q1919" s="258">
        <v>42732</v>
      </c>
      <c r="R1919" s="258">
        <v>42733</v>
      </c>
      <c r="S1919" s="230">
        <f t="shared" si="227"/>
        <v>9</v>
      </c>
    </row>
    <row r="1920" spans="1:19" s="3" customFormat="1" hidden="1" x14ac:dyDescent="0.25">
      <c r="A1920" s="212">
        <v>1570</v>
      </c>
      <c r="B1920" s="204">
        <v>42720</v>
      </c>
      <c r="C1920" s="1">
        <v>114</v>
      </c>
      <c r="D1920" s="1">
        <v>3000035561</v>
      </c>
      <c r="E1920" s="1" t="s">
        <v>30</v>
      </c>
      <c r="F1920" s="1">
        <v>420</v>
      </c>
      <c r="G1920" s="204">
        <v>42708</v>
      </c>
      <c r="H1920" s="205"/>
      <c r="I1920" s="205">
        <v>42711</v>
      </c>
      <c r="J1920" s="1" t="s">
        <v>229</v>
      </c>
      <c r="K1920" s="77">
        <v>29.24</v>
      </c>
      <c r="L1920" s="1">
        <v>29.08</v>
      </c>
      <c r="M1920" s="1">
        <f>IF(L1920&gt;K1920,K1920,L1920)</f>
        <v>29.08</v>
      </c>
      <c r="N1920" s="211">
        <f t="shared" si="230"/>
        <v>42725</v>
      </c>
      <c r="O1920" s="75">
        <v>1432760</v>
      </c>
      <c r="P1920" s="36">
        <f t="shared" si="228"/>
        <v>1424920</v>
      </c>
      <c r="Q1920" s="258">
        <v>42732</v>
      </c>
      <c r="R1920" s="258">
        <v>42733</v>
      </c>
      <c r="S1920" s="230">
        <f t="shared" si="227"/>
        <v>8</v>
      </c>
    </row>
    <row r="1921" spans="1:19" s="3" customFormat="1" hidden="1" x14ac:dyDescent="0.25">
      <c r="A1921" s="3">
        <v>1583</v>
      </c>
      <c r="B1921" s="204">
        <v>42720</v>
      </c>
      <c r="C1921" s="1">
        <v>114</v>
      </c>
      <c r="D1921" s="1">
        <v>3000035561</v>
      </c>
      <c r="E1921" s="1" t="s">
        <v>30</v>
      </c>
      <c r="F1921" s="1">
        <v>423</v>
      </c>
      <c r="G1921" s="204">
        <v>42709</v>
      </c>
      <c r="H1921" s="205"/>
      <c r="I1921" s="205">
        <v>42712</v>
      </c>
      <c r="J1921" s="1" t="s">
        <v>229</v>
      </c>
      <c r="K1921" s="77">
        <v>28.69</v>
      </c>
      <c r="L1921" s="1">
        <v>28.54</v>
      </c>
      <c r="M1921" s="1">
        <f>IF(L1921&gt;K1921,K1921,L1921)</f>
        <v>28.54</v>
      </c>
      <c r="N1921" s="211">
        <f t="shared" si="230"/>
        <v>42726</v>
      </c>
      <c r="O1921" s="75">
        <v>1405810</v>
      </c>
      <c r="P1921" s="36">
        <f t="shared" ref="P1921:P1940" si="231">(+O1921/K1921*M1921)</f>
        <v>1398460</v>
      </c>
      <c r="Q1921" s="258">
        <v>42732</v>
      </c>
      <c r="R1921" s="258">
        <v>42733</v>
      </c>
      <c r="S1921" s="230">
        <f t="shared" si="227"/>
        <v>7</v>
      </c>
    </row>
    <row r="1922" spans="1:19" s="3" customFormat="1" hidden="1" x14ac:dyDescent="0.25">
      <c r="A1922" s="212">
        <v>1033</v>
      </c>
      <c r="B1922" s="204">
        <v>42704</v>
      </c>
      <c r="C1922" s="1">
        <v>114</v>
      </c>
      <c r="D1922" s="1">
        <v>3000035398</v>
      </c>
      <c r="E1922" s="1" t="s">
        <v>27</v>
      </c>
      <c r="F1922" s="1">
        <v>935</v>
      </c>
      <c r="G1922" s="204">
        <v>42700</v>
      </c>
      <c r="H1922" s="205"/>
      <c r="I1922" s="205">
        <v>42702</v>
      </c>
      <c r="J1922" s="1" t="s">
        <v>8</v>
      </c>
      <c r="K1922" s="77">
        <v>28.465</v>
      </c>
      <c r="L1922" s="1">
        <v>28.35</v>
      </c>
      <c r="M1922" s="1">
        <v>28.35</v>
      </c>
      <c r="N1922" s="7">
        <f t="shared" si="230"/>
        <v>42716</v>
      </c>
      <c r="O1922" s="75">
        <v>1594040</v>
      </c>
      <c r="P1922" s="36">
        <f t="shared" si="231"/>
        <v>1587600</v>
      </c>
      <c r="Q1922" s="258">
        <v>42732</v>
      </c>
      <c r="R1922" s="258">
        <v>42733</v>
      </c>
      <c r="S1922" s="230">
        <f t="shared" si="227"/>
        <v>17</v>
      </c>
    </row>
    <row r="1923" spans="1:19" s="3" customFormat="1" hidden="1" x14ac:dyDescent="0.25">
      <c r="A1923" s="3">
        <v>1375</v>
      </c>
      <c r="B1923" s="204">
        <v>42720</v>
      </c>
      <c r="C1923" s="1">
        <v>114</v>
      </c>
      <c r="D1923" s="1">
        <v>3000035398</v>
      </c>
      <c r="E1923" s="1" t="s">
        <v>27</v>
      </c>
      <c r="F1923" s="16">
        <v>936</v>
      </c>
      <c r="G1923" s="204">
        <v>42702</v>
      </c>
      <c r="H1923" s="205"/>
      <c r="I1923" s="205">
        <v>42711</v>
      </c>
      <c r="J1923" s="1" t="s">
        <v>8</v>
      </c>
      <c r="K1923" s="77">
        <v>15</v>
      </c>
      <c r="L1923" s="1">
        <v>14.765000000000001</v>
      </c>
      <c r="M1923" s="1">
        <f t="shared" ref="M1923:M1932" si="232">IF(L1923&gt;K1923,K1923,L1923)</f>
        <v>14.765000000000001</v>
      </c>
      <c r="N1923" s="211">
        <f t="shared" si="230"/>
        <v>42725</v>
      </c>
      <c r="O1923" s="75">
        <v>840000</v>
      </c>
      <c r="P1923" s="36">
        <f t="shared" si="231"/>
        <v>826840</v>
      </c>
      <c r="Q1923" s="258">
        <v>42732</v>
      </c>
      <c r="R1923" s="258">
        <v>42733</v>
      </c>
      <c r="S1923" s="230">
        <f t="shared" si="227"/>
        <v>8</v>
      </c>
    </row>
    <row r="1924" spans="1:19" s="3" customFormat="1" hidden="1" x14ac:dyDescent="0.25">
      <c r="A1924" s="212">
        <v>1388</v>
      </c>
      <c r="B1924" s="204">
        <v>42720</v>
      </c>
      <c r="C1924" s="1">
        <v>114</v>
      </c>
      <c r="D1924" s="1">
        <v>3000035702</v>
      </c>
      <c r="E1924" s="1" t="s">
        <v>27</v>
      </c>
      <c r="F1924" s="16">
        <v>936</v>
      </c>
      <c r="G1924" s="204">
        <v>42702</v>
      </c>
      <c r="H1924" s="205"/>
      <c r="I1924" s="205">
        <v>42711</v>
      </c>
      <c r="J1924" s="1" t="s">
        <v>8</v>
      </c>
      <c r="K1924" s="77">
        <v>13.015000000000001</v>
      </c>
      <c r="L1924" s="1">
        <v>13.015000000000001</v>
      </c>
      <c r="M1924" s="1">
        <f t="shared" si="232"/>
        <v>13.015000000000001</v>
      </c>
      <c r="N1924" s="211">
        <f t="shared" si="230"/>
        <v>42725</v>
      </c>
      <c r="O1924" s="75">
        <v>722333</v>
      </c>
      <c r="P1924" s="36">
        <f t="shared" si="231"/>
        <v>722333</v>
      </c>
      <c r="Q1924" s="258">
        <v>42732</v>
      </c>
      <c r="R1924" s="258">
        <v>42733</v>
      </c>
      <c r="S1924" s="230">
        <f t="shared" si="227"/>
        <v>8</v>
      </c>
    </row>
    <row r="1925" spans="1:19" s="3" customFormat="1" hidden="1" x14ac:dyDescent="0.25">
      <c r="A1925" s="212">
        <v>1128</v>
      </c>
      <c r="B1925" s="204">
        <v>42717</v>
      </c>
      <c r="C1925" s="1">
        <v>114</v>
      </c>
      <c r="D1925" s="1">
        <v>3000035702</v>
      </c>
      <c r="E1925" s="1" t="s">
        <v>27</v>
      </c>
      <c r="F1925" s="1">
        <v>937</v>
      </c>
      <c r="G1925" s="204">
        <v>42702</v>
      </c>
      <c r="H1925" s="205"/>
      <c r="I1925" s="205">
        <v>42708</v>
      </c>
      <c r="J1925" s="1" t="s">
        <v>8</v>
      </c>
      <c r="K1925" s="77">
        <v>19.86</v>
      </c>
      <c r="L1925" s="1">
        <v>19.829999999999998</v>
      </c>
      <c r="M1925" s="1">
        <f t="shared" si="232"/>
        <v>19.829999999999998</v>
      </c>
      <c r="N1925" s="211">
        <f t="shared" si="230"/>
        <v>42722</v>
      </c>
      <c r="O1925" s="75">
        <v>1102230</v>
      </c>
      <c r="P1925" s="36">
        <f t="shared" si="231"/>
        <v>1100565</v>
      </c>
      <c r="Q1925" s="258">
        <v>42732</v>
      </c>
      <c r="R1925" s="258">
        <v>42733</v>
      </c>
      <c r="S1925" s="230">
        <f t="shared" si="227"/>
        <v>11</v>
      </c>
    </row>
    <row r="1926" spans="1:19" s="3" customFormat="1" hidden="1" x14ac:dyDescent="0.25">
      <c r="A1926" s="3">
        <v>1141</v>
      </c>
      <c r="B1926" s="204">
        <v>42717</v>
      </c>
      <c r="C1926" s="1">
        <v>114</v>
      </c>
      <c r="D1926" s="1">
        <v>3000025702</v>
      </c>
      <c r="E1926" s="1" t="s">
        <v>27</v>
      </c>
      <c r="F1926" s="1">
        <v>938</v>
      </c>
      <c r="G1926" s="204">
        <v>42703</v>
      </c>
      <c r="H1926" s="205"/>
      <c r="I1926" s="205">
        <v>42709</v>
      </c>
      <c r="J1926" s="1" t="s">
        <v>8</v>
      </c>
      <c r="K1926" s="77">
        <v>24.49</v>
      </c>
      <c r="L1926" s="1">
        <v>24.48</v>
      </c>
      <c r="M1926" s="1">
        <f t="shared" si="232"/>
        <v>24.48</v>
      </c>
      <c r="N1926" s="211">
        <f t="shared" si="230"/>
        <v>42723</v>
      </c>
      <c r="O1926" s="75">
        <v>1359195</v>
      </c>
      <c r="P1926" s="36">
        <f t="shared" si="231"/>
        <v>1358640</v>
      </c>
      <c r="Q1926" s="258">
        <v>42732</v>
      </c>
      <c r="R1926" s="258">
        <v>42733</v>
      </c>
      <c r="S1926" s="230">
        <f t="shared" si="227"/>
        <v>10</v>
      </c>
    </row>
    <row r="1927" spans="1:19" s="3" customFormat="1" hidden="1" x14ac:dyDescent="0.25">
      <c r="A1927" s="212">
        <v>1362</v>
      </c>
      <c r="B1927" s="204">
        <v>42720</v>
      </c>
      <c r="C1927" s="1">
        <v>114</v>
      </c>
      <c r="D1927" s="1">
        <v>3000035782</v>
      </c>
      <c r="E1927" s="1" t="s">
        <v>27</v>
      </c>
      <c r="F1927" s="1">
        <v>939</v>
      </c>
      <c r="G1927" s="204">
        <v>42703</v>
      </c>
      <c r="H1927" s="205"/>
      <c r="I1927" s="205">
        <v>42709</v>
      </c>
      <c r="J1927" s="1" t="s">
        <v>8</v>
      </c>
      <c r="K1927" s="77">
        <v>24.59</v>
      </c>
      <c r="L1927" s="1">
        <v>24.58</v>
      </c>
      <c r="M1927" s="1">
        <f t="shared" si="232"/>
        <v>24.58</v>
      </c>
      <c r="N1927" s="211">
        <f t="shared" si="230"/>
        <v>42723</v>
      </c>
      <c r="O1927" s="75">
        <v>1362286</v>
      </c>
      <c r="P1927" s="36">
        <f t="shared" si="231"/>
        <v>1361732</v>
      </c>
      <c r="Q1927" s="258">
        <v>42732</v>
      </c>
      <c r="R1927" s="258">
        <v>42733</v>
      </c>
      <c r="S1927" s="230">
        <f t="shared" si="227"/>
        <v>10</v>
      </c>
    </row>
    <row r="1928" spans="1:19" s="3" customFormat="1" hidden="1" x14ac:dyDescent="0.25">
      <c r="A1928" s="3">
        <v>1401</v>
      </c>
      <c r="B1928" s="204">
        <v>42720</v>
      </c>
      <c r="C1928" s="1">
        <v>114</v>
      </c>
      <c r="D1928" s="1">
        <v>3000035782</v>
      </c>
      <c r="E1928" s="1" t="s">
        <v>27</v>
      </c>
      <c r="F1928" s="1">
        <v>940</v>
      </c>
      <c r="G1928" s="204">
        <v>42705</v>
      </c>
      <c r="H1928" s="205"/>
      <c r="I1928" s="205">
        <v>42709</v>
      </c>
      <c r="J1928" s="1" t="s">
        <v>8</v>
      </c>
      <c r="K1928" s="77">
        <v>19.97</v>
      </c>
      <c r="L1928" s="1">
        <v>19.84</v>
      </c>
      <c r="M1928" s="1">
        <f t="shared" si="232"/>
        <v>19.84</v>
      </c>
      <c r="N1928" s="211">
        <f t="shared" si="230"/>
        <v>42723</v>
      </c>
      <c r="O1928" s="75">
        <v>1106338</v>
      </c>
      <c r="P1928" s="36">
        <f t="shared" si="231"/>
        <v>1099136</v>
      </c>
      <c r="Q1928" s="258">
        <v>42732</v>
      </c>
      <c r="R1928" s="258">
        <v>42733</v>
      </c>
      <c r="S1928" s="230">
        <f t="shared" si="227"/>
        <v>10</v>
      </c>
    </row>
    <row r="1929" spans="1:19" s="3" customFormat="1" hidden="1" x14ac:dyDescent="0.25">
      <c r="A1929" s="212">
        <v>1414</v>
      </c>
      <c r="B1929" s="204">
        <v>42720</v>
      </c>
      <c r="C1929" s="1">
        <v>114</v>
      </c>
      <c r="D1929" s="1">
        <v>3000035782</v>
      </c>
      <c r="E1929" s="1" t="s">
        <v>27</v>
      </c>
      <c r="F1929" s="1">
        <v>941</v>
      </c>
      <c r="G1929" s="204">
        <v>42707</v>
      </c>
      <c r="H1929" s="205"/>
      <c r="I1929" s="205">
        <v>42711</v>
      </c>
      <c r="J1929" s="1" t="s">
        <v>8</v>
      </c>
      <c r="K1929" s="77">
        <v>19.899999999999999</v>
      </c>
      <c r="L1929" s="1">
        <v>19.73</v>
      </c>
      <c r="M1929" s="1">
        <f t="shared" si="232"/>
        <v>19.73</v>
      </c>
      <c r="N1929" s="211">
        <f t="shared" si="230"/>
        <v>42725</v>
      </c>
      <c r="O1929" s="75">
        <v>1102460</v>
      </c>
      <c r="P1929" s="36">
        <f t="shared" si="231"/>
        <v>1093042.0000000002</v>
      </c>
      <c r="Q1929" s="258">
        <v>42732</v>
      </c>
      <c r="R1929" s="258">
        <v>42733</v>
      </c>
      <c r="S1929" s="230">
        <f t="shared" si="227"/>
        <v>8</v>
      </c>
    </row>
    <row r="1930" spans="1:19" s="3" customFormat="1" hidden="1" x14ac:dyDescent="0.25">
      <c r="A1930" s="3">
        <v>1427</v>
      </c>
      <c r="B1930" s="204">
        <v>42720</v>
      </c>
      <c r="C1930" s="1">
        <v>114</v>
      </c>
      <c r="D1930" s="1">
        <v>3000035782</v>
      </c>
      <c r="E1930" s="1" t="s">
        <v>27</v>
      </c>
      <c r="F1930" s="16">
        <v>942</v>
      </c>
      <c r="G1930" s="204">
        <v>42710</v>
      </c>
      <c r="H1930" s="205"/>
      <c r="I1930" s="205">
        <v>42713</v>
      </c>
      <c r="J1930" s="1" t="s">
        <v>8</v>
      </c>
      <c r="K1930" s="77">
        <v>1</v>
      </c>
      <c r="L1930" s="1">
        <v>1</v>
      </c>
      <c r="M1930" s="1">
        <f t="shared" si="232"/>
        <v>1</v>
      </c>
      <c r="N1930" s="211">
        <f t="shared" si="230"/>
        <v>42727</v>
      </c>
      <c r="O1930" s="75">
        <v>55400</v>
      </c>
      <c r="P1930" s="36">
        <f t="shared" si="231"/>
        <v>55400</v>
      </c>
      <c r="Q1930" s="258">
        <v>42732</v>
      </c>
      <c r="R1930" s="258">
        <v>42733</v>
      </c>
      <c r="S1930" s="230">
        <f t="shared" si="227"/>
        <v>6</v>
      </c>
    </row>
    <row r="1931" spans="1:19" s="3" customFormat="1" hidden="1" x14ac:dyDescent="0.25">
      <c r="A1931" s="212">
        <v>1440</v>
      </c>
      <c r="B1931" s="204">
        <v>42720</v>
      </c>
      <c r="C1931" s="1">
        <v>114</v>
      </c>
      <c r="D1931" s="1">
        <v>3000036298</v>
      </c>
      <c r="E1931" s="1" t="s">
        <v>27</v>
      </c>
      <c r="F1931" s="16">
        <v>942</v>
      </c>
      <c r="G1931" s="204">
        <v>42710</v>
      </c>
      <c r="H1931" s="205"/>
      <c r="I1931" s="205">
        <v>42713</v>
      </c>
      <c r="J1931" s="1" t="s">
        <v>8</v>
      </c>
      <c r="K1931" s="77">
        <v>26.88</v>
      </c>
      <c r="L1931" s="1">
        <v>26.75</v>
      </c>
      <c r="M1931" s="1">
        <f t="shared" si="232"/>
        <v>26.75</v>
      </c>
      <c r="N1931" s="211">
        <f t="shared" si="230"/>
        <v>42727</v>
      </c>
      <c r="O1931" s="75">
        <v>1491840</v>
      </c>
      <c r="P1931" s="36">
        <f t="shared" si="231"/>
        <v>1484625</v>
      </c>
      <c r="Q1931" s="258">
        <v>42732</v>
      </c>
      <c r="R1931" s="258">
        <v>42733</v>
      </c>
      <c r="S1931" s="230">
        <f t="shared" si="227"/>
        <v>6</v>
      </c>
    </row>
    <row r="1932" spans="1:19" s="3" customFormat="1" hidden="1" x14ac:dyDescent="0.25">
      <c r="A1932" s="212">
        <v>1154</v>
      </c>
      <c r="B1932" s="204">
        <v>42717</v>
      </c>
      <c r="C1932" s="1">
        <v>114</v>
      </c>
      <c r="D1932" s="1">
        <v>3000034962</v>
      </c>
      <c r="E1932" s="1" t="s">
        <v>27</v>
      </c>
      <c r="F1932" s="1">
        <v>254</v>
      </c>
      <c r="G1932" s="204">
        <v>42700</v>
      </c>
      <c r="H1932" s="205"/>
      <c r="I1932" s="205">
        <v>42708</v>
      </c>
      <c r="J1932" s="1" t="s">
        <v>16</v>
      </c>
      <c r="K1932" s="77">
        <v>19.170000000000002</v>
      </c>
      <c r="L1932" s="1">
        <v>19.16</v>
      </c>
      <c r="M1932" s="1">
        <f t="shared" si="232"/>
        <v>19.16</v>
      </c>
      <c r="N1932" s="211">
        <f t="shared" si="230"/>
        <v>42722</v>
      </c>
      <c r="O1932" s="75">
        <v>1096524</v>
      </c>
      <c r="P1932" s="36">
        <f t="shared" si="231"/>
        <v>1095951.9999999998</v>
      </c>
      <c r="Q1932" s="258">
        <v>42732</v>
      </c>
      <c r="R1932" s="258">
        <v>42733</v>
      </c>
      <c r="S1932" s="230">
        <f t="shared" si="227"/>
        <v>11</v>
      </c>
    </row>
    <row r="1933" spans="1:19" s="3" customFormat="1" hidden="1" x14ac:dyDescent="0.25">
      <c r="A1933" s="212">
        <v>1036</v>
      </c>
      <c r="B1933" s="204">
        <v>42704</v>
      </c>
      <c r="C1933" s="1">
        <v>114</v>
      </c>
      <c r="D1933" s="1">
        <v>3000035400</v>
      </c>
      <c r="E1933" s="1" t="s">
        <v>344</v>
      </c>
      <c r="F1933" s="1">
        <v>93</v>
      </c>
      <c r="G1933" s="204">
        <v>42696</v>
      </c>
      <c r="H1933" s="205"/>
      <c r="I1933" s="205">
        <v>42701</v>
      </c>
      <c r="J1933" s="1" t="s">
        <v>8</v>
      </c>
      <c r="K1933" s="77">
        <v>19.93</v>
      </c>
      <c r="L1933" s="1">
        <v>19.920000000000002</v>
      </c>
      <c r="M1933" s="1">
        <v>19.920000000000002</v>
      </c>
      <c r="N1933" s="7">
        <f>+I1933+15-'V V F India Out Standing'!O1247</f>
        <v>42716</v>
      </c>
      <c r="O1933" s="75">
        <v>1116080</v>
      </c>
      <c r="P1933" s="36">
        <f t="shared" si="231"/>
        <v>1115520</v>
      </c>
      <c r="Q1933" s="258">
        <v>42732</v>
      </c>
      <c r="R1933" s="258">
        <v>42733</v>
      </c>
      <c r="S1933" s="230">
        <f t="shared" si="227"/>
        <v>17</v>
      </c>
    </row>
    <row r="1934" spans="1:19" s="3" customFormat="1" hidden="1" x14ac:dyDescent="0.25">
      <c r="A1934" s="212">
        <v>1024</v>
      </c>
      <c r="B1934" s="204">
        <v>42702</v>
      </c>
      <c r="C1934" s="1">
        <v>103</v>
      </c>
      <c r="D1934" s="1">
        <v>3000034023</v>
      </c>
      <c r="E1934" s="1" t="s">
        <v>351</v>
      </c>
      <c r="F1934" s="1">
        <v>172</v>
      </c>
      <c r="G1934" s="204">
        <v>42684</v>
      </c>
      <c r="H1934" s="205"/>
      <c r="I1934" s="205">
        <v>42690</v>
      </c>
      <c r="J1934" s="1" t="s">
        <v>352</v>
      </c>
      <c r="K1934" s="77">
        <v>19.71</v>
      </c>
      <c r="L1934" s="1">
        <v>19.63</v>
      </c>
      <c r="M1934" s="1">
        <v>19.63</v>
      </c>
      <c r="N1934" s="62">
        <f>+I1934+30-1</f>
        <v>42719</v>
      </c>
      <c r="O1934" s="146">
        <v>1852740</v>
      </c>
      <c r="P1934" s="36">
        <f t="shared" si="231"/>
        <v>1845220</v>
      </c>
      <c r="Q1934" s="258">
        <v>42732</v>
      </c>
      <c r="R1934" s="258">
        <v>42733</v>
      </c>
      <c r="S1934" s="230">
        <f t="shared" si="227"/>
        <v>14</v>
      </c>
    </row>
    <row r="1935" spans="1:19" s="3" customFormat="1" hidden="1" x14ac:dyDescent="0.25">
      <c r="A1935" s="3">
        <v>1271</v>
      </c>
      <c r="B1935" s="204">
        <v>42717</v>
      </c>
      <c r="C1935" s="1">
        <v>114</v>
      </c>
      <c r="D1935" s="1">
        <v>3000034222</v>
      </c>
      <c r="E1935" s="1" t="s">
        <v>15</v>
      </c>
      <c r="F1935" s="16">
        <v>3240</v>
      </c>
      <c r="G1935" s="204">
        <v>42700</v>
      </c>
      <c r="H1935" s="205"/>
      <c r="I1935" s="205">
        <v>42707</v>
      </c>
      <c r="J1935" s="1" t="s">
        <v>16</v>
      </c>
      <c r="K1935" s="77">
        <v>25</v>
      </c>
      <c r="L1935" s="1">
        <v>24.84</v>
      </c>
      <c r="M1935" s="1">
        <f t="shared" ref="M1935:M1942" si="233">IF(L1935&gt;K1935,K1935,L1935)</f>
        <v>24.84</v>
      </c>
      <c r="N1935" s="211">
        <f>+I1935+15-1</f>
        <v>42721</v>
      </c>
      <c r="O1935" s="75">
        <v>1412500</v>
      </c>
      <c r="P1935" s="36">
        <f t="shared" si="231"/>
        <v>1403460</v>
      </c>
      <c r="Q1935" s="258">
        <v>42732</v>
      </c>
      <c r="R1935" s="258">
        <v>42733</v>
      </c>
      <c r="S1935" s="230">
        <f t="shared" si="227"/>
        <v>12</v>
      </c>
    </row>
    <row r="1936" spans="1:19" s="3" customFormat="1" hidden="1" x14ac:dyDescent="0.25">
      <c r="A1936" s="212">
        <v>1284</v>
      </c>
      <c r="B1936" s="204">
        <v>42717</v>
      </c>
      <c r="C1936" s="1">
        <v>114</v>
      </c>
      <c r="D1936" s="1">
        <v>3000034602</v>
      </c>
      <c r="E1936" s="1" t="s">
        <v>15</v>
      </c>
      <c r="F1936" s="16">
        <v>3240</v>
      </c>
      <c r="G1936" s="204">
        <v>42700</v>
      </c>
      <c r="H1936" s="205"/>
      <c r="I1936" s="205">
        <v>42707</v>
      </c>
      <c r="J1936" s="1" t="s">
        <v>16</v>
      </c>
      <c r="K1936" s="77">
        <v>2.46</v>
      </c>
      <c r="L1936" s="1">
        <v>2.46</v>
      </c>
      <c r="M1936" s="1">
        <f t="shared" si="233"/>
        <v>2.46</v>
      </c>
      <c r="N1936" s="211">
        <f>+I1936+15-1</f>
        <v>42721</v>
      </c>
      <c r="O1936" s="75">
        <v>138006</v>
      </c>
      <c r="P1936" s="36">
        <f t="shared" si="231"/>
        <v>138006</v>
      </c>
      <c r="Q1936" s="258">
        <v>42732</v>
      </c>
      <c r="R1936" s="258">
        <v>42733</v>
      </c>
      <c r="S1936" s="230">
        <f t="shared" si="227"/>
        <v>12</v>
      </c>
    </row>
    <row r="1937" spans="1:22" s="3" customFormat="1" hidden="1" x14ac:dyDescent="0.25">
      <c r="A1937" s="212">
        <v>1492</v>
      </c>
      <c r="B1937" s="204">
        <v>42720</v>
      </c>
      <c r="C1937" s="1">
        <v>114</v>
      </c>
      <c r="D1937" s="1">
        <v>3000034725</v>
      </c>
      <c r="E1937" s="1" t="s">
        <v>15</v>
      </c>
      <c r="F1937" s="1">
        <v>3247</v>
      </c>
      <c r="G1937" s="204">
        <v>42705</v>
      </c>
      <c r="H1937" s="205"/>
      <c r="I1937" s="205">
        <v>42710</v>
      </c>
      <c r="J1937" s="1" t="s">
        <v>8</v>
      </c>
      <c r="K1937" s="77">
        <v>20.7</v>
      </c>
      <c r="L1937" s="1">
        <v>20.69</v>
      </c>
      <c r="M1937" s="1">
        <f t="shared" si="233"/>
        <v>20.69</v>
      </c>
      <c r="N1937" s="211">
        <f>+I1937+15-1</f>
        <v>42724</v>
      </c>
      <c r="O1937" s="75">
        <v>1210950</v>
      </c>
      <c r="P1937" s="36">
        <f t="shared" si="231"/>
        <v>1210365</v>
      </c>
      <c r="Q1937" s="258">
        <v>42732</v>
      </c>
      <c r="R1937" s="258">
        <v>42733</v>
      </c>
      <c r="S1937" s="230">
        <f t="shared" si="227"/>
        <v>9</v>
      </c>
    </row>
    <row r="1938" spans="1:22" s="3" customFormat="1" hidden="1" x14ac:dyDescent="0.25">
      <c r="A1938" s="212">
        <v>1518</v>
      </c>
      <c r="B1938" s="204">
        <v>42720</v>
      </c>
      <c r="C1938" s="1">
        <v>114</v>
      </c>
      <c r="D1938" s="1">
        <v>3000036709</v>
      </c>
      <c r="E1938" s="88" t="s">
        <v>55</v>
      </c>
      <c r="F1938" s="1">
        <v>28</v>
      </c>
      <c r="G1938" s="204">
        <v>42706</v>
      </c>
      <c r="H1938" s="205"/>
      <c r="I1938" s="205">
        <v>42710</v>
      </c>
      <c r="J1938" s="1" t="s">
        <v>8</v>
      </c>
      <c r="K1938" s="77">
        <v>26.99</v>
      </c>
      <c r="L1938" s="1">
        <v>26.89</v>
      </c>
      <c r="M1938" s="1">
        <f t="shared" si="233"/>
        <v>26.89</v>
      </c>
      <c r="N1938" s="211">
        <f>+I1938+15-1</f>
        <v>42724</v>
      </c>
      <c r="O1938" s="75">
        <v>1511440</v>
      </c>
      <c r="P1938" s="36">
        <f t="shared" si="231"/>
        <v>1505840</v>
      </c>
      <c r="Q1938" s="258">
        <v>42732</v>
      </c>
      <c r="R1938" s="258">
        <v>42733</v>
      </c>
      <c r="S1938" s="230">
        <f t="shared" si="227"/>
        <v>9</v>
      </c>
    </row>
    <row r="1939" spans="1:22" s="3" customFormat="1" hidden="1" x14ac:dyDescent="0.25">
      <c r="A1939" s="3">
        <v>1531</v>
      </c>
      <c r="B1939" s="204">
        <v>42720</v>
      </c>
      <c r="C1939" s="1">
        <v>114</v>
      </c>
      <c r="D1939" s="1">
        <v>3000036709</v>
      </c>
      <c r="E1939" s="1" t="s">
        <v>55</v>
      </c>
      <c r="F1939" s="1">
        <v>29</v>
      </c>
      <c r="G1939" s="204">
        <v>42707</v>
      </c>
      <c r="H1939" s="205"/>
      <c r="I1939" s="205">
        <v>42711</v>
      </c>
      <c r="J1939" s="1" t="s">
        <v>8</v>
      </c>
      <c r="K1939" s="77">
        <v>27.98</v>
      </c>
      <c r="L1939" s="1">
        <v>27.89</v>
      </c>
      <c r="M1939" s="1">
        <f t="shared" si="233"/>
        <v>27.89</v>
      </c>
      <c r="N1939" s="211">
        <f>+I1939+15-1</f>
        <v>42725</v>
      </c>
      <c r="O1939" s="75">
        <v>1566880</v>
      </c>
      <c r="P1939" s="36">
        <f t="shared" si="231"/>
        <v>1561840</v>
      </c>
      <c r="Q1939" s="258">
        <v>42732</v>
      </c>
      <c r="R1939" s="258">
        <v>42733</v>
      </c>
      <c r="S1939" s="230">
        <f t="shared" si="227"/>
        <v>8</v>
      </c>
      <c r="T1939" s="15" t="s">
        <v>467</v>
      </c>
      <c r="U1939" s="15"/>
      <c r="V1939" s="15"/>
    </row>
    <row r="1940" spans="1:22" s="41" customFormat="1" hidden="1" x14ac:dyDescent="0.25">
      <c r="A1940" s="122">
        <v>726</v>
      </c>
      <c r="B1940" s="51">
        <v>42632</v>
      </c>
      <c r="C1940" s="21">
        <v>103</v>
      </c>
      <c r="D1940" s="21">
        <v>3000033679</v>
      </c>
      <c r="E1940" s="21" t="s">
        <v>60</v>
      </c>
      <c r="F1940" s="21">
        <v>622</v>
      </c>
      <c r="G1940" s="52">
        <v>42623</v>
      </c>
      <c r="H1940" s="52"/>
      <c r="I1940" s="52">
        <v>42627</v>
      </c>
      <c r="J1940" s="21" t="s">
        <v>61</v>
      </c>
      <c r="K1940" s="124">
        <v>15.89</v>
      </c>
      <c r="L1940" s="21">
        <v>15.83</v>
      </c>
      <c r="M1940" s="21">
        <f t="shared" si="233"/>
        <v>15.83</v>
      </c>
      <c r="N1940" s="22">
        <f>+I1940+20-1</f>
        <v>42646</v>
      </c>
      <c r="O1940" s="21">
        <v>1461944</v>
      </c>
      <c r="P1940" s="36">
        <f t="shared" si="231"/>
        <v>1456423.7583385776</v>
      </c>
      <c r="Q1940" s="258">
        <v>42691</v>
      </c>
      <c r="R1940" s="258">
        <v>42732</v>
      </c>
      <c r="S1940" s="230">
        <f t="shared" si="227"/>
        <v>86</v>
      </c>
    </row>
    <row r="1941" spans="1:22" s="41" customFormat="1" hidden="1" x14ac:dyDescent="0.25">
      <c r="A1941" s="122">
        <v>796</v>
      </c>
      <c r="B1941" s="51">
        <v>42646</v>
      </c>
      <c r="C1941" s="21">
        <v>103</v>
      </c>
      <c r="D1941" s="21">
        <v>3000033679</v>
      </c>
      <c r="E1941" s="21" t="s">
        <v>60</v>
      </c>
      <c r="F1941" s="21">
        <v>649</v>
      </c>
      <c r="G1941" s="52">
        <v>42634</v>
      </c>
      <c r="H1941" s="52"/>
      <c r="I1941" s="52">
        <v>42641</v>
      </c>
      <c r="J1941" s="21" t="s">
        <v>61</v>
      </c>
      <c r="K1941" s="124">
        <v>19.940000000000001</v>
      </c>
      <c r="L1941" s="21">
        <v>19.87</v>
      </c>
      <c r="M1941" s="21">
        <f t="shared" si="233"/>
        <v>19.87</v>
      </c>
      <c r="N1941" s="22">
        <f>+I1941+20-1</f>
        <v>42660</v>
      </c>
      <c r="O1941" s="21">
        <v>1834560</v>
      </c>
      <c r="P1941" s="202">
        <f t="shared" ref="P1941:P1959" si="234">(+O1941/K1941*M1941)</f>
        <v>1828119.7191574725</v>
      </c>
      <c r="Q1941" s="258">
        <v>42691</v>
      </c>
      <c r="R1941" s="258">
        <v>42732</v>
      </c>
      <c r="S1941" s="230">
        <f t="shared" ref="S1941:S2004" si="235">R1941-N1941</f>
        <v>72</v>
      </c>
    </row>
    <row r="1942" spans="1:22" s="41" customFormat="1" hidden="1" x14ac:dyDescent="0.25">
      <c r="A1942" s="122">
        <v>872</v>
      </c>
      <c r="B1942" s="51">
        <v>42656</v>
      </c>
      <c r="C1942" s="21">
        <v>103</v>
      </c>
      <c r="D1942" s="21">
        <v>3000033679</v>
      </c>
      <c r="E1942" s="21" t="s">
        <v>60</v>
      </c>
      <c r="F1942" s="21">
        <v>715</v>
      </c>
      <c r="G1942" s="52">
        <v>42649</v>
      </c>
      <c r="H1942" s="52"/>
      <c r="I1942" s="52">
        <v>42653</v>
      </c>
      <c r="J1942" s="21" t="s">
        <v>61</v>
      </c>
      <c r="K1942" s="124">
        <v>16.23</v>
      </c>
      <c r="L1942" s="21">
        <v>16.170000000000002</v>
      </c>
      <c r="M1942" s="21">
        <f t="shared" si="233"/>
        <v>16.170000000000002</v>
      </c>
      <c r="N1942" s="22">
        <f>+I1942+20-1</f>
        <v>42672</v>
      </c>
      <c r="O1942" s="21">
        <v>1493225</v>
      </c>
      <c r="P1942" s="202">
        <f t="shared" si="234"/>
        <v>1487704.7597042515</v>
      </c>
      <c r="Q1942" s="258">
        <v>42691</v>
      </c>
      <c r="R1942" s="258">
        <v>42732</v>
      </c>
      <c r="S1942" s="230">
        <f t="shared" si="235"/>
        <v>60</v>
      </c>
      <c r="T1942" s="15" t="s">
        <v>513</v>
      </c>
      <c r="U1942" s="15"/>
      <c r="V1942" s="15"/>
    </row>
    <row r="1943" spans="1:22" s="3" customFormat="1" hidden="1" x14ac:dyDescent="0.25">
      <c r="A1943" s="3">
        <v>1245</v>
      </c>
      <c r="B1943" s="204">
        <v>42717</v>
      </c>
      <c r="C1943" s="1">
        <v>114</v>
      </c>
      <c r="D1943" s="1">
        <v>3000035806</v>
      </c>
      <c r="E1943" s="1" t="s">
        <v>18</v>
      </c>
      <c r="F1943" s="1">
        <v>134</v>
      </c>
      <c r="G1943" s="204">
        <v>42696</v>
      </c>
      <c r="H1943" s="205"/>
      <c r="I1943" s="205">
        <v>42706</v>
      </c>
      <c r="J1943" s="1" t="s">
        <v>8</v>
      </c>
      <c r="K1943" s="77">
        <v>19.559999999999999</v>
      </c>
      <c r="L1943" s="1">
        <v>19.55</v>
      </c>
      <c r="M1943" s="1">
        <f t="shared" ref="M1943:M1968" si="236">IF(L1943&gt;K1943,K1943,L1943)</f>
        <v>19.55</v>
      </c>
      <c r="N1943" s="211">
        <f t="shared" ref="N1943:N1962" si="237">+I1943+15-1</f>
        <v>42720</v>
      </c>
      <c r="O1943" s="75">
        <v>1083624</v>
      </c>
      <c r="P1943" s="36">
        <f t="shared" si="234"/>
        <v>1083070</v>
      </c>
      <c r="Q1943" s="258">
        <v>42740</v>
      </c>
      <c r="R1943" s="258">
        <v>42741</v>
      </c>
      <c r="S1943" s="230">
        <f t="shared" si="235"/>
        <v>21</v>
      </c>
    </row>
    <row r="1944" spans="1:22" s="3" customFormat="1" hidden="1" x14ac:dyDescent="0.25">
      <c r="A1944" s="212">
        <v>1258</v>
      </c>
      <c r="B1944" s="204">
        <v>42717</v>
      </c>
      <c r="C1944" s="1">
        <v>114</v>
      </c>
      <c r="D1944" s="1">
        <v>3000035806</v>
      </c>
      <c r="E1944" s="1" t="s">
        <v>18</v>
      </c>
      <c r="F1944" s="1">
        <v>135</v>
      </c>
      <c r="G1944" s="204">
        <v>42696</v>
      </c>
      <c r="H1944" s="205"/>
      <c r="I1944" s="205">
        <v>42706</v>
      </c>
      <c r="J1944" s="1" t="s">
        <v>8</v>
      </c>
      <c r="K1944" s="77">
        <v>19.28</v>
      </c>
      <c r="L1944" s="1">
        <v>19.21</v>
      </c>
      <c r="M1944" s="1">
        <f t="shared" si="236"/>
        <v>19.21</v>
      </c>
      <c r="N1944" s="211">
        <f t="shared" si="237"/>
        <v>42720</v>
      </c>
      <c r="O1944" s="75">
        <v>1068112</v>
      </c>
      <c r="P1944" s="36">
        <f t="shared" si="234"/>
        <v>1064234</v>
      </c>
      <c r="Q1944" s="258">
        <v>42740</v>
      </c>
      <c r="R1944" s="258">
        <v>42741</v>
      </c>
      <c r="S1944" s="230">
        <f t="shared" si="235"/>
        <v>21</v>
      </c>
    </row>
    <row r="1945" spans="1:22" s="3" customFormat="1" hidden="1" x14ac:dyDescent="0.25">
      <c r="A1945" s="3">
        <v>1115</v>
      </c>
      <c r="B1945" s="204">
        <v>42717</v>
      </c>
      <c r="C1945" s="1">
        <v>114</v>
      </c>
      <c r="D1945" s="1">
        <v>3000035803</v>
      </c>
      <c r="E1945" s="1" t="s">
        <v>49</v>
      </c>
      <c r="F1945" s="1">
        <v>40</v>
      </c>
      <c r="G1945" s="204">
        <v>42700</v>
      </c>
      <c r="H1945" s="205"/>
      <c r="I1945" s="205">
        <v>42707</v>
      </c>
      <c r="J1945" s="1" t="s">
        <v>16</v>
      </c>
      <c r="K1945" s="77">
        <v>28.22</v>
      </c>
      <c r="L1945" s="1">
        <v>28.09</v>
      </c>
      <c r="M1945" s="1">
        <f t="shared" si="236"/>
        <v>28.09</v>
      </c>
      <c r="N1945" s="211">
        <f t="shared" si="237"/>
        <v>42721</v>
      </c>
      <c r="O1945" s="75">
        <v>1574676</v>
      </c>
      <c r="P1945" s="36">
        <f t="shared" si="234"/>
        <v>1567422</v>
      </c>
      <c r="Q1945" s="258">
        <v>42740</v>
      </c>
      <c r="R1945" s="258">
        <v>42741</v>
      </c>
      <c r="S1945" s="230">
        <f t="shared" si="235"/>
        <v>20</v>
      </c>
    </row>
    <row r="1946" spans="1:22" s="3" customFormat="1" hidden="1" x14ac:dyDescent="0.25">
      <c r="A1946" s="3">
        <v>1453</v>
      </c>
      <c r="B1946" s="204">
        <v>42720</v>
      </c>
      <c r="C1946" s="1">
        <v>114</v>
      </c>
      <c r="D1946" s="1">
        <v>3000035906</v>
      </c>
      <c r="E1946" s="1" t="s">
        <v>27</v>
      </c>
      <c r="F1946" s="16">
        <v>943</v>
      </c>
      <c r="G1946" s="204">
        <v>42710</v>
      </c>
      <c r="H1946" s="205"/>
      <c r="I1946" s="205">
        <v>42713</v>
      </c>
      <c r="J1946" s="1" t="s">
        <v>8</v>
      </c>
      <c r="K1946" s="77">
        <v>23</v>
      </c>
      <c r="L1946" s="1">
        <v>22.88</v>
      </c>
      <c r="M1946" s="1">
        <f t="shared" si="236"/>
        <v>22.88</v>
      </c>
      <c r="N1946" s="211">
        <f t="shared" si="237"/>
        <v>42727</v>
      </c>
      <c r="O1946" s="75">
        <v>1288000</v>
      </c>
      <c r="P1946" s="36">
        <f t="shared" si="234"/>
        <v>1281280</v>
      </c>
      <c r="Q1946" s="258">
        <v>42740</v>
      </c>
      <c r="R1946" s="258">
        <v>42741</v>
      </c>
      <c r="S1946" s="230">
        <f t="shared" si="235"/>
        <v>14</v>
      </c>
    </row>
    <row r="1947" spans="1:22" s="3" customFormat="1" hidden="1" x14ac:dyDescent="0.25">
      <c r="A1947" s="212">
        <v>1466</v>
      </c>
      <c r="B1947" s="204">
        <v>42720</v>
      </c>
      <c r="C1947" s="1">
        <v>114</v>
      </c>
      <c r="D1947" s="1">
        <v>3000036298</v>
      </c>
      <c r="E1947" s="1" t="s">
        <v>27</v>
      </c>
      <c r="F1947" s="16">
        <v>943</v>
      </c>
      <c r="G1947" s="204">
        <v>42710</v>
      </c>
      <c r="H1947" s="205"/>
      <c r="I1947" s="205">
        <v>42713</v>
      </c>
      <c r="J1947" s="1" t="s">
        <v>8</v>
      </c>
      <c r="K1947" s="77">
        <v>4.95</v>
      </c>
      <c r="L1947" s="1">
        <v>4.95</v>
      </c>
      <c r="M1947" s="1">
        <f t="shared" si="236"/>
        <v>4.95</v>
      </c>
      <c r="N1947" s="211">
        <f t="shared" si="237"/>
        <v>42727</v>
      </c>
      <c r="O1947" s="75">
        <v>274725</v>
      </c>
      <c r="P1947" s="36">
        <f t="shared" si="234"/>
        <v>274725</v>
      </c>
      <c r="Q1947" s="258">
        <v>42740</v>
      </c>
      <c r="R1947" s="258">
        <v>42741</v>
      </c>
      <c r="S1947" s="230">
        <f t="shared" si="235"/>
        <v>14</v>
      </c>
    </row>
    <row r="1948" spans="1:22" s="3" customFormat="1" hidden="1" x14ac:dyDescent="0.25">
      <c r="A1948" s="212">
        <v>1674</v>
      </c>
      <c r="B1948" s="204">
        <v>42724</v>
      </c>
      <c r="C1948" s="1">
        <v>114</v>
      </c>
      <c r="D1948" s="1">
        <v>3000036298</v>
      </c>
      <c r="E1948" s="1" t="s">
        <v>27</v>
      </c>
      <c r="F1948" s="1">
        <v>944</v>
      </c>
      <c r="G1948" s="204">
        <v>42713</v>
      </c>
      <c r="H1948" s="205"/>
      <c r="I1948" s="205">
        <v>42718</v>
      </c>
      <c r="J1948" s="1" t="s">
        <v>8</v>
      </c>
      <c r="K1948" s="77">
        <v>19.66</v>
      </c>
      <c r="L1948" s="1">
        <v>19.43</v>
      </c>
      <c r="M1948" s="1">
        <f t="shared" si="236"/>
        <v>19.43</v>
      </c>
      <c r="N1948" s="211">
        <f t="shared" si="237"/>
        <v>42732</v>
      </c>
      <c r="O1948" s="75">
        <v>1091130</v>
      </c>
      <c r="P1948" s="36">
        <f t="shared" si="234"/>
        <v>1078365</v>
      </c>
      <c r="Q1948" s="258">
        <v>42740</v>
      </c>
      <c r="R1948" s="258">
        <v>42741</v>
      </c>
      <c r="S1948" s="230">
        <f t="shared" si="235"/>
        <v>9</v>
      </c>
    </row>
    <row r="1949" spans="1:22" s="3" customFormat="1" hidden="1" x14ac:dyDescent="0.25">
      <c r="A1949" s="3">
        <v>1687</v>
      </c>
      <c r="B1949" s="204">
        <v>42724</v>
      </c>
      <c r="C1949" s="1">
        <v>114</v>
      </c>
      <c r="D1949" s="1">
        <v>3000036298</v>
      </c>
      <c r="E1949" s="1" t="s">
        <v>27</v>
      </c>
      <c r="F1949" s="16">
        <v>945</v>
      </c>
      <c r="G1949" s="204">
        <v>42713</v>
      </c>
      <c r="H1949" s="205"/>
      <c r="I1949" s="205">
        <v>42718</v>
      </c>
      <c r="J1949" s="1" t="s">
        <v>8</v>
      </c>
      <c r="K1949" s="77">
        <v>4</v>
      </c>
      <c r="L1949" s="1">
        <v>3.95</v>
      </c>
      <c r="M1949" s="1">
        <f t="shared" si="236"/>
        <v>3.95</v>
      </c>
      <c r="N1949" s="211">
        <f t="shared" si="237"/>
        <v>42732</v>
      </c>
      <c r="O1949" s="75">
        <v>222000</v>
      </c>
      <c r="P1949" s="36">
        <f t="shared" si="234"/>
        <v>219225</v>
      </c>
      <c r="Q1949" s="258">
        <v>42740</v>
      </c>
      <c r="R1949" s="258">
        <v>42741</v>
      </c>
      <c r="S1949" s="230">
        <f t="shared" si="235"/>
        <v>9</v>
      </c>
    </row>
    <row r="1950" spans="1:22" s="3" customFormat="1" hidden="1" x14ac:dyDescent="0.25">
      <c r="A1950" s="212">
        <v>1700</v>
      </c>
      <c r="B1950" s="204">
        <v>42724</v>
      </c>
      <c r="C1950" s="1">
        <v>114</v>
      </c>
      <c r="D1950" s="1">
        <v>3000036343</v>
      </c>
      <c r="E1950" s="1" t="s">
        <v>27</v>
      </c>
      <c r="F1950" s="16">
        <v>945</v>
      </c>
      <c r="G1950" s="204">
        <v>42713</v>
      </c>
      <c r="H1950" s="205"/>
      <c r="I1950" s="205">
        <v>42718</v>
      </c>
      <c r="J1950" s="1" t="s">
        <v>8</v>
      </c>
      <c r="K1950" s="77">
        <v>25.45</v>
      </c>
      <c r="L1950" s="1">
        <v>25.45</v>
      </c>
      <c r="M1950" s="1">
        <f t="shared" si="236"/>
        <v>25.45</v>
      </c>
      <c r="N1950" s="211">
        <f t="shared" si="237"/>
        <v>42732</v>
      </c>
      <c r="O1950" s="75">
        <v>1404840</v>
      </c>
      <c r="P1950" s="36">
        <f t="shared" si="234"/>
        <v>1404840</v>
      </c>
      <c r="Q1950" s="258">
        <v>42740</v>
      </c>
      <c r="R1950" s="258">
        <v>42741</v>
      </c>
      <c r="S1950" s="230">
        <f t="shared" si="235"/>
        <v>9</v>
      </c>
    </row>
    <row r="1951" spans="1:22" s="3" customFormat="1" hidden="1" x14ac:dyDescent="0.25">
      <c r="A1951" s="3">
        <v>1765</v>
      </c>
      <c r="B1951" s="204">
        <v>42724</v>
      </c>
      <c r="C1951" s="1">
        <v>114</v>
      </c>
      <c r="D1951" s="1">
        <v>3000034602</v>
      </c>
      <c r="E1951" s="1" t="s">
        <v>15</v>
      </c>
      <c r="F1951" s="1">
        <v>3250</v>
      </c>
      <c r="G1951" s="204">
        <v>42707</v>
      </c>
      <c r="H1951" s="205"/>
      <c r="I1951" s="205">
        <v>42717</v>
      </c>
      <c r="J1951" s="1" t="s">
        <v>16</v>
      </c>
      <c r="K1951" s="77">
        <v>28.53</v>
      </c>
      <c r="L1951" s="1">
        <v>28.46</v>
      </c>
      <c r="M1951" s="1">
        <f t="shared" si="236"/>
        <v>28.46</v>
      </c>
      <c r="N1951" s="211">
        <f t="shared" si="237"/>
        <v>42731</v>
      </c>
      <c r="O1951" s="75">
        <v>1600533</v>
      </c>
      <c r="P1951" s="36">
        <f t="shared" si="234"/>
        <v>1596606</v>
      </c>
      <c r="Q1951" s="258">
        <v>42740</v>
      </c>
      <c r="R1951" s="258">
        <v>42741</v>
      </c>
      <c r="S1951" s="230">
        <f t="shared" si="235"/>
        <v>10</v>
      </c>
    </row>
    <row r="1952" spans="1:22" s="3" customFormat="1" hidden="1" x14ac:dyDescent="0.25">
      <c r="A1952" s="3">
        <v>1505</v>
      </c>
      <c r="B1952" s="204">
        <v>42720</v>
      </c>
      <c r="C1952" s="1">
        <v>114</v>
      </c>
      <c r="D1952" s="1">
        <v>3000035064</v>
      </c>
      <c r="E1952" s="1" t="s">
        <v>15</v>
      </c>
      <c r="F1952" s="1">
        <v>3252</v>
      </c>
      <c r="G1952" s="204">
        <v>42710</v>
      </c>
      <c r="H1952" s="205"/>
      <c r="I1952" s="205">
        <v>42714</v>
      </c>
      <c r="J1952" s="1" t="s">
        <v>8</v>
      </c>
      <c r="K1952" s="77">
        <v>28.765000000000001</v>
      </c>
      <c r="L1952" s="1">
        <v>28.65</v>
      </c>
      <c r="M1952" s="1">
        <f t="shared" si="236"/>
        <v>28.65</v>
      </c>
      <c r="N1952" s="211">
        <f t="shared" si="237"/>
        <v>42728</v>
      </c>
      <c r="O1952" s="75">
        <v>1656864</v>
      </c>
      <c r="P1952" s="36">
        <f t="shared" si="234"/>
        <v>1650240</v>
      </c>
      <c r="Q1952" s="258">
        <v>42740</v>
      </c>
      <c r="R1952" s="258">
        <v>42741</v>
      </c>
      <c r="S1952" s="230">
        <f t="shared" si="235"/>
        <v>13</v>
      </c>
    </row>
    <row r="1953" spans="1:22" s="3" customFormat="1" hidden="1" x14ac:dyDescent="0.25">
      <c r="A1953" s="212">
        <v>1544</v>
      </c>
      <c r="B1953" s="204">
        <v>42720</v>
      </c>
      <c r="C1953" s="1">
        <v>114</v>
      </c>
      <c r="D1953" s="1">
        <v>3000036709</v>
      </c>
      <c r="E1953" s="1" t="s">
        <v>55</v>
      </c>
      <c r="F1953" s="1">
        <v>30</v>
      </c>
      <c r="G1953" s="204">
        <v>42711</v>
      </c>
      <c r="H1953" s="205"/>
      <c r="I1953" s="205">
        <v>42714</v>
      </c>
      <c r="J1953" s="1" t="s">
        <v>8</v>
      </c>
      <c r="K1953" s="77">
        <v>26.66</v>
      </c>
      <c r="L1953" s="1">
        <v>26.61</v>
      </c>
      <c r="M1953" s="1">
        <f t="shared" si="236"/>
        <v>26.61</v>
      </c>
      <c r="N1953" s="211">
        <f t="shared" si="237"/>
        <v>42728</v>
      </c>
      <c r="O1953" s="75">
        <v>1492960</v>
      </c>
      <c r="P1953" s="36">
        <f t="shared" si="234"/>
        <v>1490160</v>
      </c>
      <c r="Q1953" s="258">
        <v>42740</v>
      </c>
      <c r="R1953" s="258">
        <v>42741</v>
      </c>
      <c r="S1953" s="230">
        <f t="shared" si="235"/>
        <v>13</v>
      </c>
    </row>
    <row r="1954" spans="1:22" s="3" customFormat="1" hidden="1" x14ac:dyDescent="0.25">
      <c r="A1954" s="212">
        <v>1596</v>
      </c>
      <c r="B1954" s="204">
        <v>42720</v>
      </c>
      <c r="C1954" s="1">
        <v>114</v>
      </c>
      <c r="D1954" s="1">
        <v>3000035561</v>
      </c>
      <c r="E1954" s="1" t="s">
        <v>30</v>
      </c>
      <c r="F1954" s="1">
        <v>428</v>
      </c>
      <c r="G1954" s="204">
        <v>42711</v>
      </c>
      <c r="H1954" s="205"/>
      <c r="I1954" s="205">
        <v>42714</v>
      </c>
      <c r="J1954" s="1" t="s">
        <v>229</v>
      </c>
      <c r="K1954" s="77">
        <v>28.39</v>
      </c>
      <c r="L1954" s="1">
        <v>28.23</v>
      </c>
      <c r="M1954" s="1">
        <f t="shared" si="236"/>
        <v>28.23</v>
      </c>
      <c r="N1954" s="211">
        <f t="shared" si="237"/>
        <v>42728</v>
      </c>
      <c r="O1954" s="75">
        <v>1391110</v>
      </c>
      <c r="P1954" s="36">
        <f t="shared" si="234"/>
        <v>1383270</v>
      </c>
      <c r="Q1954" s="258">
        <v>42740</v>
      </c>
      <c r="R1954" s="258">
        <v>42741</v>
      </c>
      <c r="S1954" s="230">
        <f t="shared" si="235"/>
        <v>13</v>
      </c>
    </row>
    <row r="1955" spans="1:22" s="3" customFormat="1" hidden="1" x14ac:dyDescent="0.25">
      <c r="A1955" s="3">
        <v>1609</v>
      </c>
      <c r="B1955" s="204">
        <v>42720</v>
      </c>
      <c r="C1955" s="1">
        <v>114</v>
      </c>
      <c r="D1955" s="1">
        <v>3000035561</v>
      </c>
      <c r="E1955" s="1" t="s">
        <v>30</v>
      </c>
      <c r="F1955" s="1">
        <v>431</v>
      </c>
      <c r="G1955" s="204">
        <v>42712</v>
      </c>
      <c r="H1955" s="205"/>
      <c r="I1955" s="205">
        <v>42715</v>
      </c>
      <c r="J1955" s="1" t="s">
        <v>229</v>
      </c>
      <c r="K1955" s="77">
        <v>28.09</v>
      </c>
      <c r="L1955" s="1">
        <v>27.93</v>
      </c>
      <c r="M1955" s="1">
        <f t="shared" si="236"/>
        <v>27.93</v>
      </c>
      <c r="N1955" s="211">
        <f t="shared" si="237"/>
        <v>42729</v>
      </c>
      <c r="O1955" s="75">
        <v>1376410</v>
      </c>
      <c r="P1955" s="36">
        <f t="shared" si="234"/>
        <v>1368570</v>
      </c>
      <c r="Q1955" s="258">
        <v>42740</v>
      </c>
      <c r="R1955" s="258">
        <v>42741</v>
      </c>
      <c r="S1955" s="230">
        <f t="shared" si="235"/>
        <v>12</v>
      </c>
    </row>
    <row r="1956" spans="1:22" s="3" customFormat="1" hidden="1" x14ac:dyDescent="0.25">
      <c r="A1956" s="3">
        <v>1791</v>
      </c>
      <c r="B1956" s="204">
        <v>42724</v>
      </c>
      <c r="C1956" s="1">
        <v>114</v>
      </c>
      <c r="D1956" s="1">
        <v>3000036347</v>
      </c>
      <c r="E1956" s="1" t="s">
        <v>30</v>
      </c>
      <c r="F1956" s="1">
        <v>434</v>
      </c>
      <c r="G1956" s="204">
        <v>42714</v>
      </c>
      <c r="H1956" s="205"/>
      <c r="I1956" s="205">
        <v>42719</v>
      </c>
      <c r="J1956" s="1" t="s">
        <v>229</v>
      </c>
      <c r="K1956" s="77">
        <v>28.28</v>
      </c>
      <c r="L1956" s="1">
        <v>28.11</v>
      </c>
      <c r="M1956" s="1">
        <f t="shared" si="236"/>
        <v>28.11</v>
      </c>
      <c r="N1956" s="211">
        <f t="shared" si="237"/>
        <v>42733</v>
      </c>
      <c r="O1956" s="75">
        <v>1385720</v>
      </c>
      <c r="P1956" s="36">
        <f t="shared" si="234"/>
        <v>1377390</v>
      </c>
      <c r="Q1956" s="258">
        <v>42740</v>
      </c>
      <c r="R1956" s="258">
        <v>42741</v>
      </c>
      <c r="S1956" s="230">
        <f t="shared" si="235"/>
        <v>8</v>
      </c>
    </row>
    <row r="1957" spans="1:22" s="3" customFormat="1" hidden="1" x14ac:dyDescent="0.25">
      <c r="A1957" s="3">
        <v>1791</v>
      </c>
      <c r="B1957" s="204">
        <v>42724</v>
      </c>
      <c r="C1957" s="1">
        <v>114</v>
      </c>
      <c r="D1957" s="1">
        <v>3000036347</v>
      </c>
      <c r="E1957" s="1" t="s">
        <v>30</v>
      </c>
      <c r="F1957" s="1">
        <v>445</v>
      </c>
      <c r="G1957" s="204">
        <v>42717</v>
      </c>
      <c r="H1957" s="205"/>
      <c r="I1957" s="205">
        <v>42719</v>
      </c>
      <c r="J1957" s="1" t="s">
        <v>229</v>
      </c>
      <c r="K1957" s="77">
        <v>28.67</v>
      </c>
      <c r="L1957" s="1">
        <v>28.5</v>
      </c>
      <c r="M1957" s="1">
        <f t="shared" si="236"/>
        <v>28.5</v>
      </c>
      <c r="N1957" s="211">
        <f t="shared" si="237"/>
        <v>42733</v>
      </c>
      <c r="O1957" s="75">
        <v>1404830</v>
      </c>
      <c r="P1957" s="36">
        <f t="shared" si="234"/>
        <v>1396500</v>
      </c>
      <c r="Q1957" s="258">
        <v>42740</v>
      </c>
      <c r="R1957" s="258">
        <v>42741</v>
      </c>
      <c r="S1957" s="230">
        <f t="shared" si="235"/>
        <v>8</v>
      </c>
    </row>
    <row r="1958" spans="1:22" s="3" customFormat="1" hidden="1" x14ac:dyDescent="0.25">
      <c r="A1958" s="3">
        <v>1479</v>
      </c>
      <c r="B1958" s="204">
        <v>42720</v>
      </c>
      <c r="C1958" s="1">
        <v>114</v>
      </c>
      <c r="D1958" s="1">
        <v>3000035397</v>
      </c>
      <c r="E1958" s="1" t="s">
        <v>348</v>
      </c>
      <c r="F1958" s="1">
        <v>249</v>
      </c>
      <c r="G1958" s="204">
        <v>42711</v>
      </c>
      <c r="H1958" s="205"/>
      <c r="I1958" s="205">
        <v>42715</v>
      </c>
      <c r="J1958" s="1" t="s">
        <v>8</v>
      </c>
      <c r="K1958" s="77">
        <v>20</v>
      </c>
      <c r="L1958" s="1">
        <v>19.96</v>
      </c>
      <c r="M1958" s="1">
        <f t="shared" si="236"/>
        <v>19.96</v>
      </c>
      <c r="N1958" s="211">
        <f t="shared" si="237"/>
        <v>42729</v>
      </c>
      <c r="O1958" s="75">
        <v>1120000</v>
      </c>
      <c r="P1958" s="38">
        <f t="shared" si="234"/>
        <v>1117760</v>
      </c>
      <c r="Q1958" s="258">
        <v>42740</v>
      </c>
      <c r="R1958" s="258">
        <v>42741</v>
      </c>
      <c r="S1958" s="230">
        <f t="shared" si="235"/>
        <v>12</v>
      </c>
    </row>
    <row r="1959" spans="1:22" s="3" customFormat="1" hidden="1" x14ac:dyDescent="0.25">
      <c r="A1959" s="212">
        <v>1726</v>
      </c>
      <c r="B1959" s="204">
        <v>42724</v>
      </c>
      <c r="C1959" s="1">
        <v>114</v>
      </c>
      <c r="D1959" s="1">
        <v>3000035100</v>
      </c>
      <c r="E1959" s="1" t="s">
        <v>348</v>
      </c>
      <c r="F1959" s="1">
        <v>99</v>
      </c>
      <c r="G1959" s="204">
        <v>42704</v>
      </c>
      <c r="H1959" s="205"/>
      <c r="I1959" s="205">
        <v>42716</v>
      </c>
      <c r="J1959" s="1" t="s">
        <v>16</v>
      </c>
      <c r="K1959" s="77">
        <v>29.52</v>
      </c>
      <c r="L1959" s="1">
        <v>29.35</v>
      </c>
      <c r="M1959" s="1">
        <f t="shared" si="236"/>
        <v>29.35</v>
      </c>
      <c r="N1959" s="211">
        <f t="shared" si="237"/>
        <v>42730</v>
      </c>
      <c r="O1959" s="75">
        <v>1688544</v>
      </c>
      <c r="P1959" s="38">
        <f t="shared" si="234"/>
        <v>1678820</v>
      </c>
      <c r="Q1959" s="258">
        <v>42740</v>
      </c>
      <c r="R1959" s="258">
        <v>42741</v>
      </c>
      <c r="S1959" s="230">
        <f t="shared" si="235"/>
        <v>11</v>
      </c>
    </row>
    <row r="1960" spans="1:22" s="3" customFormat="1" hidden="1" x14ac:dyDescent="0.25">
      <c r="A1960" s="3">
        <v>1791</v>
      </c>
      <c r="B1960" s="204">
        <v>42732</v>
      </c>
      <c r="C1960" s="1">
        <v>114</v>
      </c>
      <c r="D1960" s="1" t="s">
        <v>462</v>
      </c>
      <c r="E1960" s="1" t="s">
        <v>138</v>
      </c>
      <c r="F1960" s="20" t="s">
        <v>463</v>
      </c>
      <c r="G1960" s="204">
        <v>42724</v>
      </c>
      <c r="H1960" s="205"/>
      <c r="I1960" s="205">
        <v>42715</v>
      </c>
      <c r="J1960" s="1" t="s">
        <v>16</v>
      </c>
      <c r="K1960" s="77"/>
      <c r="L1960" s="1"/>
      <c r="M1960" s="1">
        <f t="shared" si="236"/>
        <v>0</v>
      </c>
      <c r="N1960" s="211">
        <f t="shared" si="237"/>
        <v>42729</v>
      </c>
      <c r="O1960" s="75">
        <v>9599</v>
      </c>
      <c r="P1960" s="36"/>
      <c r="Q1960" s="258">
        <v>42740</v>
      </c>
      <c r="R1960" s="258">
        <v>42741</v>
      </c>
      <c r="S1960" s="230">
        <f t="shared" si="235"/>
        <v>12</v>
      </c>
    </row>
    <row r="1961" spans="1:22" s="3" customFormat="1" hidden="1" x14ac:dyDescent="0.25">
      <c r="A1961" s="3">
        <v>1791</v>
      </c>
      <c r="B1961" s="204">
        <v>42732</v>
      </c>
      <c r="C1961" s="1">
        <v>114</v>
      </c>
      <c r="D1961" s="1">
        <v>3000034497</v>
      </c>
      <c r="E1961" s="1" t="s">
        <v>138</v>
      </c>
      <c r="F1961" s="16">
        <v>9135</v>
      </c>
      <c r="G1961" s="204">
        <v>42703</v>
      </c>
      <c r="H1961" s="205"/>
      <c r="I1961" s="205">
        <v>42715</v>
      </c>
      <c r="J1961" s="1" t="s">
        <v>16</v>
      </c>
      <c r="K1961" s="77">
        <v>10.6</v>
      </c>
      <c r="L1961" s="1">
        <v>10.6</v>
      </c>
      <c r="M1961" s="1">
        <f t="shared" si="236"/>
        <v>10.6</v>
      </c>
      <c r="N1961" s="211">
        <f t="shared" si="237"/>
        <v>42729</v>
      </c>
      <c r="O1961" s="75">
        <v>526820</v>
      </c>
      <c r="P1961" s="36">
        <f>(+O1961/K1961*M1961)-9599</f>
        <v>517221</v>
      </c>
      <c r="Q1961" s="258">
        <v>42740</v>
      </c>
      <c r="R1961" s="258">
        <v>42741</v>
      </c>
      <c r="S1961" s="230">
        <f t="shared" si="235"/>
        <v>12</v>
      </c>
    </row>
    <row r="1962" spans="1:22" s="3" customFormat="1" hidden="1" x14ac:dyDescent="0.25">
      <c r="A1962" s="3">
        <v>1791</v>
      </c>
      <c r="B1962" s="204">
        <v>42732</v>
      </c>
      <c r="C1962" s="1">
        <v>114</v>
      </c>
      <c r="D1962" s="1">
        <v>3000035682</v>
      </c>
      <c r="E1962" s="1" t="s">
        <v>138</v>
      </c>
      <c r="F1962" s="16">
        <v>9136</v>
      </c>
      <c r="G1962" s="204">
        <v>42703</v>
      </c>
      <c r="H1962" s="205"/>
      <c r="I1962" s="205">
        <v>42715</v>
      </c>
      <c r="J1962" s="1" t="s">
        <v>16</v>
      </c>
      <c r="K1962" s="77">
        <v>9.2149999999999999</v>
      </c>
      <c r="L1962" s="1">
        <v>9.11</v>
      </c>
      <c r="M1962" s="1">
        <f t="shared" si="236"/>
        <v>9.11</v>
      </c>
      <c r="N1962" s="211">
        <f t="shared" si="237"/>
        <v>42729</v>
      </c>
      <c r="O1962" s="75">
        <v>502218</v>
      </c>
      <c r="P1962" s="36">
        <f>(+O1962/K1962*M1962)</f>
        <v>496495.49430276721</v>
      </c>
      <c r="Q1962" s="258">
        <v>42740</v>
      </c>
      <c r="R1962" s="258">
        <v>42741</v>
      </c>
      <c r="S1962" s="230">
        <f t="shared" si="235"/>
        <v>12</v>
      </c>
    </row>
    <row r="1963" spans="1:22" s="3" customFormat="1" hidden="1" x14ac:dyDescent="0.25">
      <c r="A1963" s="3">
        <v>1791</v>
      </c>
      <c r="B1963" s="204">
        <v>42737</v>
      </c>
      <c r="C1963" s="1">
        <v>114</v>
      </c>
      <c r="D1963" s="1">
        <v>3200032377</v>
      </c>
      <c r="E1963" s="1" t="s">
        <v>472</v>
      </c>
      <c r="F1963" s="1" t="s">
        <v>473</v>
      </c>
      <c r="G1963" s="204">
        <v>42731</v>
      </c>
      <c r="H1963" s="205"/>
      <c r="I1963" s="205">
        <v>42731</v>
      </c>
      <c r="J1963" s="1" t="s">
        <v>474</v>
      </c>
      <c r="K1963" s="77"/>
      <c r="L1963" s="1"/>
      <c r="M1963" s="1">
        <f t="shared" si="236"/>
        <v>0</v>
      </c>
      <c r="N1963" s="211">
        <f>+I1963+0-1</f>
        <v>42730</v>
      </c>
      <c r="O1963" s="75">
        <v>391000</v>
      </c>
      <c r="P1963" s="36">
        <v>391000</v>
      </c>
      <c r="Q1963" s="258">
        <v>42740</v>
      </c>
      <c r="R1963" s="258">
        <v>42741</v>
      </c>
      <c r="S1963" s="230">
        <f t="shared" si="235"/>
        <v>11</v>
      </c>
    </row>
    <row r="1964" spans="1:22" s="3" customFormat="1" hidden="1" x14ac:dyDescent="0.25">
      <c r="A1964" s="3">
        <v>1739</v>
      </c>
      <c r="B1964" s="204">
        <v>42724</v>
      </c>
      <c r="C1964" s="1">
        <v>114</v>
      </c>
      <c r="D1964" s="1">
        <v>3000035400</v>
      </c>
      <c r="E1964" s="1" t="s">
        <v>344</v>
      </c>
      <c r="F1964" s="16">
        <v>106</v>
      </c>
      <c r="G1964" s="204">
        <v>42716</v>
      </c>
      <c r="H1964" s="205"/>
      <c r="I1964" s="205">
        <v>42719</v>
      </c>
      <c r="J1964" s="1" t="s">
        <v>8</v>
      </c>
      <c r="K1964" s="77">
        <v>16.940000000000001</v>
      </c>
      <c r="L1964" s="1">
        <v>16.829999999999998</v>
      </c>
      <c r="M1964" s="1">
        <f t="shared" si="236"/>
        <v>16.829999999999998</v>
      </c>
      <c r="N1964" s="211">
        <f>+I1964+15-1</f>
        <v>42733</v>
      </c>
      <c r="O1964" s="75">
        <v>948640</v>
      </c>
      <c r="P1964" s="36">
        <f t="shared" ref="P1964:P1970" si="238">(+O1964/K1964*M1964)</f>
        <v>942479.99999999977</v>
      </c>
      <c r="Q1964" s="258">
        <v>42740</v>
      </c>
      <c r="R1964" s="258">
        <v>42741</v>
      </c>
      <c r="S1964" s="230">
        <f t="shared" si="235"/>
        <v>8</v>
      </c>
    </row>
    <row r="1965" spans="1:22" s="3" customFormat="1" hidden="1" x14ac:dyDescent="0.25">
      <c r="A1965" s="212">
        <v>1752</v>
      </c>
      <c r="B1965" s="204">
        <v>42724</v>
      </c>
      <c r="C1965" s="1">
        <v>114</v>
      </c>
      <c r="D1965" s="1">
        <v>3000035700</v>
      </c>
      <c r="E1965" s="1" t="s">
        <v>344</v>
      </c>
      <c r="F1965" s="16">
        <v>106</v>
      </c>
      <c r="G1965" s="204">
        <v>42716</v>
      </c>
      <c r="H1965" s="205"/>
      <c r="I1965" s="205">
        <v>42719</v>
      </c>
      <c r="J1965" s="1" t="s">
        <v>8</v>
      </c>
      <c r="K1965" s="77">
        <v>11</v>
      </c>
      <c r="L1965" s="1">
        <v>11</v>
      </c>
      <c r="M1965" s="1">
        <f t="shared" si="236"/>
        <v>11</v>
      </c>
      <c r="N1965" s="211">
        <f>+I1965+15-1</f>
        <v>42733</v>
      </c>
      <c r="O1965" s="75">
        <v>610500</v>
      </c>
      <c r="P1965" s="36">
        <f t="shared" si="238"/>
        <v>610500</v>
      </c>
      <c r="Q1965" s="258">
        <v>42740</v>
      </c>
      <c r="R1965" s="258">
        <v>42741</v>
      </c>
      <c r="S1965" s="230">
        <f t="shared" si="235"/>
        <v>8</v>
      </c>
    </row>
    <row r="1966" spans="1:22" s="1" customFormat="1" hidden="1" x14ac:dyDescent="0.25">
      <c r="A1966" s="1">
        <v>1791</v>
      </c>
      <c r="B1966" s="204">
        <v>42732</v>
      </c>
      <c r="C1966" s="1">
        <v>103</v>
      </c>
      <c r="D1966" s="1">
        <v>3000037279</v>
      </c>
      <c r="E1966" s="1" t="s">
        <v>351</v>
      </c>
      <c r="F1966" s="1">
        <v>196</v>
      </c>
      <c r="G1966" s="204">
        <v>42716</v>
      </c>
      <c r="H1966" s="204"/>
      <c r="I1966" s="204">
        <v>42720</v>
      </c>
      <c r="J1966" s="1" t="s">
        <v>61</v>
      </c>
      <c r="K1966" s="1">
        <v>20.12</v>
      </c>
      <c r="L1966" s="1">
        <v>20.13</v>
      </c>
      <c r="M1966" s="1">
        <f t="shared" si="236"/>
        <v>20.12</v>
      </c>
      <c r="N1966" s="62">
        <f>+I1966+20-1</f>
        <v>42739</v>
      </c>
      <c r="O1966" s="1">
        <v>1941580</v>
      </c>
      <c r="P1966" s="36">
        <f t="shared" si="238"/>
        <v>1941580</v>
      </c>
      <c r="Q1966" s="258">
        <v>42740</v>
      </c>
      <c r="R1966" s="258">
        <v>42741</v>
      </c>
      <c r="S1966" s="230">
        <f t="shared" si="235"/>
        <v>2</v>
      </c>
    </row>
    <row r="1967" spans="1:22" s="1" customFormat="1" hidden="1" x14ac:dyDescent="0.25">
      <c r="A1967" s="1">
        <v>1791</v>
      </c>
      <c r="B1967" s="204">
        <v>42732</v>
      </c>
      <c r="C1967" s="1">
        <v>103</v>
      </c>
      <c r="D1967" s="1">
        <v>3000037279</v>
      </c>
      <c r="E1967" s="1" t="s">
        <v>351</v>
      </c>
      <c r="F1967" s="1">
        <v>197</v>
      </c>
      <c r="G1967" s="204">
        <v>42716</v>
      </c>
      <c r="H1967" s="204"/>
      <c r="I1967" s="204">
        <v>42720</v>
      </c>
      <c r="J1967" s="1" t="s">
        <v>61</v>
      </c>
      <c r="K1967" s="1">
        <v>19.95</v>
      </c>
      <c r="L1967" s="1">
        <v>19.95</v>
      </c>
      <c r="M1967" s="1">
        <f t="shared" si="236"/>
        <v>19.95</v>
      </c>
      <c r="N1967" s="211">
        <f>+I1967+20-1</f>
        <v>42739</v>
      </c>
      <c r="O1967" s="1">
        <v>1925175</v>
      </c>
      <c r="P1967" s="36">
        <f t="shared" si="238"/>
        <v>1925175</v>
      </c>
      <c r="Q1967" s="258">
        <v>42740</v>
      </c>
      <c r="R1967" s="258">
        <v>42741</v>
      </c>
      <c r="S1967" s="230">
        <f t="shared" si="235"/>
        <v>2</v>
      </c>
    </row>
    <row r="1968" spans="1:22" s="1" customFormat="1" hidden="1" x14ac:dyDescent="0.25">
      <c r="A1968" s="1">
        <v>1791</v>
      </c>
      <c r="B1968" s="204">
        <v>42732</v>
      </c>
      <c r="C1968" s="1">
        <v>114</v>
      </c>
      <c r="D1968" s="1">
        <v>3000036980</v>
      </c>
      <c r="E1968" s="63" t="s">
        <v>158</v>
      </c>
      <c r="F1968" s="1">
        <v>145</v>
      </c>
      <c r="G1968" s="204">
        <v>42711</v>
      </c>
      <c r="H1968" s="204"/>
      <c r="I1968" s="204">
        <v>42721</v>
      </c>
      <c r="J1968" s="1" t="s">
        <v>61</v>
      </c>
      <c r="K1968" s="1">
        <v>19.86</v>
      </c>
      <c r="L1968" s="1">
        <v>19.82</v>
      </c>
      <c r="M1968" s="1">
        <f t="shared" si="236"/>
        <v>19.82</v>
      </c>
      <c r="N1968" s="211">
        <f>+I1968+20-1</f>
        <v>42740</v>
      </c>
      <c r="O1968" s="1">
        <v>2105160</v>
      </c>
      <c r="P1968" s="36">
        <f t="shared" si="238"/>
        <v>2100920</v>
      </c>
      <c r="Q1968" s="258">
        <v>42740</v>
      </c>
      <c r="R1968" s="258">
        <v>42741</v>
      </c>
      <c r="S1968" s="230">
        <f t="shared" si="235"/>
        <v>1</v>
      </c>
      <c r="T1968" s="8" t="s">
        <v>514</v>
      </c>
      <c r="U1968" s="8"/>
      <c r="V1968" s="8"/>
    </row>
    <row r="1969" spans="1:23" s="1" customFormat="1" hidden="1" x14ac:dyDescent="0.25">
      <c r="A1969" s="1">
        <v>1791</v>
      </c>
      <c r="B1969" s="204">
        <v>42745</v>
      </c>
      <c r="C1969" s="1">
        <v>116</v>
      </c>
      <c r="D1969" s="1">
        <v>3000037677</v>
      </c>
      <c r="E1969" s="8" t="s">
        <v>518</v>
      </c>
      <c r="F1969" s="290" t="s">
        <v>515</v>
      </c>
      <c r="G1969" s="204">
        <v>42717</v>
      </c>
      <c r="H1969" s="204"/>
      <c r="I1969" s="204">
        <v>42717</v>
      </c>
      <c r="J1969" s="1" t="s">
        <v>516</v>
      </c>
      <c r="K1969" s="1">
        <v>24.42</v>
      </c>
      <c r="L1969" s="1">
        <v>24.42</v>
      </c>
      <c r="M1969" s="1">
        <f>IF(L1969&gt;K1969,K1969,L1969)</f>
        <v>24.42</v>
      </c>
      <c r="N1969" s="66">
        <f>+I1969+0-1</f>
        <v>42716</v>
      </c>
      <c r="O1969" s="1">
        <v>2213734</v>
      </c>
      <c r="P1969" s="38">
        <f t="shared" si="238"/>
        <v>2213734</v>
      </c>
      <c r="Q1969" s="258">
        <v>42719</v>
      </c>
      <c r="R1969" s="258">
        <v>42719</v>
      </c>
      <c r="S1969" s="230">
        <f t="shared" si="235"/>
        <v>3</v>
      </c>
    </row>
    <row r="1970" spans="1:23" s="1" customFormat="1" hidden="1" x14ac:dyDescent="0.25">
      <c r="A1970" s="1">
        <v>1791</v>
      </c>
      <c r="B1970" s="204">
        <v>42745</v>
      </c>
      <c r="C1970" s="1">
        <v>116</v>
      </c>
      <c r="D1970" s="1">
        <v>3000037677</v>
      </c>
      <c r="E1970" s="8" t="s">
        <v>518</v>
      </c>
      <c r="F1970" s="290" t="s">
        <v>517</v>
      </c>
      <c r="G1970" s="204">
        <v>42717</v>
      </c>
      <c r="H1970" s="204"/>
      <c r="I1970" s="204">
        <v>42717</v>
      </c>
      <c r="J1970" s="1" t="s">
        <v>516</v>
      </c>
      <c r="K1970" s="1">
        <v>24.29</v>
      </c>
      <c r="L1970" s="1">
        <v>24.29</v>
      </c>
      <c r="M1970" s="1">
        <f>IF(L1970&gt;K1970,K1970,L1970)</f>
        <v>24.29</v>
      </c>
      <c r="N1970" s="66">
        <f>+I1970+0-1</f>
        <v>42716</v>
      </c>
      <c r="O1970" s="1">
        <v>2201949</v>
      </c>
      <c r="P1970" s="38">
        <f t="shared" si="238"/>
        <v>2201949</v>
      </c>
      <c r="Q1970" s="258">
        <v>42719</v>
      </c>
      <c r="R1970" s="258">
        <v>42719</v>
      </c>
      <c r="S1970" s="230">
        <f t="shared" si="235"/>
        <v>3</v>
      </c>
      <c r="T1970" s="8" t="s">
        <v>519</v>
      </c>
      <c r="U1970" s="8"/>
      <c r="V1970" s="8"/>
      <c r="W1970" s="8"/>
    </row>
    <row r="1971" spans="1:23" s="65" customFormat="1" hidden="1" x14ac:dyDescent="0.25">
      <c r="A1971" s="65">
        <v>994</v>
      </c>
      <c r="B1971" s="258">
        <v>42692</v>
      </c>
      <c r="C1971" s="18">
        <v>114</v>
      </c>
      <c r="D1971" s="18">
        <v>3000030838</v>
      </c>
      <c r="E1971" s="18" t="s">
        <v>49</v>
      </c>
      <c r="F1971" s="18">
        <v>36</v>
      </c>
      <c r="G1971" s="258">
        <v>42683</v>
      </c>
      <c r="H1971" s="261"/>
      <c r="I1971" s="261">
        <v>42686</v>
      </c>
      <c r="J1971" s="18" t="s">
        <v>345</v>
      </c>
      <c r="K1971" s="149">
        <v>19.795000000000002</v>
      </c>
      <c r="L1971" s="18">
        <v>19.795000000000002</v>
      </c>
      <c r="M1971" s="18">
        <v>19.795000000000002</v>
      </c>
      <c r="N1971" s="62">
        <f>+I1971+15-'V V F India Out Standing'!O1194</f>
        <v>42701</v>
      </c>
      <c r="O1971" s="146">
        <v>1013504</v>
      </c>
      <c r="P1971" s="38">
        <f>(+O1971/K1971*M1971)</f>
        <v>1013504</v>
      </c>
      <c r="Q1971" s="258">
        <v>42747</v>
      </c>
      <c r="R1971" s="258">
        <v>42751</v>
      </c>
      <c r="S1971" s="230">
        <f t="shared" si="235"/>
        <v>50</v>
      </c>
    </row>
    <row r="1972" spans="1:23" s="65" customFormat="1" hidden="1" x14ac:dyDescent="0.25">
      <c r="A1972" s="65">
        <v>995</v>
      </c>
      <c r="B1972" s="258">
        <v>42692</v>
      </c>
      <c r="C1972" s="18">
        <v>114</v>
      </c>
      <c r="D1972" s="18">
        <v>3000034200</v>
      </c>
      <c r="E1972" s="18" t="s">
        <v>49</v>
      </c>
      <c r="F1972" s="18">
        <v>37</v>
      </c>
      <c r="G1972" s="258">
        <v>42683</v>
      </c>
      <c r="H1972" s="261"/>
      <c r="I1972" s="261">
        <v>42686</v>
      </c>
      <c r="J1972" s="18" t="s">
        <v>16</v>
      </c>
      <c r="K1972" s="149">
        <v>10</v>
      </c>
      <c r="L1972" s="18">
        <v>9.8249999999999993</v>
      </c>
      <c r="M1972" s="18">
        <v>9.8249999999999993</v>
      </c>
      <c r="N1972" s="62">
        <f>+I1972+15-'V V F India Out Standing'!O1195</f>
        <v>42701</v>
      </c>
      <c r="O1972" s="146">
        <v>560000</v>
      </c>
      <c r="P1972" s="36">
        <f t="shared" ref="P1972:P2002" si="239">(+O1972/K1972*M1972)</f>
        <v>550200</v>
      </c>
      <c r="Q1972" s="258">
        <v>42747</v>
      </c>
      <c r="R1972" s="258">
        <v>42751</v>
      </c>
      <c r="S1972" s="230">
        <f t="shared" si="235"/>
        <v>50</v>
      </c>
    </row>
    <row r="1973" spans="1:23" s="3" customFormat="1" hidden="1" x14ac:dyDescent="0.25">
      <c r="A1973" s="3">
        <v>1713</v>
      </c>
      <c r="B1973" s="204">
        <v>42724</v>
      </c>
      <c r="C1973" s="1">
        <v>114</v>
      </c>
      <c r="D1973" s="1">
        <v>3000030839</v>
      </c>
      <c r="E1973" s="1" t="s">
        <v>39</v>
      </c>
      <c r="F1973" s="1">
        <v>66</v>
      </c>
      <c r="G1973" s="204">
        <v>42704</v>
      </c>
      <c r="H1973" s="205"/>
      <c r="I1973" s="205">
        <v>42716</v>
      </c>
      <c r="J1973" s="1" t="s">
        <v>16</v>
      </c>
      <c r="K1973" s="77">
        <v>27.19</v>
      </c>
      <c r="L1973" s="1">
        <v>27.11</v>
      </c>
      <c r="M1973" s="1">
        <f t="shared" ref="M1973:M2002" si="240">IF(L1973&gt;K1973,K1973,L1973)</f>
        <v>27.11</v>
      </c>
      <c r="N1973" s="47">
        <f t="shared" ref="N1973:N2000" si="241">+I1973+15-1</f>
        <v>42730</v>
      </c>
      <c r="O1973" s="75">
        <v>1373095</v>
      </c>
      <c r="P1973" s="36">
        <f t="shared" si="239"/>
        <v>1369055</v>
      </c>
      <c r="Q1973" s="258">
        <v>42747</v>
      </c>
      <c r="R1973" s="258">
        <v>42751</v>
      </c>
      <c r="S1973" s="230">
        <f t="shared" si="235"/>
        <v>21</v>
      </c>
    </row>
    <row r="1974" spans="1:23" s="3" customFormat="1" hidden="1" x14ac:dyDescent="0.25">
      <c r="A1974" s="212">
        <v>1778</v>
      </c>
      <c r="B1974" s="204">
        <v>42724</v>
      </c>
      <c r="C1974" s="1">
        <v>114</v>
      </c>
      <c r="D1974" s="1">
        <v>3000034725</v>
      </c>
      <c r="E1974" s="1" t="s">
        <v>15</v>
      </c>
      <c r="F1974" s="16">
        <v>3257</v>
      </c>
      <c r="G1974" s="204">
        <v>42716</v>
      </c>
      <c r="H1974" s="205"/>
      <c r="I1974" s="205">
        <v>42718</v>
      </c>
      <c r="J1974" s="1" t="s">
        <v>8</v>
      </c>
      <c r="K1974" s="77">
        <v>21.934999999999999</v>
      </c>
      <c r="L1974" s="1">
        <v>21.89</v>
      </c>
      <c r="M1974" s="1">
        <f t="shared" si="240"/>
        <v>21.89</v>
      </c>
      <c r="N1974" s="47">
        <f t="shared" si="241"/>
        <v>42732</v>
      </c>
      <c r="O1974" s="75">
        <v>1283198</v>
      </c>
      <c r="P1974" s="36">
        <f t="shared" si="239"/>
        <v>1280565.4989742422</v>
      </c>
      <c r="Q1974" s="258">
        <v>42747</v>
      </c>
      <c r="R1974" s="258">
        <v>42751</v>
      </c>
      <c r="S1974" s="230">
        <f t="shared" si="235"/>
        <v>19</v>
      </c>
    </row>
    <row r="1975" spans="1:23" s="3" customFormat="1" hidden="1" x14ac:dyDescent="0.25">
      <c r="A1975" s="3">
        <v>1791</v>
      </c>
      <c r="B1975" s="204">
        <v>42724</v>
      </c>
      <c r="C1975" s="1">
        <v>114</v>
      </c>
      <c r="D1975" s="1">
        <v>3000035703</v>
      </c>
      <c r="E1975" s="1" t="s">
        <v>15</v>
      </c>
      <c r="F1975" s="16">
        <v>3257</v>
      </c>
      <c r="G1975" s="204">
        <v>42716</v>
      </c>
      <c r="H1975" s="205"/>
      <c r="I1975" s="205">
        <v>42718</v>
      </c>
      <c r="J1975" s="1" t="s">
        <v>8</v>
      </c>
      <c r="K1975" s="77">
        <v>7</v>
      </c>
      <c r="L1975" s="1">
        <v>7</v>
      </c>
      <c r="M1975" s="1">
        <f t="shared" si="240"/>
        <v>7</v>
      </c>
      <c r="N1975" s="47">
        <f t="shared" si="241"/>
        <v>42732</v>
      </c>
      <c r="O1975" s="75">
        <v>388500</v>
      </c>
      <c r="P1975" s="36">
        <f t="shared" si="239"/>
        <v>388500</v>
      </c>
      <c r="Q1975" s="258">
        <v>42747</v>
      </c>
      <c r="R1975" s="258">
        <v>42751</v>
      </c>
      <c r="S1975" s="230">
        <f t="shared" si="235"/>
        <v>19</v>
      </c>
    </row>
    <row r="1976" spans="1:23" s="3" customFormat="1" hidden="1" x14ac:dyDescent="0.25">
      <c r="A1976" s="3">
        <v>1791</v>
      </c>
      <c r="B1976" s="204">
        <v>42724</v>
      </c>
      <c r="C1976" s="1">
        <v>114</v>
      </c>
      <c r="D1976" s="1">
        <v>3000035064</v>
      </c>
      <c r="E1976" s="1" t="s">
        <v>15</v>
      </c>
      <c r="F1976" s="1">
        <v>3258</v>
      </c>
      <c r="G1976" s="204">
        <v>42716</v>
      </c>
      <c r="H1976" s="205"/>
      <c r="I1976" s="205">
        <v>42719</v>
      </c>
      <c r="J1976" s="1" t="s">
        <v>8</v>
      </c>
      <c r="K1976" s="77">
        <v>29.96</v>
      </c>
      <c r="L1976" s="1">
        <v>29.51</v>
      </c>
      <c r="M1976" s="1">
        <f t="shared" si="240"/>
        <v>29.51</v>
      </c>
      <c r="N1976" s="47">
        <f t="shared" si="241"/>
        <v>42733</v>
      </c>
      <c r="O1976" s="75">
        <v>1725696</v>
      </c>
      <c r="P1976" s="36">
        <f t="shared" si="239"/>
        <v>1699776</v>
      </c>
      <c r="Q1976" s="258">
        <v>42747</v>
      </c>
      <c r="R1976" s="258">
        <v>42751</v>
      </c>
      <c r="S1976" s="230">
        <f t="shared" si="235"/>
        <v>18</v>
      </c>
    </row>
    <row r="1977" spans="1:23" s="1" customFormat="1" hidden="1" x14ac:dyDescent="0.25">
      <c r="A1977" s="1">
        <v>1791</v>
      </c>
      <c r="B1977" s="204">
        <v>42744</v>
      </c>
      <c r="C1977" s="1">
        <v>114</v>
      </c>
      <c r="D1977" s="1">
        <v>3000035703</v>
      </c>
      <c r="E1977" s="1" t="s">
        <v>15</v>
      </c>
      <c r="F1977" s="1">
        <v>3262</v>
      </c>
      <c r="G1977" s="204">
        <v>42725</v>
      </c>
      <c r="H1977" s="204"/>
      <c r="I1977" s="204">
        <v>42735</v>
      </c>
      <c r="J1977" s="1" t="s">
        <v>8</v>
      </c>
      <c r="K1977" s="1">
        <v>27.99</v>
      </c>
      <c r="L1977" s="1">
        <v>27.9</v>
      </c>
      <c r="M1977" s="1">
        <f t="shared" si="240"/>
        <v>27.9</v>
      </c>
      <c r="N1977" s="66">
        <f t="shared" si="241"/>
        <v>42749</v>
      </c>
      <c r="O1977" s="1">
        <v>1553445</v>
      </c>
      <c r="P1977" s="36">
        <f t="shared" si="239"/>
        <v>1548450</v>
      </c>
      <c r="Q1977" s="258">
        <v>42747</v>
      </c>
      <c r="R1977" s="258">
        <v>42751</v>
      </c>
      <c r="S1977" s="230">
        <f t="shared" si="235"/>
        <v>2</v>
      </c>
    </row>
    <row r="1978" spans="1:23" s="1" customFormat="1" hidden="1" x14ac:dyDescent="0.25">
      <c r="A1978" s="1">
        <v>1791</v>
      </c>
      <c r="B1978" s="204">
        <v>42744</v>
      </c>
      <c r="C1978" s="1">
        <v>114</v>
      </c>
      <c r="D1978" s="1">
        <v>3000036296</v>
      </c>
      <c r="E1978" s="1" t="s">
        <v>15</v>
      </c>
      <c r="F1978" s="1">
        <v>3269</v>
      </c>
      <c r="G1978" s="204">
        <v>42730</v>
      </c>
      <c r="H1978" s="204"/>
      <c r="I1978" s="204">
        <v>42736</v>
      </c>
      <c r="J1978" s="1" t="s">
        <v>8</v>
      </c>
      <c r="K1978" s="1">
        <v>27.91</v>
      </c>
      <c r="L1978" s="1">
        <v>27.83</v>
      </c>
      <c r="M1978" s="1">
        <f t="shared" si="240"/>
        <v>27.83</v>
      </c>
      <c r="N1978" s="66">
        <f t="shared" si="241"/>
        <v>42750</v>
      </c>
      <c r="O1978" s="1">
        <v>1549005</v>
      </c>
      <c r="P1978" s="36">
        <f t="shared" si="239"/>
        <v>1544565</v>
      </c>
      <c r="Q1978" s="258">
        <v>42747</v>
      </c>
      <c r="R1978" s="258">
        <v>42751</v>
      </c>
      <c r="S1978" s="230">
        <f t="shared" si="235"/>
        <v>1</v>
      </c>
    </row>
    <row r="1979" spans="1:23" s="3" customFormat="1" hidden="1" x14ac:dyDescent="0.25">
      <c r="A1979" s="3">
        <v>1791</v>
      </c>
      <c r="B1979" s="204">
        <v>42724</v>
      </c>
      <c r="C1979" s="1">
        <v>114</v>
      </c>
      <c r="D1979" s="1">
        <v>3000036347</v>
      </c>
      <c r="E1979" s="1" t="s">
        <v>30</v>
      </c>
      <c r="F1979" s="1">
        <v>448</v>
      </c>
      <c r="G1979" s="204">
        <v>42717</v>
      </c>
      <c r="H1979" s="205"/>
      <c r="I1979" s="205">
        <v>42720</v>
      </c>
      <c r="J1979" s="1" t="s">
        <v>229</v>
      </c>
      <c r="K1979" s="77">
        <v>28.44</v>
      </c>
      <c r="L1979" s="1">
        <v>28.28</v>
      </c>
      <c r="M1979" s="1">
        <f t="shared" si="240"/>
        <v>28.28</v>
      </c>
      <c r="N1979" s="47">
        <f t="shared" si="241"/>
        <v>42734</v>
      </c>
      <c r="O1979" s="75">
        <v>1393560</v>
      </c>
      <c r="P1979" s="36">
        <f t="shared" si="239"/>
        <v>1385720</v>
      </c>
      <c r="Q1979" s="258">
        <v>42747</v>
      </c>
      <c r="R1979" s="258">
        <v>42751</v>
      </c>
      <c r="S1979" s="230">
        <f t="shared" si="235"/>
        <v>17</v>
      </c>
    </row>
    <row r="1980" spans="1:23" s="1" customFormat="1" hidden="1" x14ac:dyDescent="0.25">
      <c r="A1980" s="1">
        <v>1791</v>
      </c>
      <c r="B1980" s="204">
        <v>42732</v>
      </c>
      <c r="C1980" s="1">
        <v>114</v>
      </c>
      <c r="D1980" s="1">
        <v>3000036347</v>
      </c>
      <c r="E1980" s="1" t="s">
        <v>30</v>
      </c>
      <c r="F1980" s="1">
        <v>454</v>
      </c>
      <c r="G1980" s="204">
        <v>42720</v>
      </c>
      <c r="H1980" s="204"/>
      <c r="I1980" s="204">
        <v>42723</v>
      </c>
      <c r="J1980" s="1" t="s">
        <v>229</v>
      </c>
      <c r="K1980" s="1">
        <v>28.67</v>
      </c>
      <c r="L1980" s="1">
        <v>28.5</v>
      </c>
      <c r="M1980" s="1">
        <f t="shared" si="240"/>
        <v>28.5</v>
      </c>
      <c r="N1980" s="47">
        <f t="shared" si="241"/>
        <v>42737</v>
      </c>
      <c r="O1980" s="1">
        <v>1404830</v>
      </c>
      <c r="P1980" s="36">
        <f t="shared" si="239"/>
        <v>1396500</v>
      </c>
      <c r="Q1980" s="258">
        <v>42747</v>
      </c>
      <c r="R1980" s="258">
        <v>42751</v>
      </c>
      <c r="S1980" s="230">
        <f t="shared" si="235"/>
        <v>14</v>
      </c>
    </row>
    <row r="1981" spans="1:23" s="1" customFormat="1" hidden="1" x14ac:dyDescent="0.25">
      <c r="A1981" s="1">
        <v>1791</v>
      </c>
      <c r="B1981" s="204">
        <v>42732</v>
      </c>
      <c r="C1981" s="1">
        <v>114</v>
      </c>
      <c r="D1981" s="1">
        <v>3000036347</v>
      </c>
      <c r="E1981" s="1" t="s">
        <v>30</v>
      </c>
      <c r="F1981" s="1">
        <v>462</v>
      </c>
      <c r="G1981" s="204">
        <v>42721</v>
      </c>
      <c r="H1981" s="204"/>
      <c r="I1981" s="204">
        <v>42726</v>
      </c>
      <c r="J1981" s="1" t="s">
        <v>229</v>
      </c>
      <c r="K1981" s="1">
        <v>28.74</v>
      </c>
      <c r="L1981" s="1">
        <v>28.57</v>
      </c>
      <c r="M1981" s="1">
        <f t="shared" si="240"/>
        <v>28.57</v>
      </c>
      <c r="N1981" s="47">
        <f t="shared" si="241"/>
        <v>42740</v>
      </c>
      <c r="O1981" s="1">
        <v>1408260</v>
      </c>
      <c r="P1981" s="36">
        <f t="shared" si="239"/>
        <v>1399930</v>
      </c>
      <c r="Q1981" s="258">
        <v>42747</v>
      </c>
      <c r="R1981" s="258">
        <v>42751</v>
      </c>
      <c r="S1981" s="230">
        <f t="shared" si="235"/>
        <v>11</v>
      </c>
    </row>
    <row r="1982" spans="1:23" s="3" customFormat="1" hidden="1" x14ac:dyDescent="0.25">
      <c r="A1982" s="3">
        <v>1791</v>
      </c>
      <c r="B1982" s="204">
        <v>42732</v>
      </c>
      <c r="C1982" s="1">
        <v>114</v>
      </c>
      <c r="D1982" s="1">
        <v>3000035806</v>
      </c>
      <c r="E1982" s="1" t="s">
        <v>18</v>
      </c>
      <c r="F1982" s="16">
        <v>151</v>
      </c>
      <c r="G1982" s="204">
        <v>42716</v>
      </c>
      <c r="H1982" s="205"/>
      <c r="I1982" s="205">
        <v>42720</v>
      </c>
      <c r="J1982" s="1" t="s">
        <v>8</v>
      </c>
      <c r="K1982" s="77">
        <v>11.94</v>
      </c>
      <c r="L1982" s="1">
        <v>11.94</v>
      </c>
      <c r="M1982" s="1">
        <f t="shared" si="240"/>
        <v>11.94</v>
      </c>
      <c r="N1982" s="47">
        <f t="shared" si="241"/>
        <v>42734</v>
      </c>
      <c r="O1982" s="75">
        <v>661476</v>
      </c>
      <c r="P1982" s="36">
        <f t="shared" si="239"/>
        <v>661476</v>
      </c>
      <c r="Q1982" s="258">
        <v>42747</v>
      </c>
      <c r="R1982" s="258">
        <v>42751</v>
      </c>
      <c r="S1982" s="230">
        <f t="shared" si="235"/>
        <v>17</v>
      </c>
    </row>
    <row r="1983" spans="1:23" s="3" customFormat="1" hidden="1" x14ac:dyDescent="0.25">
      <c r="A1983" s="3">
        <v>1791</v>
      </c>
      <c r="B1983" s="272">
        <v>42732</v>
      </c>
      <c r="C1983" s="91">
        <v>114</v>
      </c>
      <c r="D1983" s="91">
        <v>3000036294</v>
      </c>
      <c r="E1983" s="91" t="s">
        <v>18</v>
      </c>
      <c r="F1983" s="286">
        <v>151</v>
      </c>
      <c r="G1983" s="272">
        <v>42716</v>
      </c>
      <c r="H1983" s="273"/>
      <c r="I1983" s="273">
        <v>42720</v>
      </c>
      <c r="J1983" s="91" t="s">
        <v>8</v>
      </c>
      <c r="K1983" s="136">
        <v>15</v>
      </c>
      <c r="L1983" s="91">
        <v>14.98</v>
      </c>
      <c r="M1983" s="91">
        <f t="shared" si="240"/>
        <v>14.98</v>
      </c>
      <c r="N1983" s="47">
        <f t="shared" si="241"/>
        <v>42734</v>
      </c>
      <c r="O1983" s="274">
        <v>832500</v>
      </c>
      <c r="P1983" s="288">
        <f t="shared" si="239"/>
        <v>831390</v>
      </c>
      <c r="Q1983" s="258">
        <v>42747</v>
      </c>
      <c r="R1983" s="258">
        <v>42751</v>
      </c>
      <c r="S1983" s="230">
        <f t="shared" si="235"/>
        <v>17</v>
      </c>
    </row>
    <row r="1984" spans="1:23" s="1" customFormat="1" hidden="1" x14ac:dyDescent="0.25">
      <c r="A1984" s="1">
        <v>1791</v>
      </c>
      <c r="B1984" s="204">
        <v>42732</v>
      </c>
      <c r="C1984" s="1">
        <v>114</v>
      </c>
      <c r="D1984" s="1">
        <v>3000036294</v>
      </c>
      <c r="E1984" s="1" t="s">
        <v>18</v>
      </c>
      <c r="F1984" s="1">
        <v>152</v>
      </c>
      <c r="G1984" s="204">
        <v>42716</v>
      </c>
      <c r="H1984" s="204"/>
      <c r="I1984" s="204">
        <v>42721</v>
      </c>
      <c r="J1984" s="1" t="s">
        <v>8</v>
      </c>
      <c r="K1984" s="1">
        <v>27.36</v>
      </c>
      <c r="L1984" s="1">
        <v>27.33</v>
      </c>
      <c r="M1984" s="1">
        <f t="shared" si="240"/>
        <v>27.33</v>
      </c>
      <c r="N1984" s="47">
        <f t="shared" si="241"/>
        <v>42735</v>
      </c>
      <c r="O1984" s="1">
        <v>1518480</v>
      </c>
      <c r="P1984" s="36">
        <f t="shared" si="239"/>
        <v>1516815</v>
      </c>
      <c r="Q1984" s="258">
        <v>42747</v>
      </c>
      <c r="R1984" s="258">
        <v>42751</v>
      </c>
      <c r="S1984" s="230">
        <f t="shared" si="235"/>
        <v>16</v>
      </c>
    </row>
    <row r="1985" spans="1:19" s="1" customFormat="1" hidden="1" x14ac:dyDescent="0.25">
      <c r="A1985" s="1">
        <v>1791</v>
      </c>
      <c r="B1985" s="204">
        <v>42739</v>
      </c>
      <c r="C1985" s="1">
        <v>114</v>
      </c>
      <c r="D1985" s="1">
        <v>3000036340</v>
      </c>
      <c r="E1985" s="1" t="s">
        <v>18</v>
      </c>
      <c r="F1985" s="1">
        <v>155</v>
      </c>
      <c r="G1985" s="204">
        <v>42721</v>
      </c>
      <c r="H1985" s="204"/>
      <c r="I1985" s="204">
        <v>42728</v>
      </c>
      <c r="J1985" s="1" t="s">
        <v>8</v>
      </c>
      <c r="K1985" s="1">
        <v>32</v>
      </c>
      <c r="L1985" s="1">
        <v>31.92</v>
      </c>
      <c r="M1985" s="1">
        <f t="shared" si="240"/>
        <v>31.92</v>
      </c>
      <c r="N1985" s="47">
        <f t="shared" si="241"/>
        <v>42742</v>
      </c>
      <c r="O1985" s="1">
        <v>1766400</v>
      </c>
      <c r="P1985" s="36">
        <f t="shared" si="239"/>
        <v>1761984</v>
      </c>
      <c r="Q1985" s="258">
        <v>42747</v>
      </c>
      <c r="R1985" s="258">
        <v>42751</v>
      </c>
      <c r="S1985" s="230">
        <f t="shared" si="235"/>
        <v>9</v>
      </c>
    </row>
    <row r="1986" spans="1:19" s="1" customFormat="1" hidden="1" x14ac:dyDescent="0.25">
      <c r="A1986" s="1">
        <v>1791</v>
      </c>
      <c r="B1986" s="204">
        <v>42739</v>
      </c>
      <c r="C1986" s="1">
        <v>114</v>
      </c>
      <c r="D1986" s="1">
        <v>3000036294</v>
      </c>
      <c r="E1986" s="1" t="s">
        <v>18</v>
      </c>
      <c r="F1986" s="16">
        <v>154</v>
      </c>
      <c r="G1986" s="204">
        <v>42721</v>
      </c>
      <c r="H1986" s="204"/>
      <c r="I1986" s="204">
        <v>42729</v>
      </c>
      <c r="J1986" s="1" t="s">
        <v>8</v>
      </c>
      <c r="K1986" s="1">
        <v>12.87</v>
      </c>
      <c r="L1986" s="1">
        <v>12.79</v>
      </c>
      <c r="M1986" s="1">
        <f t="shared" si="240"/>
        <v>12.79</v>
      </c>
      <c r="N1986" s="47">
        <f t="shared" si="241"/>
        <v>42743</v>
      </c>
      <c r="O1986" s="1">
        <v>714285</v>
      </c>
      <c r="P1986" s="36">
        <f t="shared" si="239"/>
        <v>709845</v>
      </c>
      <c r="Q1986" s="258">
        <v>42747</v>
      </c>
      <c r="R1986" s="258">
        <v>42751</v>
      </c>
      <c r="S1986" s="230">
        <f t="shared" si="235"/>
        <v>8</v>
      </c>
    </row>
    <row r="1987" spans="1:19" s="1" customFormat="1" hidden="1" x14ac:dyDescent="0.25">
      <c r="A1987" s="1">
        <v>1791</v>
      </c>
      <c r="B1987" s="204">
        <v>42739</v>
      </c>
      <c r="C1987" s="1">
        <v>114</v>
      </c>
      <c r="D1987" s="1">
        <v>3000036340</v>
      </c>
      <c r="E1987" s="1" t="s">
        <v>18</v>
      </c>
      <c r="F1987" s="16">
        <v>154</v>
      </c>
      <c r="G1987" s="204">
        <v>42721</v>
      </c>
      <c r="H1987" s="204"/>
      <c r="I1987" s="204">
        <v>42729</v>
      </c>
      <c r="J1987" s="1" t="s">
        <v>8</v>
      </c>
      <c r="K1987" s="1">
        <v>5</v>
      </c>
      <c r="L1987" s="1">
        <v>5</v>
      </c>
      <c r="M1987" s="1">
        <f t="shared" si="240"/>
        <v>5</v>
      </c>
      <c r="N1987" s="47">
        <f t="shared" si="241"/>
        <v>42743</v>
      </c>
      <c r="O1987" s="1">
        <v>276000</v>
      </c>
      <c r="P1987" s="36">
        <f t="shared" si="239"/>
        <v>276000</v>
      </c>
      <c r="Q1987" s="258">
        <v>42747</v>
      </c>
      <c r="R1987" s="258">
        <v>42751</v>
      </c>
      <c r="S1987" s="230">
        <f t="shared" si="235"/>
        <v>8</v>
      </c>
    </row>
    <row r="1988" spans="1:19" s="1" customFormat="1" hidden="1" x14ac:dyDescent="0.25">
      <c r="A1988" s="1">
        <v>1791</v>
      </c>
      <c r="B1988" s="204">
        <v>42732</v>
      </c>
      <c r="C1988" s="1">
        <v>114</v>
      </c>
      <c r="D1988" s="1">
        <v>3000036565</v>
      </c>
      <c r="E1988" s="1" t="s">
        <v>18</v>
      </c>
      <c r="F1988" s="1">
        <v>156</v>
      </c>
      <c r="G1988" s="204">
        <v>42721</v>
      </c>
      <c r="H1988" s="204"/>
      <c r="I1988" s="204">
        <v>42727</v>
      </c>
      <c r="J1988" s="1" t="s">
        <v>8</v>
      </c>
      <c r="K1988" s="1">
        <v>31.58</v>
      </c>
      <c r="L1988" s="1">
        <v>31.5</v>
      </c>
      <c r="M1988" s="1">
        <f t="shared" si="240"/>
        <v>31.5</v>
      </c>
      <c r="N1988" s="47">
        <f t="shared" si="241"/>
        <v>42741</v>
      </c>
      <c r="O1988" s="1">
        <v>1768480</v>
      </c>
      <c r="P1988" s="36">
        <f t="shared" si="239"/>
        <v>1764000</v>
      </c>
      <c r="Q1988" s="258">
        <v>42747</v>
      </c>
      <c r="R1988" s="258">
        <v>42751</v>
      </c>
      <c r="S1988" s="230">
        <f t="shared" si="235"/>
        <v>10</v>
      </c>
    </row>
    <row r="1989" spans="1:19" s="1" customFormat="1" hidden="1" x14ac:dyDescent="0.25">
      <c r="A1989" s="1">
        <v>1791</v>
      </c>
      <c r="B1989" s="204">
        <v>42732</v>
      </c>
      <c r="C1989" s="1">
        <v>114</v>
      </c>
      <c r="D1989" s="1">
        <v>3000035397</v>
      </c>
      <c r="E1989" s="1" t="s">
        <v>348</v>
      </c>
      <c r="F1989" s="1">
        <v>257</v>
      </c>
      <c r="G1989" s="204">
        <v>42718</v>
      </c>
      <c r="H1989" s="204"/>
      <c r="I1989" s="204">
        <v>42721</v>
      </c>
      <c r="J1989" s="1" t="s">
        <v>8</v>
      </c>
      <c r="K1989" s="1">
        <v>23.594999999999999</v>
      </c>
      <c r="L1989" s="1">
        <v>23.54</v>
      </c>
      <c r="M1989" s="1">
        <f t="shared" si="240"/>
        <v>23.54</v>
      </c>
      <c r="N1989" s="47">
        <f t="shared" si="241"/>
        <v>42735</v>
      </c>
      <c r="O1989" s="1">
        <v>1321320</v>
      </c>
      <c r="P1989" s="36">
        <f t="shared" si="239"/>
        <v>1318240</v>
      </c>
      <c r="Q1989" s="258">
        <v>42747</v>
      </c>
      <c r="R1989" s="258">
        <v>42751</v>
      </c>
      <c r="S1989" s="230">
        <f t="shared" si="235"/>
        <v>16</v>
      </c>
    </row>
    <row r="1990" spans="1:19" s="1" customFormat="1" hidden="1" x14ac:dyDescent="0.25">
      <c r="A1990" s="1">
        <v>1791</v>
      </c>
      <c r="B1990" s="204">
        <v>42744</v>
      </c>
      <c r="C1990" s="1">
        <v>114</v>
      </c>
      <c r="D1990" s="1">
        <v>3000035397</v>
      </c>
      <c r="E1990" s="1" t="s">
        <v>348</v>
      </c>
      <c r="F1990" s="1">
        <v>261</v>
      </c>
      <c r="G1990" s="204">
        <v>42725</v>
      </c>
      <c r="H1990" s="204"/>
      <c r="I1990" s="204">
        <v>42736</v>
      </c>
      <c r="J1990" s="1" t="s">
        <v>8</v>
      </c>
      <c r="K1990" s="1">
        <v>19.850000000000001</v>
      </c>
      <c r="L1990" s="1">
        <v>19.73</v>
      </c>
      <c r="M1990" s="1">
        <f t="shared" si="240"/>
        <v>19.73</v>
      </c>
      <c r="N1990" s="66">
        <f t="shared" si="241"/>
        <v>42750</v>
      </c>
      <c r="O1990" s="1">
        <v>1111600</v>
      </c>
      <c r="P1990" s="36">
        <f t="shared" si="239"/>
        <v>1104879.9999999998</v>
      </c>
      <c r="Q1990" s="258">
        <v>42747</v>
      </c>
      <c r="R1990" s="258">
        <v>42751</v>
      </c>
      <c r="S1990" s="230">
        <f t="shared" si="235"/>
        <v>1</v>
      </c>
    </row>
    <row r="1991" spans="1:19" s="1" customFormat="1" hidden="1" x14ac:dyDescent="0.25">
      <c r="A1991" s="1">
        <v>1791</v>
      </c>
      <c r="B1991" s="204">
        <v>42744</v>
      </c>
      <c r="C1991" s="1">
        <v>114</v>
      </c>
      <c r="D1991" s="1">
        <v>3000035704</v>
      </c>
      <c r="E1991" s="1" t="s">
        <v>348</v>
      </c>
      <c r="F1991" s="1">
        <v>266</v>
      </c>
      <c r="G1991" s="204">
        <v>42726</v>
      </c>
      <c r="H1991" s="204"/>
      <c r="I1991" s="204">
        <v>42735</v>
      </c>
      <c r="J1991" s="1" t="s">
        <v>8</v>
      </c>
      <c r="K1991" s="1">
        <v>30.6</v>
      </c>
      <c r="L1991" s="1">
        <v>30.54</v>
      </c>
      <c r="M1991" s="1">
        <f t="shared" si="240"/>
        <v>30.54</v>
      </c>
      <c r="N1991" s="66">
        <f t="shared" si="241"/>
        <v>42749</v>
      </c>
      <c r="O1991" s="1">
        <v>1698300</v>
      </c>
      <c r="P1991" s="36">
        <f t="shared" si="239"/>
        <v>1694970</v>
      </c>
      <c r="Q1991" s="258">
        <v>42747</v>
      </c>
      <c r="R1991" s="258">
        <v>42751</v>
      </c>
      <c r="S1991" s="230">
        <f t="shared" si="235"/>
        <v>2</v>
      </c>
    </row>
    <row r="1992" spans="1:19" s="1" customFormat="1" hidden="1" x14ac:dyDescent="0.25">
      <c r="A1992" s="1">
        <v>1791</v>
      </c>
      <c r="B1992" s="204">
        <v>42744</v>
      </c>
      <c r="C1992" s="1">
        <v>114</v>
      </c>
      <c r="D1992" s="1">
        <v>3000035704</v>
      </c>
      <c r="E1992" s="1" t="s">
        <v>348</v>
      </c>
      <c r="F1992" s="1">
        <v>267</v>
      </c>
      <c r="G1992" s="204">
        <v>42728</v>
      </c>
      <c r="H1992" s="204"/>
      <c r="I1992" s="204">
        <v>42737</v>
      </c>
      <c r="J1992" s="1" t="s">
        <v>8</v>
      </c>
      <c r="K1992" s="1">
        <v>23.96</v>
      </c>
      <c r="L1992" s="1">
        <v>23.92</v>
      </c>
      <c r="M1992" s="1">
        <f t="shared" si="240"/>
        <v>23.92</v>
      </c>
      <c r="N1992" s="66">
        <f t="shared" si="241"/>
        <v>42751</v>
      </c>
      <c r="O1992" s="1">
        <v>1329780</v>
      </c>
      <c r="P1992" s="36">
        <f t="shared" si="239"/>
        <v>1327560</v>
      </c>
      <c r="Q1992" s="258">
        <v>42747</v>
      </c>
      <c r="R1992" s="258">
        <v>42751</v>
      </c>
      <c r="S1992" s="230">
        <f t="shared" si="235"/>
        <v>0</v>
      </c>
    </row>
    <row r="1993" spans="1:19" s="1" customFormat="1" hidden="1" x14ac:dyDescent="0.25">
      <c r="A1993" s="1">
        <v>1791</v>
      </c>
      <c r="B1993" s="204">
        <v>42744</v>
      </c>
      <c r="C1993" s="1">
        <v>114</v>
      </c>
      <c r="D1993" s="1">
        <v>3000035819</v>
      </c>
      <c r="E1993" s="1" t="s">
        <v>348</v>
      </c>
      <c r="F1993" s="1">
        <v>270</v>
      </c>
      <c r="G1993" s="204">
        <v>42728</v>
      </c>
      <c r="H1993" s="204"/>
      <c r="I1993" s="204">
        <v>42735</v>
      </c>
      <c r="J1993" s="1" t="s">
        <v>8</v>
      </c>
      <c r="K1993" s="1">
        <v>34.26</v>
      </c>
      <c r="L1993" s="1">
        <v>34.21</v>
      </c>
      <c r="M1993" s="1">
        <f t="shared" si="240"/>
        <v>34.21</v>
      </c>
      <c r="N1993" s="66">
        <f t="shared" si="241"/>
        <v>42749</v>
      </c>
      <c r="O1993" s="1">
        <v>1898004</v>
      </c>
      <c r="P1993" s="36">
        <f t="shared" si="239"/>
        <v>1895234</v>
      </c>
      <c r="Q1993" s="258">
        <v>42747</v>
      </c>
      <c r="R1993" s="258">
        <v>42751</v>
      </c>
      <c r="S1993" s="230">
        <f t="shared" si="235"/>
        <v>2</v>
      </c>
    </row>
    <row r="1994" spans="1:19" s="1" customFormat="1" hidden="1" x14ac:dyDescent="0.25">
      <c r="A1994" s="1">
        <v>1791</v>
      </c>
      <c r="B1994" s="204">
        <v>42732</v>
      </c>
      <c r="C1994" s="1">
        <v>114</v>
      </c>
      <c r="D1994" s="1">
        <v>3000034962</v>
      </c>
      <c r="E1994" s="1" t="s">
        <v>27</v>
      </c>
      <c r="F1994" s="1">
        <v>267</v>
      </c>
      <c r="G1994" s="204">
        <v>42712</v>
      </c>
      <c r="H1994" s="204"/>
      <c r="I1994" s="204">
        <v>42722</v>
      </c>
      <c r="J1994" s="1" t="s">
        <v>16</v>
      </c>
      <c r="K1994" s="1">
        <v>19.829999999999998</v>
      </c>
      <c r="L1994" s="1">
        <v>19.68</v>
      </c>
      <c r="M1994" s="1">
        <f t="shared" si="240"/>
        <v>19.68</v>
      </c>
      <c r="N1994" s="47">
        <f t="shared" si="241"/>
        <v>42736</v>
      </c>
      <c r="O1994" s="1">
        <v>1134276</v>
      </c>
      <c r="P1994" s="36">
        <f t="shared" si="239"/>
        <v>1125696.0000000002</v>
      </c>
      <c r="Q1994" s="258">
        <v>42747</v>
      </c>
      <c r="R1994" s="258">
        <v>42751</v>
      </c>
      <c r="S1994" s="230">
        <f t="shared" si="235"/>
        <v>15</v>
      </c>
    </row>
    <row r="1995" spans="1:19" s="1" customFormat="1" hidden="1" x14ac:dyDescent="0.25">
      <c r="A1995" s="1">
        <v>1791</v>
      </c>
      <c r="B1995" s="204">
        <v>42732</v>
      </c>
      <c r="C1995" s="1">
        <v>114</v>
      </c>
      <c r="D1995" s="1">
        <v>3000035700</v>
      </c>
      <c r="E1995" s="1" t="s">
        <v>344</v>
      </c>
      <c r="F1995" s="16">
        <v>111</v>
      </c>
      <c r="G1995" s="204">
        <v>42721</v>
      </c>
      <c r="H1995" s="204"/>
      <c r="I1995" s="204">
        <v>42727</v>
      </c>
      <c r="J1995" s="1" t="s">
        <v>8</v>
      </c>
      <c r="K1995" s="1">
        <v>16.170000000000002</v>
      </c>
      <c r="L1995" s="1">
        <v>16.059999999999999</v>
      </c>
      <c r="M1995" s="1">
        <f t="shared" si="240"/>
        <v>16.059999999999999</v>
      </c>
      <c r="N1995" s="47">
        <f t="shared" si="241"/>
        <v>42741</v>
      </c>
      <c r="O1995" s="1">
        <v>897435</v>
      </c>
      <c r="P1995" s="36">
        <f t="shared" si="239"/>
        <v>891329.99999999977</v>
      </c>
      <c r="Q1995" s="258">
        <v>42747</v>
      </c>
      <c r="R1995" s="258">
        <v>42751</v>
      </c>
      <c r="S1995" s="230">
        <f t="shared" si="235"/>
        <v>10</v>
      </c>
    </row>
    <row r="1996" spans="1:19" s="1" customFormat="1" hidden="1" x14ac:dyDescent="0.25">
      <c r="A1996" s="1">
        <v>1791</v>
      </c>
      <c r="B1996" s="204">
        <v>42732</v>
      </c>
      <c r="C1996" s="1">
        <v>114</v>
      </c>
      <c r="D1996" s="1">
        <v>3000035781</v>
      </c>
      <c r="E1996" s="1" t="s">
        <v>344</v>
      </c>
      <c r="F1996" s="16">
        <v>111</v>
      </c>
      <c r="G1996" s="204">
        <v>42721</v>
      </c>
      <c r="H1996" s="204"/>
      <c r="I1996" s="204">
        <v>42727</v>
      </c>
      <c r="J1996" s="1" t="s">
        <v>8</v>
      </c>
      <c r="K1996" s="1">
        <v>11.8</v>
      </c>
      <c r="L1996" s="1">
        <v>11.8</v>
      </c>
      <c r="M1996" s="1">
        <f t="shared" si="240"/>
        <v>11.8</v>
      </c>
      <c r="N1996" s="47">
        <f t="shared" si="241"/>
        <v>42741</v>
      </c>
      <c r="O1996" s="1">
        <v>653720</v>
      </c>
      <c r="P1996" s="36">
        <f t="shared" si="239"/>
        <v>653720</v>
      </c>
      <c r="Q1996" s="258">
        <v>42747</v>
      </c>
      <c r="R1996" s="258">
        <v>42751</v>
      </c>
      <c r="S1996" s="230">
        <f t="shared" si="235"/>
        <v>10</v>
      </c>
    </row>
    <row r="1997" spans="1:19" s="1" customFormat="1" hidden="1" x14ac:dyDescent="0.25">
      <c r="A1997" s="1">
        <v>1791</v>
      </c>
      <c r="B1997" s="204">
        <v>42739</v>
      </c>
      <c r="C1997" s="1">
        <v>114</v>
      </c>
      <c r="D1997" s="1">
        <v>3000035781</v>
      </c>
      <c r="E1997" s="1" t="s">
        <v>344</v>
      </c>
      <c r="F1997" s="1">
        <v>113</v>
      </c>
      <c r="G1997" s="204">
        <v>42724</v>
      </c>
      <c r="H1997" s="204"/>
      <c r="I1997" s="204">
        <v>42730</v>
      </c>
      <c r="J1997" s="1" t="s">
        <v>8</v>
      </c>
      <c r="K1997" s="1">
        <v>20.399999999999999</v>
      </c>
      <c r="L1997" s="1">
        <v>20.32</v>
      </c>
      <c r="M1997" s="1">
        <f t="shared" si="240"/>
        <v>20.32</v>
      </c>
      <c r="N1997" s="47">
        <f t="shared" si="241"/>
        <v>42744</v>
      </c>
      <c r="O1997" s="1">
        <v>1130160</v>
      </c>
      <c r="P1997" s="36">
        <f t="shared" si="239"/>
        <v>1125728.0000000002</v>
      </c>
      <c r="Q1997" s="258">
        <v>42747</v>
      </c>
      <c r="R1997" s="258">
        <v>42751</v>
      </c>
      <c r="S1997" s="230">
        <f t="shared" si="235"/>
        <v>7</v>
      </c>
    </row>
    <row r="1998" spans="1:19" s="1" customFormat="1" hidden="1" x14ac:dyDescent="0.25">
      <c r="A1998" s="1">
        <v>1791</v>
      </c>
      <c r="B1998" s="204">
        <v>42739</v>
      </c>
      <c r="C1998" s="1">
        <v>114</v>
      </c>
      <c r="D1998" s="1">
        <v>3000035781</v>
      </c>
      <c r="E1998" s="1" t="s">
        <v>344</v>
      </c>
      <c r="F1998" s="1">
        <v>112</v>
      </c>
      <c r="G1998" s="204">
        <v>42721</v>
      </c>
      <c r="H1998" s="204"/>
      <c r="I1998" s="204">
        <v>42730</v>
      </c>
      <c r="J1998" s="1" t="s">
        <v>8</v>
      </c>
      <c r="K1998" s="1">
        <v>22.79</v>
      </c>
      <c r="L1998" s="1">
        <v>22.65</v>
      </c>
      <c r="M1998" s="1">
        <f t="shared" si="240"/>
        <v>22.65</v>
      </c>
      <c r="N1998" s="47">
        <f t="shared" si="241"/>
        <v>42744</v>
      </c>
      <c r="O1998" s="1">
        <v>1262566</v>
      </c>
      <c r="P1998" s="36">
        <f t="shared" si="239"/>
        <v>1254810</v>
      </c>
      <c r="Q1998" s="258">
        <v>42747</v>
      </c>
      <c r="R1998" s="258">
        <v>42751</v>
      </c>
      <c r="S1998" s="230">
        <f t="shared" si="235"/>
        <v>7</v>
      </c>
    </row>
    <row r="1999" spans="1:19" s="1" customFormat="1" hidden="1" x14ac:dyDescent="0.25">
      <c r="A1999" s="1">
        <v>1791</v>
      </c>
      <c r="B1999" s="204">
        <v>42744</v>
      </c>
      <c r="C1999" s="1">
        <v>114</v>
      </c>
      <c r="D1999" s="1">
        <v>3000035701</v>
      </c>
      <c r="E1999" s="1" t="s">
        <v>344</v>
      </c>
      <c r="F1999" s="16">
        <v>114</v>
      </c>
      <c r="G1999" s="204">
        <v>42726</v>
      </c>
      <c r="H1999" s="204"/>
      <c r="I1999" s="204">
        <v>42734</v>
      </c>
      <c r="J1999" s="1" t="s">
        <v>8</v>
      </c>
      <c r="K1999" s="1">
        <v>0.37</v>
      </c>
      <c r="L1999" s="1">
        <v>0.32</v>
      </c>
      <c r="M1999" s="1">
        <f t="shared" si="240"/>
        <v>0.32</v>
      </c>
      <c r="N1999" s="66">
        <f t="shared" si="241"/>
        <v>42748</v>
      </c>
      <c r="O1999" s="1">
        <v>20498</v>
      </c>
      <c r="P1999" s="36">
        <f t="shared" si="239"/>
        <v>17728</v>
      </c>
      <c r="Q1999" s="258">
        <v>42747</v>
      </c>
      <c r="R1999" s="258">
        <v>42751</v>
      </c>
      <c r="S1999" s="230">
        <f t="shared" si="235"/>
        <v>3</v>
      </c>
    </row>
    <row r="2000" spans="1:19" s="1" customFormat="1" hidden="1" x14ac:dyDescent="0.25">
      <c r="A2000" s="1">
        <v>1791</v>
      </c>
      <c r="B2000" s="204">
        <v>42744</v>
      </c>
      <c r="C2000" s="1">
        <v>114</v>
      </c>
      <c r="D2000" s="1">
        <v>3000036345</v>
      </c>
      <c r="E2000" s="1" t="s">
        <v>344</v>
      </c>
      <c r="F2000" s="16">
        <v>114</v>
      </c>
      <c r="G2000" s="204">
        <v>42726</v>
      </c>
      <c r="H2000" s="204"/>
      <c r="I2000" s="204">
        <v>42734</v>
      </c>
      <c r="J2000" s="1" t="s">
        <v>8</v>
      </c>
      <c r="K2000" s="1">
        <v>20</v>
      </c>
      <c r="L2000" s="1">
        <v>20</v>
      </c>
      <c r="M2000" s="1">
        <f t="shared" si="240"/>
        <v>20</v>
      </c>
      <c r="N2000" s="66">
        <f t="shared" si="241"/>
        <v>42748</v>
      </c>
      <c r="O2000" s="1">
        <v>1104000</v>
      </c>
      <c r="P2000" s="36">
        <f t="shared" si="239"/>
        <v>1104000</v>
      </c>
      <c r="Q2000" s="258">
        <v>42747</v>
      </c>
      <c r="R2000" s="258">
        <v>42751</v>
      </c>
      <c r="S2000" s="230">
        <f t="shared" si="235"/>
        <v>3</v>
      </c>
    </row>
    <row r="2001" spans="1:24" s="1" customFormat="1" hidden="1" x14ac:dyDescent="0.25">
      <c r="A2001" s="1">
        <v>1791</v>
      </c>
      <c r="B2001" s="204">
        <v>42732</v>
      </c>
      <c r="C2001" s="1">
        <v>114</v>
      </c>
      <c r="D2001" s="1">
        <v>3000036979</v>
      </c>
      <c r="E2001" s="1" t="s">
        <v>363</v>
      </c>
      <c r="F2001" s="1">
        <v>195</v>
      </c>
      <c r="G2001" s="204">
        <v>42718</v>
      </c>
      <c r="H2001" s="204"/>
      <c r="I2001" s="204">
        <v>42726</v>
      </c>
      <c r="J2001" s="1" t="s">
        <v>61</v>
      </c>
      <c r="K2001" s="1">
        <v>19.579999999999998</v>
      </c>
      <c r="L2001" s="1">
        <v>19.61</v>
      </c>
      <c r="M2001" s="1">
        <f t="shared" si="240"/>
        <v>19.579999999999998</v>
      </c>
      <c r="N2001" s="47">
        <f>+I2001+20-1</f>
        <v>42745</v>
      </c>
      <c r="O2001" s="1">
        <v>2075648</v>
      </c>
      <c r="P2001" s="36">
        <f t="shared" si="239"/>
        <v>2075648</v>
      </c>
      <c r="Q2001" s="258">
        <v>42747</v>
      </c>
      <c r="R2001" s="258">
        <v>42751</v>
      </c>
      <c r="S2001" s="230">
        <f t="shared" si="235"/>
        <v>6</v>
      </c>
    </row>
    <row r="2002" spans="1:24" s="1" customFormat="1" hidden="1" x14ac:dyDescent="0.25">
      <c r="A2002" s="1">
        <v>1791</v>
      </c>
      <c r="B2002" s="204">
        <v>42744</v>
      </c>
      <c r="C2002" s="1">
        <v>114</v>
      </c>
      <c r="D2002" s="1">
        <v>3000037136</v>
      </c>
      <c r="E2002" s="1" t="s">
        <v>158</v>
      </c>
      <c r="F2002" s="1">
        <v>161</v>
      </c>
      <c r="G2002" s="204">
        <v>42723</v>
      </c>
      <c r="H2002" s="204"/>
      <c r="I2002" s="204">
        <v>42735</v>
      </c>
      <c r="J2002" s="1" t="s">
        <v>61</v>
      </c>
      <c r="K2002" s="1">
        <v>19.850000000000001</v>
      </c>
      <c r="L2002" s="1">
        <v>19.84</v>
      </c>
      <c r="M2002" s="1">
        <f t="shared" si="240"/>
        <v>19.84</v>
      </c>
      <c r="N2002" s="66">
        <f>+I2002+20-1</f>
        <v>42754</v>
      </c>
      <c r="O2002" s="1">
        <v>2183500</v>
      </c>
      <c r="P2002" s="36">
        <f t="shared" si="239"/>
        <v>2182399.9999999995</v>
      </c>
      <c r="Q2002" s="258">
        <v>42747</v>
      </c>
      <c r="R2002" s="258">
        <v>42751</v>
      </c>
      <c r="S2002" s="230">
        <f t="shared" si="235"/>
        <v>-3</v>
      </c>
    </row>
    <row r="2003" spans="1:24" s="1" customFormat="1" hidden="1" x14ac:dyDescent="0.25">
      <c r="A2003" s="1">
        <v>1791</v>
      </c>
      <c r="B2003" s="204">
        <v>42746</v>
      </c>
      <c r="C2003" s="1">
        <v>103</v>
      </c>
      <c r="D2003" s="1">
        <v>3000032673</v>
      </c>
      <c r="E2003" s="1" t="s">
        <v>26</v>
      </c>
      <c r="F2003" s="1">
        <v>222</v>
      </c>
      <c r="G2003" s="204">
        <v>42567</v>
      </c>
      <c r="H2003" s="204"/>
      <c r="I2003" s="204">
        <v>42567</v>
      </c>
      <c r="J2003" s="1" t="s">
        <v>156</v>
      </c>
      <c r="K2003" s="1">
        <v>19.805</v>
      </c>
      <c r="L2003" s="1">
        <v>19.805</v>
      </c>
      <c r="M2003" s="1">
        <f t="shared" ref="M2003:M2008" si="242">IF(L2003&gt;K2003,K2003,L2003)</f>
        <v>19.805</v>
      </c>
      <c r="N2003" s="66">
        <f t="shared" ref="N2003:N2008" si="243">+I2003+15-1</f>
        <v>42581</v>
      </c>
      <c r="O2003" s="1">
        <v>1761091</v>
      </c>
      <c r="P2003" s="38">
        <f>(+O2003/K2003*M2003)</f>
        <v>1761091</v>
      </c>
      <c r="Q2003" s="258">
        <v>42381</v>
      </c>
      <c r="R2003" s="258">
        <v>42748</v>
      </c>
      <c r="S2003" s="230">
        <f t="shared" si="235"/>
        <v>167</v>
      </c>
    </row>
    <row r="2004" spans="1:24" s="1" customFormat="1" hidden="1" x14ac:dyDescent="0.25">
      <c r="A2004" s="1">
        <v>1791</v>
      </c>
      <c r="B2004" s="204">
        <v>42746</v>
      </c>
      <c r="C2004" s="1">
        <v>103</v>
      </c>
      <c r="E2004" s="1" t="s">
        <v>106</v>
      </c>
      <c r="F2004" s="1">
        <v>2</v>
      </c>
      <c r="G2004" s="204">
        <v>42616</v>
      </c>
      <c r="H2004" s="204"/>
      <c r="I2004" s="204">
        <v>42616</v>
      </c>
      <c r="J2004" s="1" t="s">
        <v>76</v>
      </c>
      <c r="M2004" s="1">
        <f t="shared" si="242"/>
        <v>0</v>
      </c>
      <c r="N2004" s="66">
        <f t="shared" si="243"/>
        <v>42630</v>
      </c>
      <c r="O2004" s="1">
        <v>93281</v>
      </c>
      <c r="P2004" s="71">
        <f>(O2004- (O2004*10%))</f>
        <v>83952.9</v>
      </c>
      <c r="Q2004" s="258">
        <v>42381</v>
      </c>
      <c r="R2004" s="258">
        <v>42752</v>
      </c>
      <c r="S2004" s="230">
        <f t="shared" si="235"/>
        <v>122</v>
      </c>
    </row>
    <row r="2005" spans="1:24" s="1" customFormat="1" hidden="1" x14ac:dyDescent="0.25">
      <c r="A2005" s="1">
        <v>1791</v>
      </c>
      <c r="B2005" s="204">
        <v>42746</v>
      </c>
      <c r="C2005" s="1">
        <v>114</v>
      </c>
      <c r="E2005" s="1" t="s">
        <v>106</v>
      </c>
      <c r="F2005" s="1">
        <v>3</v>
      </c>
      <c r="G2005" s="204">
        <v>42629</v>
      </c>
      <c r="H2005" s="204"/>
      <c r="I2005" s="204">
        <v>42629</v>
      </c>
      <c r="J2005" s="1" t="s">
        <v>76</v>
      </c>
      <c r="M2005" s="1">
        <f t="shared" si="242"/>
        <v>0</v>
      </c>
      <c r="N2005" s="66">
        <f t="shared" si="243"/>
        <v>42643</v>
      </c>
      <c r="O2005" s="1">
        <v>46244</v>
      </c>
      <c r="P2005" s="71">
        <f>(O2005- (O2005*10%))</f>
        <v>41619.599999999999</v>
      </c>
      <c r="Q2005" s="258">
        <v>42381</v>
      </c>
      <c r="R2005" s="258">
        <v>42752</v>
      </c>
      <c r="S2005" s="230">
        <f t="shared" ref="S2005:S2024" si="244">R2005-N2005</f>
        <v>109</v>
      </c>
    </row>
    <row r="2006" spans="1:24" s="1" customFormat="1" hidden="1" x14ac:dyDescent="0.25">
      <c r="A2006" s="1">
        <v>1791</v>
      </c>
      <c r="B2006" s="204">
        <v>42746</v>
      </c>
      <c r="C2006" s="1">
        <v>103</v>
      </c>
      <c r="E2006" s="1" t="s">
        <v>106</v>
      </c>
      <c r="F2006" s="1">
        <v>5</v>
      </c>
      <c r="G2006" s="204">
        <v>42677</v>
      </c>
      <c r="H2006" s="204"/>
      <c r="I2006" s="204">
        <v>42677</v>
      </c>
      <c r="J2006" s="1" t="s">
        <v>76</v>
      </c>
      <c r="M2006" s="1">
        <f t="shared" si="242"/>
        <v>0</v>
      </c>
      <c r="N2006" s="66">
        <f t="shared" si="243"/>
        <v>42691</v>
      </c>
      <c r="O2006" s="1">
        <v>15952</v>
      </c>
      <c r="P2006" s="71">
        <f>(O2006- (O2006*10%))</f>
        <v>14356.8</v>
      </c>
      <c r="Q2006" s="258">
        <v>42381</v>
      </c>
      <c r="R2006" s="258">
        <v>42752</v>
      </c>
      <c r="S2006" s="230">
        <f t="shared" si="244"/>
        <v>61</v>
      </c>
    </row>
    <row r="2007" spans="1:24" s="1" customFormat="1" hidden="1" x14ac:dyDescent="0.25">
      <c r="A2007" s="1">
        <v>1791</v>
      </c>
      <c r="B2007" s="204">
        <v>42732</v>
      </c>
      <c r="C2007" s="1">
        <v>114</v>
      </c>
      <c r="D2007" s="1">
        <v>3000036343</v>
      </c>
      <c r="E2007" s="1" t="s">
        <v>27</v>
      </c>
      <c r="F2007" s="1">
        <v>946</v>
      </c>
      <c r="G2007" s="204">
        <v>42716</v>
      </c>
      <c r="H2007" s="204"/>
      <c r="I2007" s="204">
        <v>42725</v>
      </c>
      <c r="J2007" s="1" t="s">
        <v>8</v>
      </c>
      <c r="K2007" s="1">
        <v>28.95</v>
      </c>
      <c r="L2007" s="1">
        <v>28.86</v>
      </c>
      <c r="M2007" s="1">
        <f t="shared" si="242"/>
        <v>28.86</v>
      </c>
      <c r="N2007" s="47">
        <f t="shared" si="243"/>
        <v>42739</v>
      </c>
      <c r="O2007" s="1">
        <v>1598040</v>
      </c>
      <c r="P2007" s="38">
        <f>(+O2007/K2007*M2007)</f>
        <v>1593072</v>
      </c>
      <c r="Q2007" s="258">
        <v>42381</v>
      </c>
      <c r="R2007" s="258">
        <v>42753</v>
      </c>
      <c r="S2007" s="230">
        <f t="shared" si="244"/>
        <v>14</v>
      </c>
    </row>
    <row r="2008" spans="1:24" s="1" customFormat="1" hidden="1" x14ac:dyDescent="0.25">
      <c r="A2008" s="1">
        <v>1791</v>
      </c>
      <c r="B2008" s="204">
        <v>42746</v>
      </c>
      <c r="C2008" s="1">
        <v>103</v>
      </c>
      <c r="E2008" s="1" t="s">
        <v>528</v>
      </c>
      <c r="F2008" s="1">
        <v>28</v>
      </c>
      <c r="G2008" s="204">
        <v>42731</v>
      </c>
      <c r="H2008" s="204"/>
      <c r="I2008" s="204">
        <v>42731</v>
      </c>
      <c r="J2008" s="1" t="s">
        <v>41</v>
      </c>
      <c r="M2008" s="1">
        <f t="shared" si="242"/>
        <v>0</v>
      </c>
      <c r="N2008" s="66">
        <f t="shared" si="243"/>
        <v>42745</v>
      </c>
      <c r="O2008" s="1">
        <v>21899</v>
      </c>
      <c r="P2008" s="38">
        <v>21899</v>
      </c>
      <c r="Q2008" s="258">
        <v>42381</v>
      </c>
      <c r="R2008" s="258">
        <v>42752</v>
      </c>
      <c r="S2008" s="230">
        <f t="shared" si="244"/>
        <v>7</v>
      </c>
      <c r="T2008" s="8" t="s">
        <v>550</v>
      </c>
      <c r="U2008" s="8"/>
      <c r="V2008" s="8"/>
      <c r="W2008" s="8"/>
    </row>
    <row r="2009" spans="1:24" s="65" customFormat="1" hidden="1" x14ac:dyDescent="0.25">
      <c r="A2009" s="65">
        <v>1661</v>
      </c>
      <c r="B2009" s="258">
        <v>42724</v>
      </c>
      <c r="C2009" s="18">
        <v>114</v>
      </c>
      <c r="D2009" s="18">
        <v>3000035803</v>
      </c>
      <c r="E2009" s="18" t="s">
        <v>49</v>
      </c>
      <c r="F2009" s="18">
        <v>41</v>
      </c>
      <c r="G2009" s="258">
        <v>42711</v>
      </c>
      <c r="H2009" s="261"/>
      <c r="I2009" s="261">
        <v>42717</v>
      </c>
      <c r="J2009" s="18" t="s">
        <v>16</v>
      </c>
      <c r="K2009" s="149">
        <v>29.22</v>
      </c>
      <c r="L2009" s="18">
        <v>29.04</v>
      </c>
      <c r="M2009" s="18">
        <f t="shared" ref="M2009:M2032" si="245">IF(L2009&gt;K2009,K2009,L2009)</f>
        <v>29.04</v>
      </c>
      <c r="N2009" s="66">
        <f t="shared" ref="N2009:N2018" si="246">+I2009+15-1</f>
        <v>42731</v>
      </c>
      <c r="O2009" s="146">
        <v>1630476</v>
      </c>
      <c r="P2009" s="38">
        <f t="shared" ref="P2009:P2018" si="247">(+O2009/K2009*M2009)</f>
        <v>1620432</v>
      </c>
      <c r="Q2009" s="258">
        <v>42751</v>
      </c>
      <c r="R2009" s="258">
        <v>42753</v>
      </c>
      <c r="S2009" s="230">
        <f t="shared" si="244"/>
        <v>22</v>
      </c>
    </row>
    <row r="2010" spans="1:24" s="1" customFormat="1" hidden="1" x14ac:dyDescent="0.25">
      <c r="A2010" s="1">
        <v>1791</v>
      </c>
      <c r="B2010" s="204">
        <v>42744</v>
      </c>
      <c r="C2010" s="1">
        <v>114</v>
      </c>
      <c r="D2010" s="1">
        <v>3000035904</v>
      </c>
      <c r="E2010" s="1" t="s">
        <v>15</v>
      </c>
      <c r="F2010" s="1">
        <v>3267</v>
      </c>
      <c r="G2010" s="204">
        <v>42728</v>
      </c>
      <c r="H2010" s="204"/>
      <c r="I2010" s="204">
        <v>42739</v>
      </c>
      <c r="J2010" s="1" t="s">
        <v>8</v>
      </c>
      <c r="K2010" s="1">
        <v>17.350000000000001</v>
      </c>
      <c r="L2010" s="1">
        <v>17.350000000000001</v>
      </c>
      <c r="M2010" s="1">
        <f t="shared" si="245"/>
        <v>17.350000000000001</v>
      </c>
      <c r="N2010" s="66">
        <f t="shared" si="246"/>
        <v>42753</v>
      </c>
      <c r="O2010" s="1">
        <v>971600</v>
      </c>
      <c r="P2010" s="36">
        <f>(+O2010/K2010*M2010)</f>
        <v>971600</v>
      </c>
      <c r="Q2010" s="258">
        <v>42751</v>
      </c>
      <c r="R2010" s="258">
        <v>42753</v>
      </c>
      <c r="S2010" s="230">
        <f t="shared" si="244"/>
        <v>0</v>
      </c>
    </row>
    <row r="2011" spans="1:24" s="1" customFormat="1" hidden="1" x14ac:dyDescent="0.25">
      <c r="A2011" s="1">
        <v>1791</v>
      </c>
      <c r="B2011" s="204">
        <v>42744</v>
      </c>
      <c r="C2011" s="1">
        <v>114</v>
      </c>
      <c r="D2011" s="1">
        <v>3000036296</v>
      </c>
      <c r="E2011" s="1" t="s">
        <v>15</v>
      </c>
      <c r="F2011" s="1">
        <v>3267</v>
      </c>
      <c r="G2011" s="204">
        <v>42728</v>
      </c>
      <c r="H2011" s="204"/>
      <c r="I2011" s="204">
        <v>42739</v>
      </c>
      <c r="J2011" s="1" t="s">
        <v>8</v>
      </c>
      <c r="K2011" s="1">
        <v>10</v>
      </c>
      <c r="L2011" s="1">
        <v>9.9</v>
      </c>
      <c r="M2011" s="1">
        <f t="shared" si="245"/>
        <v>9.9</v>
      </c>
      <c r="N2011" s="66">
        <f t="shared" si="246"/>
        <v>42753</v>
      </c>
      <c r="O2011" s="1">
        <v>555000</v>
      </c>
      <c r="P2011" s="36">
        <f t="shared" si="247"/>
        <v>549450</v>
      </c>
      <c r="Q2011" s="258">
        <v>42751</v>
      </c>
      <c r="R2011" s="258">
        <v>42753</v>
      </c>
      <c r="S2011" s="230">
        <f t="shared" si="244"/>
        <v>0</v>
      </c>
    </row>
    <row r="2012" spans="1:24" s="1" customFormat="1" hidden="1" x14ac:dyDescent="0.25">
      <c r="A2012" s="1">
        <v>1791</v>
      </c>
      <c r="B2012" s="204">
        <v>42744</v>
      </c>
      <c r="C2012" s="1">
        <v>114</v>
      </c>
      <c r="D2012" s="1">
        <v>3000035919</v>
      </c>
      <c r="E2012" s="1" t="s">
        <v>348</v>
      </c>
      <c r="F2012" s="16">
        <v>273</v>
      </c>
      <c r="G2012" s="204">
        <v>42730</v>
      </c>
      <c r="H2012" s="204"/>
      <c r="I2012" s="204">
        <v>42740</v>
      </c>
      <c r="J2012" s="1" t="s">
        <v>8</v>
      </c>
      <c r="K2012" s="1">
        <v>14.2</v>
      </c>
      <c r="L2012" s="1">
        <v>14.2</v>
      </c>
      <c r="M2012" s="1">
        <f t="shared" si="245"/>
        <v>14.2</v>
      </c>
      <c r="N2012" s="66">
        <f t="shared" si="246"/>
        <v>42754</v>
      </c>
      <c r="O2012" s="1">
        <v>786680</v>
      </c>
      <c r="P2012" s="38">
        <f t="shared" si="247"/>
        <v>786680</v>
      </c>
      <c r="Q2012" s="258">
        <v>42751</v>
      </c>
      <c r="R2012" s="258">
        <v>42753</v>
      </c>
      <c r="S2012" s="230">
        <f t="shared" si="244"/>
        <v>-1</v>
      </c>
    </row>
    <row r="2013" spans="1:24" s="1" customFormat="1" hidden="1" x14ac:dyDescent="0.25">
      <c r="A2013" s="1">
        <v>1791</v>
      </c>
      <c r="B2013" s="204">
        <v>42744</v>
      </c>
      <c r="C2013" s="1">
        <v>114</v>
      </c>
      <c r="D2013" s="1">
        <v>3000035907</v>
      </c>
      <c r="E2013" s="1" t="s">
        <v>348</v>
      </c>
      <c r="F2013" s="16">
        <v>274</v>
      </c>
      <c r="G2013" s="204">
        <v>42730</v>
      </c>
      <c r="H2013" s="204"/>
      <c r="I2013" s="204">
        <v>42740</v>
      </c>
      <c r="J2013" s="1" t="s">
        <v>8</v>
      </c>
      <c r="K2013" s="1">
        <v>15.25</v>
      </c>
      <c r="L2013" s="1">
        <v>15.22</v>
      </c>
      <c r="M2013" s="1">
        <f t="shared" si="245"/>
        <v>15.22</v>
      </c>
      <c r="N2013" s="66">
        <f t="shared" si="246"/>
        <v>42754</v>
      </c>
      <c r="O2013" s="1">
        <v>854000</v>
      </c>
      <c r="P2013" s="38">
        <f t="shared" si="247"/>
        <v>852320</v>
      </c>
      <c r="Q2013" s="258">
        <v>42751</v>
      </c>
      <c r="R2013" s="258">
        <v>42753</v>
      </c>
      <c r="S2013" s="230">
        <f t="shared" si="244"/>
        <v>-1</v>
      </c>
    </row>
    <row r="2014" spans="1:24" s="1" customFormat="1" hidden="1" x14ac:dyDescent="0.25">
      <c r="A2014" s="1">
        <v>1791</v>
      </c>
      <c r="B2014" s="204">
        <v>42747</v>
      </c>
      <c r="C2014" s="1">
        <v>114</v>
      </c>
      <c r="D2014" s="1">
        <v>3000035907</v>
      </c>
      <c r="E2014" s="1" t="s">
        <v>348</v>
      </c>
      <c r="F2014" s="16">
        <v>281</v>
      </c>
      <c r="G2014" s="204">
        <v>42733</v>
      </c>
      <c r="H2014" s="204"/>
      <c r="I2014" s="204">
        <v>42742</v>
      </c>
      <c r="J2014" s="1" t="s">
        <v>8</v>
      </c>
      <c r="K2014" s="1">
        <v>5.1550000000000002</v>
      </c>
      <c r="L2014" s="1">
        <v>5.1050000000000004</v>
      </c>
      <c r="M2014" s="1">
        <f t="shared" si="245"/>
        <v>5.1050000000000004</v>
      </c>
      <c r="N2014" s="66">
        <f t="shared" si="246"/>
        <v>42756</v>
      </c>
      <c r="O2014" s="1">
        <v>288680</v>
      </c>
      <c r="P2014" s="38">
        <f t="shared" si="247"/>
        <v>285880</v>
      </c>
      <c r="Q2014" s="258">
        <v>42751</v>
      </c>
      <c r="R2014" s="258">
        <v>42753</v>
      </c>
      <c r="S2014" s="230">
        <f t="shared" si="244"/>
        <v>-3</v>
      </c>
      <c r="T2014" s="38"/>
      <c r="U2014" s="38"/>
      <c r="V2014" s="38"/>
      <c r="W2014" s="38"/>
      <c r="X2014" s="38"/>
    </row>
    <row r="2015" spans="1:24" s="1" customFormat="1" hidden="1" x14ac:dyDescent="0.25">
      <c r="A2015" s="1">
        <v>1791</v>
      </c>
      <c r="B2015" s="204">
        <v>42747</v>
      </c>
      <c r="C2015" s="1">
        <v>114</v>
      </c>
      <c r="D2015" s="1">
        <v>3000035397</v>
      </c>
      <c r="E2015" s="1" t="s">
        <v>348</v>
      </c>
      <c r="F2015" s="16">
        <v>281</v>
      </c>
      <c r="G2015" s="204">
        <v>42733</v>
      </c>
      <c r="H2015" s="204"/>
      <c r="I2015" s="204">
        <v>42742</v>
      </c>
      <c r="J2015" s="1" t="s">
        <v>8</v>
      </c>
      <c r="K2015" s="1">
        <v>4.5949999999999998</v>
      </c>
      <c r="L2015" s="1">
        <v>4.5949999999999998</v>
      </c>
      <c r="M2015" s="1">
        <f t="shared" si="245"/>
        <v>4.5949999999999998</v>
      </c>
      <c r="N2015" s="66">
        <f t="shared" si="246"/>
        <v>42756</v>
      </c>
      <c r="O2015" s="1">
        <v>257320</v>
      </c>
      <c r="P2015" s="38">
        <f t="shared" si="247"/>
        <v>257320</v>
      </c>
      <c r="Q2015" s="258">
        <v>42751</v>
      </c>
      <c r="R2015" s="258">
        <v>42753</v>
      </c>
      <c r="S2015" s="230">
        <f t="shared" si="244"/>
        <v>-3</v>
      </c>
      <c r="T2015" s="38"/>
      <c r="U2015" s="38"/>
      <c r="V2015" s="38"/>
      <c r="W2015" s="38"/>
      <c r="X2015" s="38"/>
    </row>
    <row r="2016" spans="1:24" s="1" customFormat="1" hidden="1" x14ac:dyDescent="0.25">
      <c r="A2016" s="1">
        <v>1791</v>
      </c>
      <c r="B2016" s="204">
        <v>42747</v>
      </c>
      <c r="C2016" s="1">
        <v>114</v>
      </c>
      <c r="D2016" s="1">
        <v>3000036297</v>
      </c>
      <c r="E2016" s="1" t="s">
        <v>348</v>
      </c>
      <c r="F2016" s="16">
        <v>282</v>
      </c>
      <c r="G2016" s="204">
        <v>42733</v>
      </c>
      <c r="H2016" s="204"/>
      <c r="I2016" s="204">
        <v>42742</v>
      </c>
      <c r="J2016" s="1" t="s">
        <v>8</v>
      </c>
      <c r="K2016" s="1">
        <v>15.62</v>
      </c>
      <c r="L2016" s="1">
        <v>15.62</v>
      </c>
      <c r="M2016" s="1">
        <f t="shared" si="245"/>
        <v>15.62</v>
      </c>
      <c r="N2016" s="66">
        <f t="shared" si="246"/>
        <v>42756</v>
      </c>
      <c r="O2016" s="1">
        <v>866910</v>
      </c>
      <c r="P2016" s="38">
        <f t="shared" si="247"/>
        <v>866910</v>
      </c>
      <c r="Q2016" s="258">
        <v>42751</v>
      </c>
      <c r="R2016" s="258">
        <v>42753</v>
      </c>
      <c r="S2016" s="230">
        <f t="shared" si="244"/>
        <v>-3</v>
      </c>
    </row>
    <row r="2017" spans="1:31" s="1" customFormat="1" hidden="1" x14ac:dyDescent="0.25">
      <c r="A2017" s="1">
        <v>1791</v>
      </c>
      <c r="B2017" s="204">
        <v>42747</v>
      </c>
      <c r="C2017" s="1">
        <v>114</v>
      </c>
      <c r="D2017" s="1">
        <v>3000036565</v>
      </c>
      <c r="E2017" s="1" t="s">
        <v>18</v>
      </c>
      <c r="F2017" s="16">
        <v>159</v>
      </c>
      <c r="G2017" s="204">
        <v>115778</v>
      </c>
      <c r="H2017" s="204"/>
      <c r="I2017" s="204">
        <v>42740</v>
      </c>
      <c r="J2017" s="1" t="s">
        <v>8</v>
      </c>
      <c r="K2017" s="1">
        <v>19</v>
      </c>
      <c r="L2017" s="1">
        <v>19</v>
      </c>
      <c r="M2017" s="1">
        <f t="shared" si="245"/>
        <v>19</v>
      </c>
      <c r="N2017" s="66">
        <f t="shared" si="246"/>
        <v>42754</v>
      </c>
      <c r="O2017" s="1">
        <v>1064000</v>
      </c>
      <c r="P2017" s="36">
        <f t="shared" si="247"/>
        <v>1064000</v>
      </c>
      <c r="Q2017" s="258">
        <v>42751</v>
      </c>
      <c r="R2017" s="258">
        <v>42753</v>
      </c>
      <c r="S2017" s="230">
        <f t="shared" si="244"/>
        <v>-1</v>
      </c>
    </row>
    <row r="2018" spans="1:31" s="1" customFormat="1" hidden="1" x14ac:dyDescent="0.25">
      <c r="A2018" s="1">
        <v>1791</v>
      </c>
      <c r="B2018" s="204">
        <v>42747</v>
      </c>
      <c r="C2018" s="1">
        <v>114</v>
      </c>
      <c r="D2018" s="1">
        <v>3000037337</v>
      </c>
      <c r="E2018" s="1" t="s">
        <v>18</v>
      </c>
      <c r="F2018" s="16">
        <v>159</v>
      </c>
      <c r="G2018" s="204">
        <v>42730</v>
      </c>
      <c r="H2018" s="204"/>
      <c r="I2018" s="204">
        <v>42740</v>
      </c>
      <c r="J2018" s="1" t="s">
        <v>8</v>
      </c>
      <c r="K2018" s="1">
        <v>13</v>
      </c>
      <c r="L2018" s="1">
        <v>12.79</v>
      </c>
      <c r="M2018" s="1">
        <f t="shared" si="245"/>
        <v>12.79</v>
      </c>
      <c r="N2018" s="66">
        <f t="shared" si="246"/>
        <v>42754</v>
      </c>
      <c r="O2018" s="1">
        <v>767000</v>
      </c>
      <c r="P2018" s="36">
        <f t="shared" si="247"/>
        <v>754610</v>
      </c>
      <c r="Q2018" s="258">
        <v>42751</v>
      </c>
      <c r="R2018" s="258">
        <v>42753</v>
      </c>
      <c r="S2018" s="230">
        <f t="shared" si="244"/>
        <v>-1</v>
      </c>
      <c r="T2018" s="8" t="s">
        <v>551</v>
      </c>
      <c r="U2018" s="8"/>
      <c r="V2018" s="8"/>
      <c r="W2018" s="8"/>
    </row>
    <row r="2019" spans="1:31" s="1" customFormat="1" hidden="1" x14ac:dyDescent="0.25">
      <c r="A2019" s="1">
        <v>1791</v>
      </c>
      <c r="B2019" s="204">
        <v>42744</v>
      </c>
      <c r="C2019" s="1">
        <v>114</v>
      </c>
      <c r="D2019" s="1">
        <v>3000036296</v>
      </c>
      <c r="E2019" s="1" t="s">
        <v>15</v>
      </c>
      <c r="F2019" s="1">
        <v>3270</v>
      </c>
      <c r="G2019" s="204">
        <v>42730</v>
      </c>
      <c r="H2019" s="204"/>
      <c r="I2019" s="204">
        <v>42739</v>
      </c>
      <c r="J2019" s="1" t="s">
        <v>8</v>
      </c>
      <c r="K2019" s="1">
        <v>26.99</v>
      </c>
      <c r="L2019" s="1">
        <v>26.91</v>
      </c>
      <c r="M2019" s="1">
        <f t="shared" si="245"/>
        <v>26.91</v>
      </c>
      <c r="N2019" s="66">
        <f>+I2019+15-1</f>
        <v>42753</v>
      </c>
      <c r="O2019" s="1">
        <v>1497945</v>
      </c>
      <c r="P2019" s="36">
        <f>(+O2019/K2019*M2019)</f>
        <v>1493505</v>
      </c>
      <c r="Q2019" s="258">
        <v>42755</v>
      </c>
      <c r="R2019" s="258">
        <v>42759</v>
      </c>
      <c r="S2019" s="230">
        <f t="shared" si="244"/>
        <v>6</v>
      </c>
    </row>
    <row r="2020" spans="1:31" s="1" customFormat="1" hidden="1" x14ac:dyDescent="0.25">
      <c r="A2020" s="1">
        <v>1791</v>
      </c>
      <c r="B2020" s="204">
        <v>42747</v>
      </c>
      <c r="C2020" s="1">
        <v>114</v>
      </c>
      <c r="D2020" s="1">
        <v>3000036297</v>
      </c>
      <c r="E2020" s="1" t="s">
        <v>348</v>
      </c>
      <c r="F2020" s="21">
        <v>283</v>
      </c>
      <c r="G2020" s="204">
        <v>42733</v>
      </c>
      <c r="H2020" s="204"/>
      <c r="I2020" s="204">
        <v>42742</v>
      </c>
      <c r="J2020" s="1" t="s">
        <v>8</v>
      </c>
      <c r="K2020" s="1">
        <v>34.74</v>
      </c>
      <c r="L2020" s="1">
        <v>34.65</v>
      </c>
      <c r="M2020" s="1">
        <f t="shared" si="245"/>
        <v>34.65</v>
      </c>
      <c r="N2020" s="66">
        <f>+I2020+15-1</f>
        <v>42756</v>
      </c>
      <c r="O2020" s="1">
        <v>1928070</v>
      </c>
      <c r="P2020" s="36">
        <f>(+O2020/K2020*M2020)</f>
        <v>1923075</v>
      </c>
      <c r="Q2020" s="258">
        <v>42755</v>
      </c>
      <c r="R2020" s="258">
        <v>42759</v>
      </c>
      <c r="S2020" s="230">
        <f t="shared" si="244"/>
        <v>3</v>
      </c>
    </row>
    <row r="2021" spans="1:31" s="1" customFormat="1" hidden="1" x14ac:dyDescent="0.25">
      <c r="A2021" s="1">
        <v>1791</v>
      </c>
      <c r="B2021" s="204">
        <v>42754</v>
      </c>
      <c r="C2021" s="1">
        <v>114</v>
      </c>
      <c r="D2021" s="1">
        <v>3000036980</v>
      </c>
      <c r="E2021" s="1" t="s">
        <v>158</v>
      </c>
      <c r="F2021" s="20" t="s">
        <v>553</v>
      </c>
      <c r="G2021" s="204">
        <v>42753</v>
      </c>
      <c r="H2021" s="204"/>
      <c r="I2021" s="204">
        <v>42745</v>
      </c>
      <c r="J2021" s="1" t="s">
        <v>61</v>
      </c>
      <c r="M2021" s="1">
        <f t="shared" si="245"/>
        <v>0</v>
      </c>
      <c r="N2021" s="66">
        <f>+I2021+20-1</f>
        <v>42764</v>
      </c>
      <c r="O2021" s="1">
        <v>18691</v>
      </c>
      <c r="P2021" s="38"/>
      <c r="Q2021" s="258">
        <v>42755</v>
      </c>
      <c r="R2021" s="258">
        <v>42759</v>
      </c>
      <c r="S2021" s="230">
        <f t="shared" si="244"/>
        <v>-5</v>
      </c>
    </row>
    <row r="2022" spans="1:31" s="1" customFormat="1" hidden="1" x14ac:dyDescent="0.25">
      <c r="A2022" s="1">
        <v>1791</v>
      </c>
      <c r="B2022" s="204">
        <v>42754</v>
      </c>
      <c r="C2022" s="1">
        <v>114</v>
      </c>
      <c r="D2022" s="1">
        <v>3000036980</v>
      </c>
      <c r="E2022" s="1" t="s">
        <v>158</v>
      </c>
      <c r="F2022" s="16">
        <v>160</v>
      </c>
      <c r="G2022" s="204">
        <v>42721</v>
      </c>
      <c r="H2022" s="204"/>
      <c r="I2022" s="204">
        <v>42745</v>
      </c>
      <c r="J2022" s="1" t="s">
        <v>61</v>
      </c>
      <c r="K2022" s="1">
        <v>19.57</v>
      </c>
      <c r="L2022" s="1">
        <v>19.34</v>
      </c>
      <c r="M2022" s="1">
        <f t="shared" si="245"/>
        <v>19.34</v>
      </c>
      <c r="N2022" s="66">
        <f>+I2022+20-1</f>
        <v>42764</v>
      </c>
      <c r="O2022" s="1">
        <v>2074420</v>
      </c>
      <c r="P2022" s="36">
        <f>(+O2022/K2022*M2022)-18691</f>
        <v>2031349</v>
      </c>
      <c r="Q2022" s="258">
        <v>42755</v>
      </c>
      <c r="R2022" s="258">
        <v>42759</v>
      </c>
      <c r="S2022" s="230">
        <f t="shared" si="244"/>
        <v>-5</v>
      </c>
    </row>
    <row r="2023" spans="1:31" s="1" customFormat="1" x14ac:dyDescent="0.25">
      <c r="A2023" s="1">
        <v>1791</v>
      </c>
      <c r="B2023" s="204">
        <v>42754</v>
      </c>
      <c r="C2023" s="1">
        <v>114</v>
      </c>
      <c r="D2023" s="1">
        <v>3000036920</v>
      </c>
      <c r="E2023" s="88" t="s">
        <v>144</v>
      </c>
      <c r="F2023" s="20" t="s">
        <v>571</v>
      </c>
      <c r="G2023" s="204">
        <v>42755</v>
      </c>
      <c r="H2023" s="204"/>
      <c r="I2023" s="204">
        <v>42753</v>
      </c>
      <c r="J2023" s="1" t="s">
        <v>61</v>
      </c>
      <c r="M2023" s="1">
        <f t="shared" si="245"/>
        <v>0</v>
      </c>
      <c r="N2023" s="66">
        <f>+I2023+20-1</f>
        <v>42772</v>
      </c>
      <c r="O2023" s="1">
        <v>14333</v>
      </c>
      <c r="P2023" s="38"/>
      <c r="Q2023" s="258">
        <v>42755</v>
      </c>
      <c r="R2023" s="258">
        <v>42759</v>
      </c>
      <c r="S2023" s="230">
        <f t="shared" si="244"/>
        <v>-13</v>
      </c>
    </row>
    <row r="2024" spans="1:31" s="1" customFormat="1" x14ac:dyDescent="0.25">
      <c r="A2024" s="1">
        <v>1791</v>
      </c>
      <c r="B2024" s="204">
        <v>42754</v>
      </c>
      <c r="C2024" s="1">
        <v>114</v>
      </c>
      <c r="D2024" s="1">
        <v>3000036920</v>
      </c>
      <c r="E2024" s="88" t="s">
        <v>144</v>
      </c>
      <c r="F2024" s="16">
        <v>1589</v>
      </c>
      <c r="G2024" s="204">
        <v>42748</v>
      </c>
      <c r="H2024" s="204"/>
      <c r="I2024" s="204">
        <v>42753</v>
      </c>
      <c r="J2024" s="1" t="s">
        <v>61</v>
      </c>
      <c r="K2024" s="1">
        <v>19.2</v>
      </c>
      <c r="L2024" s="1">
        <v>19.11</v>
      </c>
      <c r="M2024" s="1">
        <f t="shared" si="245"/>
        <v>19.11</v>
      </c>
      <c r="N2024" s="66">
        <f>+I2024+20-1</f>
        <v>42772</v>
      </c>
      <c r="O2024" s="1">
        <v>1881631</v>
      </c>
      <c r="P2024" s="38">
        <f>(+O2024/K2024*M2024-14333)</f>
        <v>1858477.8546875</v>
      </c>
      <c r="Q2024" s="258">
        <v>42755</v>
      </c>
      <c r="R2024" s="258">
        <v>42759</v>
      </c>
      <c r="S2024" s="230">
        <f t="shared" si="244"/>
        <v>-13</v>
      </c>
      <c r="T2024" s="8" t="s">
        <v>584</v>
      </c>
      <c r="U2024" s="8"/>
      <c r="V2024" s="8"/>
      <c r="W2024" s="8"/>
    </row>
    <row r="2025" spans="1:31" s="291" customFormat="1" hidden="1" x14ac:dyDescent="0.25">
      <c r="A2025" s="291">
        <v>1791</v>
      </c>
      <c r="B2025" s="292">
        <v>42758</v>
      </c>
      <c r="C2025" s="291">
        <v>103</v>
      </c>
      <c r="D2025" s="291">
        <v>3000036957</v>
      </c>
      <c r="E2025" s="293" t="s">
        <v>26</v>
      </c>
      <c r="F2025" s="291">
        <v>299</v>
      </c>
      <c r="G2025" s="292">
        <v>42712</v>
      </c>
      <c r="H2025" s="292"/>
      <c r="I2025" s="292">
        <v>42712</v>
      </c>
      <c r="J2025" s="291" t="s">
        <v>156</v>
      </c>
      <c r="K2025" s="291">
        <v>28.17</v>
      </c>
      <c r="L2025" s="291">
        <v>28.17</v>
      </c>
      <c r="M2025" s="291">
        <f t="shared" si="245"/>
        <v>28.17</v>
      </c>
      <c r="N2025" s="294">
        <f t="shared" ref="N2025:N2032" si="248">+I2025+15-1</f>
        <v>42726</v>
      </c>
      <c r="O2025" s="291">
        <v>2444580</v>
      </c>
      <c r="P2025" s="295">
        <f t="shared" ref="P2025:P2032" si="249">(+O2025/K2025*M2025)</f>
        <v>2444580</v>
      </c>
      <c r="Q2025" s="258">
        <v>42755</v>
      </c>
      <c r="R2025" s="258">
        <v>42759</v>
      </c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</row>
    <row r="2026" spans="1:31" s="291" customFormat="1" hidden="1" x14ac:dyDescent="0.25">
      <c r="A2026" s="291">
        <v>1791</v>
      </c>
      <c r="B2026" s="292">
        <v>42758</v>
      </c>
      <c r="C2026" s="291">
        <v>103</v>
      </c>
      <c r="D2026" s="291">
        <v>3000036957</v>
      </c>
      <c r="E2026" s="291" t="s">
        <v>26</v>
      </c>
      <c r="F2026" s="291">
        <v>302</v>
      </c>
      <c r="G2026" s="292">
        <v>42713</v>
      </c>
      <c r="H2026" s="292"/>
      <c r="I2026" s="292">
        <v>42713</v>
      </c>
      <c r="J2026" s="291" t="s">
        <v>156</v>
      </c>
      <c r="K2026" s="291">
        <v>27.52</v>
      </c>
      <c r="L2026" s="291">
        <v>27.52</v>
      </c>
      <c r="M2026" s="291">
        <f t="shared" si="245"/>
        <v>27.52</v>
      </c>
      <c r="N2026" s="294">
        <f t="shared" si="248"/>
        <v>42727</v>
      </c>
      <c r="O2026" s="291">
        <v>2388173</v>
      </c>
      <c r="P2026" s="295">
        <f t="shared" si="249"/>
        <v>2388173</v>
      </c>
      <c r="Q2026" s="258">
        <v>42755</v>
      </c>
      <c r="R2026" s="258">
        <v>42759</v>
      </c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</row>
    <row r="2027" spans="1:31" s="291" customFormat="1" hidden="1" x14ac:dyDescent="0.25">
      <c r="A2027" s="291">
        <v>1791</v>
      </c>
      <c r="B2027" s="292">
        <v>42758</v>
      </c>
      <c r="C2027" s="291">
        <v>103</v>
      </c>
      <c r="D2027" s="291">
        <v>3000039657</v>
      </c>
      <c r="E2027" s="291" t="s">
        <v>26</v>
      </c>
      <c r="F2027" s="291">
        <v>301</v>
      </c>
      <c r="G2027" s="292">
        <v>42712</v>
      </c>
      <c r="H2027" s="292"/>
      <c r="I2027" s="292">
        <v>42712</v>
      </c>
      <c r="J2027" s="291" t="s">
        <v>156</v>
      </c>
      <c r="K2027" s="291">
        <v>27.2</v>
      </c>
      <c r="L2027" s="291">
        <v>27.2</v>
      </c>
      <c r="M2027" s="291">
        <f t="shared" si="245"/>
        <v>27.2</v>
      </c>
      <c r="N2027" s="294">
        <f t="shared" si="248"/>
        <v>42726</v>
      </c>
      <c r="O2027" s="291">
        <v>2360404</v>
      </c>
      <c r="P2027" s="295">
        <f t="shared" si="249"/>
        <v>2360404</v>
      </c>
      <c r="Q2027" s="258">
        <v>42755</v>
      </c>
      <c r="R2027" s="258">
        <v>42759</v>
      </c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</row>
    <row r="2028" spans="1:31" s="291" customFormat="1" hidden="1" x14ac:dyDescent="0.25">
      <c r="A2028" s="291">
        <v>1791</v>
      </c>
      <c r="B2028" s="292">
        <v>42758</v>
      </c>
      <c r="C2028" s="291">
        <v>103</v>
      </c>
      <c r="D2028" s="291">
        <v>3000036957</v>
      </c>
      <c r="E2028" s="291" t="s">
        <v>26</v>
      </c>
      <c r="F2028" s="291">
        <v>304</v>
      </c>
      <c r="G2028" s="292">
        <v>42713</v>
      </c>
      <c r="H2028" s="292"/>
      <c r="I2028" s="292">
        <v>42713</v>
      </c>
      <c r="J2028" s="291" t="s">
        <v>156</v>
      </c>
      <c r="K2028" s="291">
        <v>27.87</v>
      </c>
      <c r="L2028" s="291">
        <v>27.87</v>
      </c>
      <c r="M2028" s="291">
        <f t="shared" si="245"/>
        <v>27.87</v>
      </c>
      <c r="N2028" s="294">
        <f t="shared" si="248"/>
        <v>42727</v>
      </c>
      <c r="O2028" s="291">
        <v>2418546</v>
      </c>
      <c r="P2028" s="295">
        <f t="shared" si="249"/>
        <v>2418546</v>
      </c>
      <c r="Q2028" s="258">
        <v>42755</v>
      </c>
      <c r="R2028" s="258">
        <v>42759</v>
      </c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</row>
    <row r="2029" spans="1:31" s="291" customFormat="1" hidden="1" x14ac:dyDescent="0.25">
      <c r="A2029" s="291">
        <v>1791</v>
      </c>
      <c r="B2029" s="292">
        <v>42758</v>
      </c>
      <c r="C2029" s="291">
        <v>103</v>
      </c>
      <c r="D2029" s="291">
        <v>3000036957</v>
      </c>
      <c r="E2029" s="291" t="s">
        <v>26</v>
      </c>
      <c r="F2029" s="291">
        <v>305</v>
      </c>
      <c r="G2029" s="292">
        <v>42714</v>
      </c>
      <c r="H2029" s="292"/>
      <c r="I2029" s="292">
        <v>42714</v>
      </c>
      <c r="J2029" s="291" t="s">
        <v>156</v>
      </c>
      <c r="K2029" s="291">
        <v>26.98</v>
      </c>
      <c r="L2029" s="291">
        <v>26.98</v>
      </c>
      <c r="M2029" s="291">
        <f t="shared" si="245"/>
        <v>26.98</v>
      </c>
      <c r="N2029" s="294">
        <f t="shared" si="248"/>
        <v>42728</v>
      </c>
      <c r="O2029" s="291">
        <v>2341313</v>
      </c>
      <c r="P2029" s="295">
        <f t="shared" si="249"/>
        <v>2341313</v>
      </c>
      <c r="Q2029" s="258">
        <v>42755</v>
      </c>
      <c r="R2029" s="258">
        <v>42759</v>
      </c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</row>
    <row r="2030" spans="1:31" s="291" customFormat="1" hidden="1" x14ac:dyDescent="0.25">
      <c r="A2030" s="291">
        <v>1791</v>
      </c>
      <c r="B2030" s="292">
        <v>42758</v>
      </c>
      <c r="C2030" s="291">
        <v>103</v>
      </c>
      <c r="D2030" s="291">
        <v>3000036957</v>
      </c>
      <c r="E2030" s="291" t="s">
        <v>26</v>
      </c>
      <c r="F2030" s="291">
        <v>306</v>
      </c>
      <c r="G2030" s="292">
        <v>42714</v>
      </c>
      <c r="H2030" s="292"/>
      <c r="I2030" s="292">
        <v>42714</v>
      </c>
      <c r="J2030" s="291" t="s">
        <v>156</v>
      </c>
      <c r="K2030" s="291">
        <v>27.31</v>
      </c>
      <c r="L2030" s="291">
        <v>27.31</v>
      </c>
      <c r="M2030" s="291">
        <f t="shared" si="245"/>
        <v>27.31</v>
      </c>
      <c r="N2030" s="294">
        <f t="shared" si="248"/>
        <v>42728</v>
      </c>
      <c r="O2030" s="291">
        <v>2369950</v>
      </c>
      <c r="P2030" s="295">
        <f t="shared" si="249"/>
        <v>2369950</v>
      </c>
      <c r="Q2030" s="258">
        <v>42755</v>
      </c>
      <c r="R2030" s="258">
        <v>42759</v>
      </c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</row>
    <row r="2031" spans="1:31" s="291" customFormat="1" hidden="1" x14ac:dyDescent="0.25">
      <c r="A2031" s="291">
        <v>1791</v>
      </c>
      <c r="B2031" s="292">
        <v>42758</v>
      </c>
      <c r="C2031" s="291">
        <v>103</v>
      </c>
      <c r="D2031" s="291">
        <v>3000036957</v>
      </c>
      <c r="E2031" s="291" t="s">
        <v>26</v>
      </c>
      <c r="F2031" s="291">
        <v>307</v>
      </c>
      <c r="G2031" s="292">
        <v>42714</v>
      </c>
      <c r="H2031" s="292"/>
      <c r="I2031" s="292">
        <v>42714</v>
      </c>
      <c r="J2031" s="291" t="s">
        <v>156</v>
      </c>
      <c r="K2031" s="291">
        <v>28.08</v>
      </c>
      <c r="L2031" s="291">
        <v>28.082000000000001</v>
      </c>
      <c r="M2031" s="291">
        <f t="shared" si="245"/>
        <v>28.08</v>
      </c>
      <c r="N2031" s="294">
        <f t="shared" si="248"/>
        <v>42728</v>
      </c>
      <c r="O2031" s="291">
        <v>2436770</v>
      </c>
      <c r="P2031" s="295">
        <f t="shared" si="249"/>
        <v>2436770</v>
      </c>
      <c r="Q2031" s="258">
        <v>42755</v>
      </c>
      <c r="R2031" s="258">
        <v>42759</v>
      </c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</row>
    <row r="2032" spans="1:31" s="291" customFormat="1" hidden="1" x14ac:dyDescent="0.25">
      <c r="A2032" s="291">
        <v>1791</v>
      </c>
      <c r="B2032" s="292">
        <v>42758</v>
      </c>
      <c r="C2032" s="291">
        <v>103</v>
      </c>
      <c r="D2032" s="291">
        <v>3000036957</v>
      </c>
      <c r="E2032" s="291" t="s">
        <v>26</v>
      </c>
      <c r="F2032" s="291">
        <v>313</v>
      </c>
      <c r="G2032" s="292">
        <v>42716</v>
      </c>
      <c r="H2032" s="292"/>
      <c r="I2032" s="292">
        <v>42716</v>
      </c>
      <c r="J2032" s="291" t="s">
        <v>156</v>
      </c>
      <c r="K2032" s="291">
        <v>33.53</v>
      </c>
      <c r="L2032" s="291">
        <v>33.53</v>
      </c>
      <c r="M2032" s="291">
        <f t="shared" si="245"/>
        <v>33.53</v>
      </c>
      <c r="N2032" s="294">
        <f t="shared" si="248"/>
        <v>42730</v>
      </c>
      <c r="O2032" s="291">
        <v>2909719</v>
      </c>
      <c r="P2032" s="295">
        <f t="shared" si="249"/>
        <v>2909719</v>
      </c>
      <c r="Q2032" s="258">
        <v>42755</v>
      </c>
      <c r="R2032" s="258">
        <v>42759</v>
      </c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</row>
    <row r="2033" spans="1:23" s="1" customFormat="1" hidden="1" x14ac:dyDescent="0.25">
      <c r="A2033" s="1">
        <v>1791</v>
      </c>
      <c r="B2033" s="204">
        <v>42747</v>
      </c>
      <c r="C2033" s="1">
        <v>114</v>
      </c>
      <c r="D2033" s="1">
        <v>3000036297</v>
      </c>
      <c r="E2033" s="1" t="s">
        <v>348</v>
      </c>
      <c r="F2033" s="296">
        <v>284</v>
      </c>
      <c r="G2033" s="204">
        <v>42733</v>
      </c>
      <c r="H2033" s="204"/>
      <c r="I2033" s="204">
        <v>42744</v>
      </c>
      <c r="J2033" s="1" t="s">
        <v>8</v>
      </c>
      <c r="K2033" s="1">
        <v>9.64</v>
      </c>
      <c r="L2033" s="1">
        <v>9.58</v>
      </c>
      <c r="M2033" s="1">
        <f t="shared" ref="M2033:M2044" si="250">IF(L2033&gt;K2033,K2033,L2033)</f>
        <v>9.58</v>
      </c>
      <c r="N2033" s="66">
        <f t="shared" ref="N2033:N2042" si="251">+I2033+15-1</f>
        <v>42758</v>
      </c>
      <c r="O2033" s="1">
        <v>535020</v>
      </c>
      <c r="P2033" s="38">
        <f t="shared" ref="P2033:P2042" si="252">(+O2033/K2033*M2033)</f>
        <v>531690</v>
      </c>
      <c r="Q2033" s="258">
        <v>42758</v>
      </c>
      <c r="R2033" s="258">
        <v>42759</v>
      </c>
      <c r="S2033" s="230">
        <f t="shared" ref="S2033:S2043" si="253">R2033-N2033</f>
        <v>1</v>
      </c>
    </row>
    <row r="2034" spans="1:23" s="1" customFormat="1" hidden="1" x14ac:dyDescent="0.25">
      <c r="A2034" s="1">
        <v>1791</v>
      </c>
      <c r="B2034" s="204">
        <v>42747</v>
      </c>
      <c r="C2034" s="1">
        <v>114</v>
      </c>
      <c r="D2034" s="1">
        <v>3000036344</v>
      </c>
      <c r="E2034" s="1" t="s">
        <v>348</v>
      </c>
      <c r="F2034" s="296">
        <v>285</v>
      </c>
      <c r="G2034" s="204">
        <v>42733</v>
      </c>
      <c r="H2034" s="204"/>
      <c r="I2034" s="204">
        <v>42744</v>
      </c>
      <c r="J2034" s="1" t="s">
        <v>8</v>
      </c>
      <c r="K2034" s="1">
        <v>13.09</v>
      </c>
      <c r="L2034" s="1">
        <v>13.09</v>
      </c>
      <c r="M2034" s="1">
        <f t="shared" si="250"/>
        <v>13.09</v>
      </c>
      <c r="N2034" s="66">
        <f t="shared" si="251"/>
        <v>42758</v>
      </c>
      <c r="O2034" s="1">
        <v>722568</v>
      </c>
      <c r="P2034" s="38">
        <f t="shared" si="252"/>
        <v>722568</v>
      </c>
      <c r="Q2034" s="258">
        <v>42758</v>
      </c>
      <c r="R2034" s="258">
        <v>42759</v>
      </c>
      <c r="S2034" s="230">
        <f t="shared" si="253"/>
        <v>1</v>
      </c>
    </row>
    <row r="2035" spans="1:23" s="1" customFormat="1" hidden="1" x14ac:dyDescent="0.25">
      <c r="A2035" s="1">
        <v>1791</v>
      </c>
      <c r="B2035" s="204">
        <v>42747</v>
      </c>
      <c r="C2035" s="1">
        <v>114</v>
      </c>
      <c r="D2035" s="1">
        <v>3000036344</v>
      </c>
      <c r="E2035" s="1" t="s">
        <v>348</v>
      </c>
      <c r="F2035" s="21">
        <v>286</v>
      </c>
      <c r="G2035" s="204">
        <v>42733</v>
      </c>
      <c r="H2035" s="204"/>
      <c r="I2035" s="204">
        <v>42744</v>
      </c>
      <c r="J2035" s="1" t="s">
        <v>8</v>
      </c>
      <c r="K2035" s="1">
        <v>22.89</v>
      </c>
      <c r="L2035" s="1">
        <v>22.86</v>
      </c>
      <c r="M2035" s="1">
        <f t="shared" si="250"/>
        <v>22.86</v>
      </c>
      <c r="N2035" s="66">
        <f t="shared" si="251"/>
        <v>42758</v>
      </c>
      <c r="O2035" s="1">
        <v>1263528</v>
      </c>
      <c r="P2035" s="38">
        <f t="shared" si="252"/>
        <v>1261872</v>
      </c>
      <c r="Q2035" s="258">
        <v>42758</v>
      </c>
      <c r="R2035" s="258">
        <v>42759</v>
      </c>
      <c r="S2035" s="230">
        <f t="shared" si="253"/>
        <v>1</v>
      </c>
    </row>
    <row r="2036" spans="1:23" s="1" customFormat="1" hidden="1" x14ac:dyDescent="0.25">
      <c r="A2036" s="1">
        <v>1791</v>
      </c>
      <c r="B2036" s="204">
        <v>42747</v>
      </c>
      <c r="C2036" s="1">
        <v>114</v>
      </c>
      <c r="D2036" s="1">
        <v>3000036344</v>
      </c>
      <c r="E2036" s="1" t="s">
        <v>348</v>
      </c>
      <c r="F2036" s="296">
        <v>289</v>
      </c>
      <c r="G2036" s="204">
        <v>42734</v>
      </c>
      <c r="H2036" s="204"/>
      <c r="I2036" s="204">
        <v>42743</v>
      </c>
      <c r="J2036" s="1" t="s">
        <v>8</v>
      </c>
      <c r="K2036" s="1">
        <v>22.52</v>
      </c>
      <c r="L2036" s="1">
        <v>22.52</v>
      </c>
      <c r="M2036" s="1">
        <f t="shared" si="250"/>
        <v>22.52</v>
      </c>
      <c r="N2036" s="66">
        <f t="shared" si="251"/>
        <v>42757</v>
      </c>
      <c r="O2036" s="1">
        <v>1243104</v>
      </c>
      <c r="P2036" s="38">
        <f t="shared" si="252"/>
        <v>1243104</v>
      </c>
      <c r="Q2036" s="258">
        <v>42758</v>
      </c>
      <c r="R2036" s="258">
        <v>42759</v>
      </c>
      <c r="S2036" s="230">
        <f t="shared" si="253"/>
        <v>2</v>
      </c>
    </row>
    <row r="2037" spans="1:23" s="1" customFormat="1" hidden="1" x14ac:dyDescent="0.25">
      <c r="A2037" s="1">
        <v>1791</v>
      </c>
      <c r="B2037" s="204">
        <v>42747</v>
      </c>
      <c r="C2037" s="1">
        <v>114</v>
      </c>
      <c r="D2037" s="1">
        <v>3000036564</v>
      </c>
      <c r="E2037" s="1" t="s">
        <v>348</v>
      </c>
      <c r="F2037" s="296">
        <v>290</v>
      </c>
      <c r="G2037" s="204">
        <v>42734</v>
      </c>
      <c r="H2037" s="204"/>
      <c r="I2037" s="204">
        <v>42743</v>
      </c>
      <c r="J2037" s="1" t="s">
        <v>8</v>
      </c>
      <c r="K2037" s="1">
        <v>4.55</v>
      </c>
      <c r="L2037" s="1">
        <v>4.4400000000000004</v>
      </c>
      <c r="M2037" s="1">
        <f t="shared" si="250"/>
        <v>4.4400000000000004</v>
      </c>
      <c r="N2037" s="66">
        <f t="shared" si="251"/>
        <v>42757</v>
      </c>
      <c r="O2037" s="1">
        <v>254800</v>
      </c>
      <c r="P2037" s="38">
        <f t="shared" si="252"/>
        <v>248640.00000000003</v>
      </c>
      <c r="Q2037" s="258">
        <v>42758</v>
      </c>
      <c r="R2037" s="258">
        <v>42759</v>
      </c>
      <c r="S2037" s="230">
        <f t="shared" si="253"/>
        <v>2</v>
      </c>
    </row>
    <row r="2038" spans="1:23" s="1" customFormat="1" hidden="1" x14ac:dyDescent="0.25">
      <c r="A2038" s="1">
        <v>1791</v>
      </c>
      <c r="B2038" s="204">
        <v>42753</v>
      </c>
      <c r="C2038" s="1">
        <v>114</v>
      </c>
      <c r="D2038" s="1">
        <v>3000035100</v>
      </c>
      <c r="E2038" s="1" t="s">
        <v>348</v>
      </c>
      <c r="F2038" s="1">
        <v>103</v>
      </c>
      <c r="G2038" s="204">
        <v>42738</v>
      </c>
      <c r="H2038" s="204"/>
      <c r="I2038" s="204">
        <v>42745</v>
      </c>
      <c r="J2038" s="1" t="s">
        <v>16</v>
      </c>
      <c r="K2038" s="1">
        <v>20.39</v>
      </c>
      <c r="L2038" s="1">
        <v>20.350000000000001</v>
      </c>
      <c r="M2038" s="1">
        <f t="shared" si="250"/>
        <v>20.350000000000001</v>
      </c>
      <c r="N2038" s="66">
        <f t="shared" si="251"/>
        <v>42759</v>
      </c>
      <c r="O2038" s="1">
        <v>1166308</v>
      </c>
      <c r="P2038" s="38">
        <f t="shared" si="252"/>
        <v>1164020</v>
      </c>
      <c r="Q2038" s="258">
        <v>42758</v>
      </c>
      <c r="R2038" s="258">
        <v>42759</v>
      </c>
      <c r="S2038" s="230">
        <f t="shared" si="253"/>
        <v>0</v>
      </c>
    </row>
    <row r="2039" spans="1:23" s="1" customFormat="1" hidden="1" x14ac:dyDescent="0.25">
      <c r="A2039" s="1">
        <v>1791</v>
      </c>
      <c r="B2039" s="204">
        <v>42753</v>
      </c>
      <c r="C2039" s="1">
        <v>114</v>
      </c>
      <c r="D2039" s="1">
        <v>3000035054</v>
      </c>
      <c r="E2039" s="1" t="s">
        <v>27</v>
      </c>
      <c r="F2039" s="1">
        <v>266</v>
      </c>
      <c r="G2039" s="204">
        <v>42743</v>
      </c>
      <c r="H2039" s="204"/>
      <c r="I2039" s="204">
        <v>42745</v>
      </c>
      <c r="J2039" s="1" t="s">
        <v>16</v>
      </c>
      <c r="K2039" s="1">
        <v>23.65</v>
      </c>
      <c r="L2039" s="1">
        <v>23.58</v>
      </c>
      <c r="M2039" s="1">
        <f t="shared" si="250"/>
        <v>23.58</v>
      </c>
      <c r="N2039" s="66">
        <f t="shared" si="251"/>
        <v>42759</v>
      </c>
      <c r="O2039" s="1">
        <v>1312575</v>
      </c>
      <c r="P2039" s="38">
        <f t="shared" si="252"/>
        <v>1308690</v>
      </c>
      <c r="Q2039" s="258">
        <v>42758</v>
      </c>
      <c r="R2039" s="258">
        <v>42759</v>
      </c>
      <c r="S2039" s="230">
        <f t="shared" si="253"/>
        <v>0</v>
      </c>
    </row>
    <row r="2040" spans="1:23" s="1" customFormat="1" hidden="1" x14ac:dyDescent="0.25">
      <c r="A2040" s="1">
        <v>1791</v>
      </c>
      <c r="B2040" s="204">
        <v>42753</v>
      </c>
      <c r="C2040" s="1">
        <v>114</v>
      </c>
      <c r="D2040" s="1">
        <v>3000036341</v>
      </c>
      <c r="E2040" s="1" t="s">
        <v>15</v>
      </c>
      <c r="F2040" s="1">
        <v>3282</v>
      </c>
      <c r="G2040" s="204">
        <v>42738</v>
      </c>
      <c r="H2040" s="204"/>
      <c r="I2040" s="204">
        <v>42747</v>
      </c>
      <c r="J2040" s="1" t="s">
        <v>8</v>
      </c>
      <c r="K2040" s="1">
        <v>29.914999999999999</v>
      </c>
      <c r="L2040" s="1">
        <v>29.76</v>
      </c>
      <c r="M2040" s="1">
        <f t="shared" si="250"/>
        <v>29.76</v>
      </c>
      <c r="N2040" s="66">
        <f t="shared" si="251"/>
        <v>42761</v>
      </c>
      <c r="O2040" s="1">
        <v>1651308</v>
      </c>
      <c r="P2040" s="38">
        <f t="shared" si="252"/>
        <v>1642752</v>
      </c>
      <c r="Q2040" s="258">
        <v>42758</v>
      </c>
      <c r="R2040" s="258">
        <v>42759</v>
      </c>
      <c r="S2040" s="230">
        <f t="shared" si="253"/>
        <v>-2</v>
      </c>
    </row>
    <row r="2041" spans="1:23" s="1" customFormat="1" hidden="1" x14ac:dyDescent="0.25">
      <c r="A2041" s="1">
        <v>1791</v>
      </c>
      <c r="B2041" s="204">
        <v>42753</v>
      </c>
      <c r="C2041" s="1">
        <v>114</v>
      </c>
      <c r="D2041" s="1">
        <v>3000037337</v>
      </c>
      <c r="E2041" s="1" t="s">
        <v>18</v>
      </c>
      <c r="F2041" s="1">
        <v>165</v>
      </c>
      <c r="G2041" s="204">
        <v>42739</v>
      </c>
      <c r="H2041" s="204"/>
      <c r="I2041" s="204">
        <v>42747</v>
      </c>
      <c r="J2041" s="1" t="s">
        <v>8</v>
      </c>
      <c r="K2041" s="1">
        <v>19.940000000000001</v>
      </c>
      <c r="L2041" s="1">
        <v>19.899999999999999</v>
      </c>
      <c r="M2041" s="1">
        <f t="shared" si="250"/>
        <v>19.899999999999999</v>
      </c>
      <c r="N2041" s="66">
        <f t="shared" si="251"/>
        <v>42761</v>
      </c>
      <c r="O2041" s="1">
        <v>1176460</v>
      </c>
      <c r="P2041" s="38">
        <f t="shared" si="252"/>
        <v>1174099.9999999998</v>
      </c>
      <c r="Q2041" s="258">
        <v>42758</v>
      </c>
      <c r="R2041" s="258">
        <v>42759</v>
      </c>
      <c r="S2041" s="230">
        <f t="shared" si="253"/>
        <v>-2</v>
      </c>
    </row>
    <row r="2042" spans="1:23" s="1" customFormat="1" hidden="1" x14ac:dyDescent="0.25">
      <c r="A2042" s="1">
        <v>1791</v>
      </c>
      <c r="B2042" s="204">
        <v>42755</v>
      </c>
      <c r="C2042" s="1">
        <v>114</v>
      </c>
      <c r="D2042" s="1">
        <v>3000037603</v>
      </c>
      <c r="E2042" s="1" t="s">
        <v>55</v>
      </c>
      <c r="F2042" s="1">
        <v>31</v>
      </c>
      <c r="G2042" s="204">
        <v>42738</v>
      </c>
      <c r="H2042" s="204"/>
      <c r="I2042" s="204">
        <v>42749</v>
      </c>
      <c r="J2042" s="1" t="s">
        <v>16</v>
      </c>
      <c r="K2042" s="1">
        <v>24.45</v>
      </c>
      <c r="L2042" s="1">
        <v>24.45</v>
      </c>
      <c r="M2042" s="1">
        <f t="shared" si="250"/>
        <v>24.45</v>
      </c>
      <c r="N2042" s="66">
        <f t="shared" si="251"/>
        <v>42763</v>
      </c>
      <c r="O2042" s="1">
        <v>1369200</v>
      </c>
      <c r="P2042" s="38">
        <f t="shared" si="252"/>
        <v>1369200</v>
      </c>
      <c r="Q2042" s="258">
        <v>42758</v>
      </c>
      <c r="R2042" s="258">
        <v>42759</v>
      </c>
      <c r="S2042" s="230">
        <f t="shared" si="253"/>
        <v>-4</v>
      </c>
    </row>
    <row r="2043" spans="1:23" s="1" customFormat="1" hidden="1" x14ac:dyDescent="0.25">
      <c r="A2043" s="1">
        <v>1791</v>
      </c>
      <c r="B2043" s="204">
        <v>42754</v>
      </c>
      <c r="C2043" s="1">
        <v>114</v>
      </c>
      <c r="D2043" s="1">
        <v>3000037136</v>
      </c>
      <c r="E2043" s="1" t="s">
        <v>158</v>
      </c>
      <c r="F2043" s="20" t="s">
        <v>552</v>
      </c>
      <c r="G2043" s="204">
        <v>42753</v>
      </c>
      <c r="H2043" s="204"/>
      <c r="I2043" s="204">
        <v>42746</v>
      </c>
      <c r="J2043" s="1" t="s">
        <v>61</v>
      </c>
      <c r="M2043" s="1">
        <f t="shared" si="250"/>
        <v>0</v>
      </c>
      <c r="N2043" s="66">
        <f>+I2043+20-1</f>
        <v>42765</v>
      </c>
      <c r="O2043" s="1">
        <v>6646</v>
      </c>
      <c r="P2043" s="38"/>
      <c r="Q2043" s="258">
        <v>42758</v>
      </c>
      <c r="R2043" s="258">
        <v>42759</v>
      </c>
      <c r="S2043" s="230">
        <f t="shared" si="253"/>
        <v>-6</v>
      </c>
    </row>
    <row r="2044" spans="1:23" s="1" customFormat="1" hidden="1" x14ac:dyDescent="0.25">
      <c r="A2044" s="1">
        <v>1791</v>
      </c>
      <c r="B2044" s="204">
        <v>42754</v>
      </c>
      <c r="C2044" s="1">
        <v>114</v>
      </c>
      <c r="D2044" s="1">
        <v>3000037136</v>
      </c>
      <c r="E2044" s="1" t="s">
        <v>158</v>
      </c>
      <c r="F2044" s="16">
        <v>169</v>
      </c>
      <c r="G2044" s="204">
        <v>42729</v>
      </c>
      <c r="H2044" s="204"/>
      <c r="I2044" s="204">
        <v>42746</v>
      </c>
      <c r="J2044" s="1" t="s">
        <v>61</v>
      </c>
      <c r="K2044" s="1">
        <v>19.899999999999999</v>
      </c>
      <c r="L2044" s="1">
        <v>19.899999999999999</v>
      </c>
      <c r="M2044" s="1">
        <f t="shared" si="250"/>
        <v>19.899999999999999</v>
      </c>
      <c r="N2044" s="66">
        <f>+I2044+20-1</f>
        <v>42765</v>
      </c>
      <c r="O2044" s="1">
        <v>2189000</v>
      </c>
      <c r="P2044" s="38">
        <f>(+O2044/K2044*M2044)-6646</f>
        <v>2182354</v>
      </c>
      <c r="Q2044" s="258">
        <v>42758</v>
      </c>
      <c r="R2044" s="258">
        <v>42759</v>
      </c>
      <c r="S2044" s="230">
        <f>R2044-N2044</f>
        <v>-6</v>
      </c>
      <c r="T2044" s="8" t="s">
        <v>585</v>
      </c>
      <c r="U2044" s="8"/>
      <c r="V2044" s="8"/>
      <c r="W2044" s="8"/>
    </row>
    <row r="2045" spans="1:23" s="1" customFormat="1" hidden="1" x14ac:dyDescent="0.25">
      <c r="A2045" s="1">
        <v>1791</v>
      </c>
      <c r="B2045" s="204">
        <v>42739</v>
      </c>
      <c r="C2045" s="1">
        <v>114</v>
      </c>
      <c r="D2045" s="1">
        <v>3000035153</v>
      </c>
      <c r="E2045" s="1" t="s">
        <v>49</v>
      </c>
      <c r="F2045" s="16">
        <v>42</v>
      </c>
      <c r="G2045" s="204">
        <v>42721</v>
      </c>
      <c r="H2045" s="204"/>
      <c r="I2045" s="204">
        <v>42730</v>
      </c>
      <c r="J2045" s="1" t="s">
        <v>8</v>
      </c>
      <c r="K2045" s="1">
        <v>11.83</v>
      </c>
      <c r="L2045" s="1">
        <v>11.54</v>
      </c>
      <c r="M2045" s="1">
        <f t="shared" ref="M2045:M2054" si="254">IF(L2045&gt;K2045,K2045,L2045)</f>
        <v>11.54</v>
      </c>
      <c r="N2045" s="47">
        <f t="shared" ref="N2045:N2051" si="255">+I2045+15-1</f>
        <v>42744</v>
      </c>
      <c r="O2045" s="1">
        <v>674310</v>
      </c>
      <c r="P2045" s="38">
        <f t="shared" ref="P2045:P2054" si="256">(+O2045/K2045*M2045)</f>
        <v>657780</v>
      </c>
      <c r="Q2045" s="258">
        <v>42767</v>
      </c>
      <c r="R2045" s="258">
        <v>42767</v>
      </c>
      <c r="S2045" s="230">
        <f t="shared" ref="S2045:S2056" si="257">R2045-N2045</f>
        <v>23</v>
      </c>
    </row>
    <row r="2046" spans="1:23" s="1" customFormat="1" hidden="1" x14ac:dyDescent="0.25">
      <c r="A2046" s="1">
        <v>1791</v>
      </c>
      <c r="B2046" s="204">
        <v>42739</v>
      </c>
      <c r="C2046" s="1">
        <v>114</v>
      </c>
      <c r="D2046" s="1">
        <v>3000035804</v>
      </c>
      <c r="E2046" s="1" t="s">
        <v>49</v>
      </c>
      <c r="F2046" s="16">
        <v>43</v>
      </c>
      <c r="G2046" s="204">
        <v>42721</v>
      </c>
      <c r="H2046" s="204"/>
      <c r="I2046" s="204">
        <v>42730</v>
      </c>
      <c r="J2046" s="1" t="s">
        <v>8</v>
      </c>
      <c r="K2046" s="1">
        <v>15.02</v>
      </c>
      <c r="L2046" s="1">
        <v>15.02</v>
      </c>
      <c r="M2046" s="1">
        <f t="shared" si="254"/>
        <v>15.02</v>
      </c>
      <c r="N2046" s="47">
        <f t="shared" si="255"/>
        <v>42744</v>
      </c>
      <c r="O2046" s="1">
        <v>845626</v>
      </c>
      <c r="P2046" s="38">
        <f t="shared" si="256"/>
        <v>845626</v>
      </c>
      <c r="Q2046" s="258">
        <v>42767</v>
      </c>
      <c r="R2046" s="258">
        <v>42767</v>
      </c>
      <c r="S2046" s="230">
        <f t="shared" si="257"/>
        <v>23</v>
      </c>
    </row>
    <row r="2047" spans="1:23" s="1" customFormat="1" ht="16.5" hidden="1" customHeight="1" x14ac:dyDescent="0.25">
      <c r="A2047" s="1">
        <v>1791</v>
      </c>
      <c r="B2047" s="204">
        <v>42753</v>
      </c>
      <c r="C2047" s="1">
        <v>114</v>
      </c>
      <c r="D2047" s="1">
        <v>3000036564</v>
      </c>
      <c r="E2047" s="1" t="s">
        <v>348</v>
      </c>
      <c r="F2047" s="1">
        <v>292</v>
      </c>
      <c r="G2047" s="204">
        <v>42734</v>
      </c>
      <c r="H2047" s="204"/>
      <c r="I2047" s="204">
        <v>42746</v>
      </c>
      <c r="J2047" s="1" t="s">
        <v>8</v>
      </c>
      <c r="K2047" s="1">
        <v>27.84</v>
      </c>
      <c r="L2047" s="1">
        <v>27.57</v>
      </c>
      <c r="M2047" s="1">
        <f t="shared" si="254"/>
        <v>27.57</v>
      </c>
      <c r="N2047" s="66">
        <f t="shared" si="255"/>
        <v>42760</v>
      </c>
      <c r="O2047" s="1">
        <v>1559040</v>
      </c>
      <c r="P2047" s="38">
        <f t="shared" si="256"/>
        <v>1543920</v>
      </c>
      <c r="Q2047" s="258">
        <v>42767</v>
      </c>
      <c r="R2047" s="258">
        <v>42767</v>
      </c>
      <c r="S2047" s="230">
        <f t="shared" si="257"/>
        <v>7</v>
      </c>
    </row>
    <row r="2048" spans="1:23" s="1" customFormat="1" ht="16.5" hidden="1" customHeight="1" x14ac:dyDescent="0.25">
      <c r="A2048" s="1">
        <v>1791</v>
      </c>
      <c r="B2048" s="204">
        <v>42753</v>
      </c>
      <c r="C2048" s="1">
        <v>114</v>
      </c>
      <c r="D2048" s="1">
        <v>3000036564</v>
      </c>
      <c r="E2048" s="1" t="s">
        <v>348</v>
      </c>
      <c r="F2048" s="1">
        <v>293</v>
      </c>
      <c r="G2048" s="204">
        <v>42735</v>
      </c>
      <c r="H2048" s="204"/>
      <c r="I2048" s="204">
        <v>42747</v>
      </c>
      <c r="J2048" s="1" t="s">
        <v>8</v>
      </c>
      <c r="K2048" s="1">
        <v>28.86</v>
      </c>
      <c r="L2048" s="1">
        <v>28.6</v>
      </c>
      <c r="M2048" s="1">
        <f t="shared" si="254"/>
        <v>28.6</v>
      </c>
      <c r="N2048" s="66">
        <f t="shared" si="255"/>
        <v>42761</v>
      </c>
      <c r="O2048" s="1">
        <v>1616160</v>
      </c>
      <c r="P2048" s="38">
        <f t="shared" si="256"/>
        <v>1601600</v>
      </c>
      <c r="Q2048" s="258">
        <v>42767</v>
      </c>
      <c r="R2048" s="258">
        <v>42767</v>
      </c>
      <c r="S2048" s="230">
        <f t="shared" si="257"/>
        <v>6</v>
      </c>
    </row>
    <row r="2049" spans="1:23" s="1" customFormat="1" hidden="1" x14ac:dyDescent="0.25">
      <c r="A2049" s="1">
        <v>1791</v>
      </c>
      <c r="B2049" s="204">
        <v>42755</v>
      </c>
      <c r="C2049" s="1">
        <v>114</v>
      </c>
      <c r="D2049" s="1">
        <v>3000037337</v>
      </c>
      <c r="E2049" s="39" t="s">
        <v>18</v>
      </c>
      <c r="F2049" s="1">
        <v>166</v>
      </c>
      <c r="G2049" s="204">
        <v>42739</v>
      </c>
      <c r="H2049" s="204"/>
      <c r="I2049" s="204">
        <v>42748</v>
      </c>
      <c r="J2049" s="1" t="s">
        <v>8</v>
      </c>
      <c r="K2049" s="1">
        <v>19.43</v>
      </c>
      <c r="L2049" s="1">
        <v>19.399999999999999</v>
      </c>
      <c r="M2049" s="1">
        <f t="shared" si="254"/>
        <v>19.399999999999999</v>
      </c>
      <c r="N2049" s="66">
        <f t="shared" si="255"/>
        <v>42762</v>
      </c>
      <c r="O2049" s="1">
        <v>1146370</v>
      </c>
      <c r="P2049" s="38">
        <f t="shared" si="256"/>
        <v>1144600</v>
      </c>
      <c r="Q2049" s="258">
        <v>42767</v>
      </c>
      <c r="R2049" s="258">
        <v>42767</v>
      </c>
      <c r="S2049" s="230">
        <f t="shared" si="257"/>
        <v>5</v>
      </c>
    </row>
    <row r="2050" spans="1:23" s="1" customFormat="1" hidden="1" x14ac:dyDescent="0.25">
      <c r="A2050" s="1">
        <v>1791</v>
      </c>
      <c r="B2050" s="204">
        <v>42758</v>
      </c>
      <c r="C2050" s="1">
        <v>114</v>
      </c>
      <c r="D2050" s="1">
        <v>3000037473</v>
      </c>
      <c r="E2050" s="1" t="s">
        <v>30</v>
      </c>
      <c r="F2050" s="1">
        <v>557</v>
      </c>
      <c r="G2050" s="204">
        <v>42741</v>
      </c>
      <c r="H2050" s="204"/>
      <c r="I2050" s="204">
        <v>42749</v>
      </c>
      <c r="J2050" s="1" t="s">
        <v>229</v>
      </c>
      <c r="K2050" s="1">
        <v>29.51</v>
      </c>
      <c r="L2050" s="1">
        <v>29.38</v>
      </c>
      <c r="M2050" s="18">
        <f t="shared" si="254"/>
        <v>29.38</v>
      </c>
      <c r="N2050" s="66">
        <f t="shared" si="255"/>
        <v>42763</v>
      </c>
      <c r="O2050" s="1">
        <v>1534520</v>
      </c>
      <c r="P2050" s="38">
        <f t="shared" si="256"/>
        <v>1527760</v>
      </c>
      <c r="Q2050" s="258">
        <v>42767</v>
      </c>
      <c r="R2050" s="258">
        <v>42767</v>
      </c>
      <c r="S2050" s="230">
        <f t="shared" si="257"/>
        <v>4</v>
      </c>
    </row>
    <row r="2051" spans="1:23" s="1" customFormat="1" hidden="1" x14ac:dyDescent="0.25">
      <c r="A2051" s="1">
        <v>1791</v>
      </c>
      <c r="B2051" s="204">
        <v>42758</v>
      </c>
      <c r="C2051" s="1">
        <v>114</v>
      </c>
      <c r="D2051" s="1">
        <v>3000035054</v>
      </c>
      <c r="E2051" s="1" t="s">
        <v>27</v>
      </c>
      <c r="F2051" s="1">
        <v>288</v>
      </c>
      <c r="G2051" s="204">
        <v>42727</v>
      </c>
      <c r="H2051" s="204"/>
      <c r="I2051" s="204">
        <v>42750</v>
      </c>
      <c r="J2051" s="1" t="s">
        <v>16</v>
      </c>
      <c r="K2051" s="1">
        <v>19.850000000000001</v>
      </c>
      <c r="L2051" s="1">
        <v>19.72</v>
      </c>
      <c r="M2051" s="1">
        <f t="shared" si="254"/>
        <v>19.72</v>
      </c>
      <c r="N2051" s="66">
        <f t="shared" si="255"/>
        <v>42764</v>
      </c>
      <c r="O2051" s="1">
        <v>1101675</v>
      </c>
      <c r="P2051" s="38">
        <f t="shared" si="256"/>
        <v>1094459.9999999998</v>
      </c>
      <c r="Q2051" s="258">
        <v>42767</v>
      </c>
      <c r="R2051" s="258">
        <v>42767</v>
      </c>
      <c r="S2051" s="230">
        <f t="shared" si="257"/>
        <v>3</v>
      </c>
    </row>
    <row r="2052" spans="1:23" s="1" customFormat="1" hidden="1" x14ac:dyDescent="0.25">
      <c r="A2052" s="1">
        <v>1791</v>
      </c>
      <c r="B2052" s="204">
        <v>42765</v>
      </c>
      <c r="C2052" s="1">
        <v>103</v>
      </c>
      <c r="D2052" s="1">
        <v>3000038398</v>
      </c>
      <c r="E2052" s="1" t="s">
        <v>581</v>
      </c>
      <c r="F2052" s="1">
        <v>59</v>
      </c>
      <c r="G2052" s="204">
        <v>42756</v>
      </c>
      <c r="H2052" s="204"/>
      <c r="I2052" s="204">
        <v>42761</v>
      </c>
      <c r="J2052" s="1" t="s">
        <v>61</v>
      </c>
      <c r="K2052" s="1">
        <v>20.239999999999998</v>
      </c>
      <c r="L2052" s="1">
        <v>20.2</v>
      </c>
      <c r="M2052" s="1">
        <f t="shared" si="254"/>
        <v>20.2</v>
      </c>
      <c r="N2052" s="66">
        <f>+I2052+4-'V V F India Out Standing'!O100</f>
        <v>-420315</v>
      </c>
      <c r="O2052" s="1">
        <v>2535182</v>
      </c>
      <c r="P2052" s="38">
        <f t="shared" si="256"/>
        <v>2530171.7588932808</v>
      </c>
      <c r="Q2052" s="258">
        <v>42767</v>
      </c>
      <c r="R2052" s="258">
        <v>42767</v>
      </c>
      <c r="S2052" s="230">
        <f t="shared" si="257"/>
        <v>463082</v>
      </c>
    </row>
    <row r="2053" spans="1:23" s="1" customFormat="1" hidden="1" x14ac:dyDescent="0.25">
      <c r="A2053" s="1">
        <v>1791</v>
      </c>
      <c r="B2053" s="204">
        <v>42758</v>
      </c>
      <c r="C2053" s="1">
        <v>114</v>
      </c>
      <c r="D2053" s="1">
        <v>3000035897</v>
      </c>
      <c r="E2053" s="1" t="s">
        <v>37</v>
      </c>
      <c r="F2053" s="16">
        <v>268</v>
      </c>
      <c r="G2053" s="204">
        <v>42746</v>
      </c>
      <c r="H2053" s="204"/>
      <c r="I2053" s="204">
        <v>42753</v>
      </c>
      <c r="J2053" s="1" t="s">
        <v>8</v>
      </c>
      <c r="K2053" s="1">
        <v>25</v>
      </c>
      <c r="L2053" s="1">
        <v>25</v>
      </c>
      <c r="M2053" s="1">
        <f t="shared" si="254"/>
        <v>25</v>
      </c>
      <c r="N2053" s="66">
        <f>+I2053+15-1</f>
        <v>42767</v>
      </c>
      <c r="O2053" s="1">
        <v>1400000</v>
      </c>
      <c r="P2053" s="38">
        <f t="shared" si="256"/>
        <v>1400000</v>
      </c>
      <c r="Q2053" s="258">
        <v>42767</v>
      </c>
      <c r="R2053" s="258">
        <v>42767</v>
      </c>
      <c r="S2053" s="230">
        <f t="shared" si="257"/>
        <v>0</v>
      </c>
    </row>
    <row r="2054" spans="1:23" s="1" customFormat="1" hidden="1" x14ac:dyDescent="0.25">
      <c r="A2054" s="1">
        <v>1791</v>
      </c>
      <c r="B2054" s="204">
        <v>42758</v>
      </c>
      <c r="C2054" s="1">
        <v>114</v>
      </c>
      <c r="D2054" s="1">
        <v>3000038056</v>
      </c>
      <c r="E2054" s="1" t="s">
        <v>37</v>
      </c>
      <c r="F2054" s="16">
        <v>268</v>
      </c>
      <c r="G2054" s="204">
        <v>42746</v>
      </c>
      <c r="H2054" s="204"/>
      <c r="I2054" s="204">
        <v>42753</v>
      </c>
      <c r="J2054" s="1" t="s">
        <v>8</v>
      </c>
      <c r="K2054" s="1">
        <v>3.84</v>
      </c>
      <c r="L2054" s="1">
        <v>3.87</v>
      </c>
      <c r="M2054" s="1">
        <f t="shared" si="254"/>
        <v>3.84</v>
      </c>
      <c r="N2054" s="66">
        <f>+I2054+15-1</f>
        <v>42767</v>
      </c>
      <c r="O2054" s="1">
        <v>215040</v>
      </c>
      <c r="P2054" s="38">
        <f t="shared" si="256"/>
        <v>215040</v>
      </c>
      <c r="Q2054" s="258">
        <v>42767</v>
      </c>
      <c r="R2054" s="258">
        <v>42767</v>
      </c>
      <c r="S2054" s="230">
        <f t="shared" si="257"/>
        <v>0</v>
      </c>
    </row>
    <row r="2055" spans="1:23" s="1" customFormat="1" hidden="1" x14ac:dyDescent="0.25">
      <c r="A2055" s="1">
        <v>218</v>
      </c>
      <c r="B2055" s="24">
        <v>42765</v>
      </c>
      <c r="C2055" s="1">
        <v>499</v>
      </c>
      <c r="D2055" s="1">
        <v>3000038265</v>
      </c>
      <c r="E2055" s="1" t="s">
        <v>582</v>
      </c>
      <c r="F2055" s="16" t="s">
        <v>583</v>
      </c>
      <c r="G2055" s="204">
        <v>42765</v>
      </c>
      <c r="H2055" s="204"/>
      <c r="I2055" s="204">
        <v>42759</v>
      </c>
      <c r="J2055" s="25" t="s">
        <v>61</v>
      </c>
      <c r="K2055" s="25"/>
      <c r="O2055" s="1">
        <v>10015</v>
      </c>
      <c r="P2055" s="7"/>
      <c r="Q2055" s="258">
        <v>42767</v>
      </c>
      <c r="R2055" s="258">
        <v>42767</v>
      </c>
      <c r="S2055" s="230"/>
    </row>
    <row r="2056" spans="1:23" s="1" customFormat="1" hidden="1" x14ac:dyDescent="0.25">
      <c r="A2056" s="1">
        <v>220</v>
      </c>
      <c r="B2056" s="24">
        <v>42765</v>
      </c>
      <c r="C2056" s="1">
        <v>499</v>
      </c>
      <c r="D2056" s="1">
        <v>3000038265</v>
      </c>
      <c r="E2056" s="1" t="s">
        <v>582</v>
      </c>
      <c r="F2056" s="16">
        <v>8</v>
      </c>
      <c r="G2056" s="204">
        <v>42765</v>
      </c>
      <c r="H2056" s="204"/>
      <c r="I2056" s="204">
        <v>42759</v>
      </c>
      <c r="J2056" s="25" t="s">
        <v>61</v>
      </c>
      <c r="K2056" s="1">
        <v>20.05</v>
      </c>
      <c r="L2056" s="1">
        <v>20.03</v>
      </c>
      <c r="M2056" s="1">
        <f t="shared" ref="M2056:M2065" si="258">IF(L2056&gt;K2056,K2056,L2056)</f>
        <v>20.03</v>
      </c>
      <c r="N2056" s="66">
        <f>+I2056+20-'V V F India Out Standing'!O105</f>
        <v>-1361221</v>
      </c>
      <c r="O2056" s="1">
        <v>2365157</v>
      </c>
      <c r="P2056" s="38">
        <f>(+O2056/K2056*M2056)-10015</f>
        <v>2352782.7411471321</v>
      </c>
      <c r="Q2056" s="258">
        <v>42767</v>
      </c>
      <c r="R2056" s="258">
        <v>42767</v>
      </c>
      <c r="S2056" s="230">
        <f t="shared" si="257"/>
        <v>1403988</v>
      </c>
      <c r="T2056" s="8" t="s">
        <v>590</v>
      </c>
      <c r="U2056" s="8"/>
      <c r="V2056" s="8"/>
      <c r="W2056" s="8"/>
    </row>
    <row r="2057" spans="1:23" s="1" customFormat="1" hidden="1" x14ac:dyDescent="0.25">
      <c r="A2057" s="84">
        <v>1090</v>
      </c>
      <c r="B2057" s="204">
        <v>42769</v>
      </c>
      <c r="C2057" s="1">
        <v>103</v>
      </c>
      <c r="D2057" s="1">
        <v>3000038300</v>
      </c>
      <c r="E2057" s="8" t="s">
        <v>596</v>
      </c>
      <c r="F2057" s="1">
        <v>1622102313</v>
      </c>
      <c r="G2057" s="204">
        <v>42763</v>
      </c>
      <c r="H2057" s="204"/>
      <c r="I2057" s="204">
        <v>42763</v>
      </c>
      <c r="J2057" s="1" t="s">
        <v>16</v>
      </c>
      <c r="K2057" s="1">
        <v>19.77</v>
      </c>
      <c r="L2057" s="1">
        <v>19.73</v>
      </c>
      <c r="M2057" s="1">
        <f t="shared" si="258"/>
        <v>19.73</v>
      </c>
      <c r="N2057" s="66">
        <f>+I2057+15-'V V F India Out Standing'!O67141</f>
        <v>42778</v>
      </c>
      <c r="P2057" s="38">
        <f t="shared" ref="P2057:P2065" si="259">(+O2057/K2057*M2057)</f>
        <v>0</v>
      </c>
      <c r="Q2057" s="225"/>
    </row>
    <row r="2058" spans="1:23" s="1" customFormat="1" hidden="1" x14ac:dyDescent="0.25">
      <c r="B2058" s="204">
        <v>42772</v>
      </c>
      <c r="C2058" s="5">
        <v>114</v>
      </c>
      <c r="D2058" s="5">
        <v>3000037344</v>
      </c>
      <c r="E2058" s="1" t="s">
        <v>300</v>
      </c>
      <c r="F2058" s="304" t="s">
        <v>597</v>
      </c>
      <c r="G2058" s="204">
        <v>42736</v>
      </c>
      <c r="H2058" s="204"/>
      <c r="I2058" s="204">
        <v>42764</v>
      </c>
      <c r="J2058" s="5" t="s">
        <v>61</v>
      </c>
      <c r="K2058" s="5">
        <v>20.03</v>
      </c>
      <c r="L2058" s="5">
        <v>20.03</v>
      </c>
      <c r="M2058" s="5">
        <f t="shared" si="258"/>
        <v>20.03</v>
      </c>
      <c r="N2058" s="204">
        <v>42764</v>
      </c>
      <c r="O2058" s="5">
        <v>2223330</v>
      </c>
      <c r="P2058" s="26">
        <f t="shared" si="259"/>
        <v>2223330</v>
      </c>
      <c r="Q2058" s="55" t="s">
        <v>164</v>
      </c>
    </row>
    <row r="2059" spans="1:23" s="3" customFormat="1" hidden="1" x14ac:dyDescent="0.25">
      <c r="B2059" s="298">
        <v>42772</v>
      </c>
      <c r="C2059" s="299">
        <v>114</v>
      </c>
      <c r="D2059" s="299">
        <v>3000036866</v>
      </c>
      <c r="E2059" s="300" t="s">
        <v>464</v>
      </c>
      <c r="F2059" s="299">
        <v>62866103</v>
      </c>
      <c r="G2059" s="298">
        <v>42763</v>
      </c>
      <c r="H2059" s="298"/>
      <c r="I2059" s="298">
        <v>42766</v>
      </c>
      <c r="J2059" s="299" t="s">
        <v>16</v>
      </c>
      <c r="K2059" s="299">
        <v>19.97</v>
      </c>
      <c r="L2059" s="299">
        <v>19.97</v>
      </c>
      <c r="M2059" s="299">
        <f t="shared" si="258"/>
        <v>19.97</v>
      </c>
      <c r="N2059" s="298">
        <v>42766</v>
      </c>
      <c r="O2059" s="299">
        <v>1049736</v>
      </c>
      <c r="P2059" s="301">
        <f t="shared" si="259"/>
        <v>1049736</v>
      </c>
      <c r="Q2059" s="302" t="s">
        <v>164</v>
      </c>
      <c r="R2059" s="302"/>
    </row>
    <row r="2060" spans="1:23" s="1" customFormat="1" hidden="1" x14ac:dyDescent="0.25">
      <c r="A2060" s="3">
        <v>1067</v>
      </c>
      <c r="B2060" s="204">
        <v>42768</v>
      </c>
      <c r="C2060" s="1">
        <v>116</v>
      </c>
      <c r="D2060" s="1">
        <v>3000038435</v>
      </c>
      <c r="E2060" s="1" t="s">
        <v>25</v>
      </c>
      <c r="F2060" s="1">
        <v>7723</v>
      </c>
      <c r="G2060" s="204">
        <v>42760</v>
      </c>
      <c r="H2060" s="204"/>
      <c r="I2060" s="204">
        <v>42760</v>
      </c>
      <c r="J2060" s="1" t="s">
        <v>16</v>
      </c>
      <c r="K2060" s="1">
        <v>20.12</v>
      </c>
      <c r="L2060" s="1">
        <v>20.12</v>
      </c>
      <c r="M2060" s="1">
        <f t="shared" si="258"/>
        <v>20.12</v>
      </c>
      <c r="N2060" s="66">
        <f>+G2060+7-'V V F India Out Standing'!O80</f>
        <v>-1982050</v>
      </c>
      <c r="O2060" s="1">
        <v>1086669</v>
      </c>
      <c r="P2060" s="38">
        <f t="shared" si="259"/>
        <v>1086669</v>
      </c>
      <c r="Q2060" s="204">
        <v>42768</v>
      </c>
      <c r="R2060" s="204">
        <v>42769</v>
      </c>
    </row>
    <row r="2061" spans="1:23" s="1" customFormat="1" hidden="1" x14ac:dyDescent="0.25">
      <c r="A2061" s="13">
        <v>1068</v>
      </c>
      <c r="B2061" s="204">
        <v>42768</v>
      </c>
      <c r="C2061" s="1">
        <v>116</v>
      </c>
      <c r="D2061" s="1">
        <v>3000038435</v>
      </c>
      <c r="E2061" s="1" t="s">
        <v>25</v>
      </c>
      <c r="F2061" s="1">
        <v>7724</v>
      </c>
      <c r="G2061" s="204">
        <v>42760</v>
      </c>
      <c r="H2061" s="204"/>
      <c r="I2061" s="204">
        <v>42760</v>
      </c>
      <c r="J2061" s="1" t="s">
        <v>16</v>
      </c>
      <c r="K2061" s="1">
        <v>20.28</v>
      </c>
      <c r="L2061" s="1">
        <v>20.28</v>
      </c>
      <c r="M2061" s="1">
        <f t="shared" si="258"/>
        <v>20.28</v>
      </c>
      <c r="N2061" s="66">
        <f>+G2061+7-'V V F India Out Standing'!O81</f>
        <v>-1147123</v>
      </c>
      <c r="O2061" s="1">
        <v>1095311</v>
      </c>
      <c r="P2061" s="38">
        <f t="shared" si="259"/>
        <v>1095311</v>
      </c>
      <c r="Q2061" s="204">
        <v>42768</v>
      </c>
      <c r="R2061" s="204">
        <v>42769</v>
      </c>
    </row>
    <row r="2062" spans="1:23" s="1" customFormat="1" hidden="1" x14ac:dyDescent="0.25">
      <c r="A2062" s="1">
        <v>1069</v>
      </c>
      <c r="B2062" s="204">
        <v>42768</v>
      </c>
      <c r="C2062" s="1">
        <v>116</v>
      </c>
      <c r="D2062" s="1">
        <v>3000038435</v>
      </c>
      <c r="E2062" s="1" t="s">
        <v>25</v>
      </c>
      <c r="F2062" s="1">
        <v>7725</v>
      </c>
      <c r="G2062" s="204">
        <v>42760</v>
      </c>
      <c r="H2062" s="204"/>
      <c r="I2062" s="204">
        <v>42760</v>
      </c>
      <c r="J2062" s="1" t="s">
        <v>16</v>
      </c>
      <c r="K2062" s="1">
        <v>19.47</v>
      </c>
      <c r="L2062" s="1">
        <v>19.47</v>
      </c>
      <c r="M2062" s="1">
        <f t="shared" si="258"/>
        <v>19.47</v>
      </c>
      <c r="N2062" s="66">
        <f>+G2062+7-'V V F India Out Standing'!O82</f>
        <v>-1290033</v>
      </c>
      <c r="O2062" s="1">
        <v>1051562</v>
      </c>
      <c r="P2062" s="38">
        <f t="shared" si="259"/>
        <v>1051562</v>
      </c>
      <c r="Q2062" s="204">
        <v>42768</v>
      </c>
      <c r="R2062" s="204">
        <v>42769</v>
      </c>
    </row>
    <row r="2063" spans="1:23" s="1" customFormat="1" hidden="1" x14ac:dyDescent="0.25">
      <c r="B2063" s="204">
        <v>42772</v>
      </c>
      <c r="C2063" s="5">
        <v>114</v>
      </c>
      <c r="D2063" s="5">
        <v>3000037344</v>
      </c>
      <c r="E2063" s="1" t="s">
        <v>300</v>
      </c>
      <c r="F2063" s="304" t="s">
        <v>602</v>
      </c>
      <c r="G2063" s="204">
        <v>42736</v>
      </c>
      <c r="H2063" s="204"/>
      <c r="I2063" s="204">
        <v>42768</v>
      </c>
      <c r="J2063" s="5" t="s">
        <v>61</v>
      </c>
      <c r="K2063" s="5">
        <v>19.93</v>
      </c>
      <c r="L2063" s="5">
        <v>19.920000000000002</v>
      </c>
      <c r="M2063" s="5">
        <f t="shared" si="258"/>
        <v>19.920000000000002</v>
      </c>
      <c r="N2063" s="204">
        <v>42768</v>
      </c>
      <c r="O2063" s="5">
        <v>2212230</v>
      </c>
      <c r="P2063" s="38">
        <f t="shared" si="259"/>
        <v>2211120</v>
      </c>
      <c r="Q2063" s="55" t="s">
        <v>164</v>
      </c>
    </row>
    <row r="2064" spans="1:23" s="1" customFormat="1" hidden="1" x14ac:dyDescent="0.25">
      <c r="B2064" s="204">
        <v>42773</v>
      </c>
      <c r="C2064" s="5">
        <v>103</v>
      </c>
      <c r="D2064" s="5">
        <v>3000038285</v>
      </c>
      <c r="E2064" s="1" t="s">
        <v>300</v>
      </c>
      <c r="F2064" s="5">
        <v>1600807</v>
      </c>
      <c r="G2064" s="306">
        <v>42762</v>
      </c>
      <c r="H2064" s="306"/>
      <c r="I2064" s="204">
        <v>42769</v>
      </c>
      <c r="J2064" s="5" t="s">
        <v>61</v>
      </c>
      <c r="K2064" s="281">
        <v>19.989999999999998</v>
      </c>
      <c r="L2064" s="5">
        <v>19.989999999999998</v>
      </c>
      <c r="M2064" s="5">
        <f t="shared" si="258"/>
        <v>19.989999999999998</v>
      </c>
      <c r="N2064" s="204">
        <v>42769</v>
      </c>
      <c r="O2064" s="5">
        <v>2378810</v>
      </c>
      <c r="P2064" s="26">
        <f t="shared" si="259"/>
        <v>2378810</v>
      </c>
      <c r="Q2064" s="55" t="s">
        <v>164</v>
      </c>
    </row>
    <row r="2065" spans="1:20" s="1" customFormat="1" hidden="1" x14ac:dyDescent="0.25">
      <c r="B2065" s="204">
        <v>42773</v>
      </c>
      <c r="C2065" s="5">
        <v>103</v>
      </c>
      <c r="D2065" s="5">
        <v>3000038285</v>
      </c>
      <c r="E2065" s="1" t="s">
        <v>300</v>
      </c>
      <c r="F2065" s="5">
        <v>1600803</v>
      </c>
      <c r="G2065" s="306">
        <v>42760</v>
      </c>
      <c r="H2065" s="306"/>
      <c r="I2065" s="204">
        <v>42769</v>
      </c>
      <c r="J2065" s="5" t="s">
        <v>61</v>
      </c>
      <c r="K2065" s="281">
        <v>19.98</v>
      </c>
      <c r="L2065" s="5">
        <v>19.95</v>
      </c>
      <c r="M2065" s="5">
        <f t="shared" si="258"/>
        <v>19.95</v>
      </c>
      <c r="N2065" s="204">
        <v>42769</v>
      </c>
      <c r="O2065" s="5">
        <v>2377621</v>
      </c>
      <c r="P2065" s="305">
        <f t="shared" si="259"/>
        <v>2374050.9984984985</v>
      </c>
      <c r="Q2065" s="55" t="s">
        <v>164</v>
      </c>
    </row>
    <row r="2066" spans="1:20" s="1" customFormat="1" hidden="1" x14ac:dyDescent="0.25">
      <c r="B2066" s="204">
        <v>42773</v>
      </c>
      <c r="C2066" s="1">
        <v>103</v>
      </c>
      <c r="D2066" s="1">
        <v>3000038300</v>
      </c>
      <c r="E2066" s="1" t="s">
        <v>596</v>
      </c>
      <c r="F2066" s="5">
        <v>1622102335</v>
      </c>
      <c r="G2066" s="298">
        <v>42764</v>
      </c>
      <c r="H2066" s="298"/>
      <c r="I2066" s="298">
        <v>42770</v>
      </c>
      <c r="J2066" s="1" t="s">
        <v>16</v>
      </c>
      <c r="K2066" s="85">
        <v>23.93</v>
      </c>
      <c r="L2066" s="85">
        <v>23.87</v>
      </c>
      <c r="M2066" s="5">
        <v>23.93</v>
      </c>
      <c r="N2066" s="204">
        <v>42770</v>
      </c>
      <c r="O2066" s="5">
        <v>1216464</v>
      </c>
    </row>
    <row r="2067" spans="1:20" s="1" customFormat="1" hidden="1" x14ac:dyDescent="0.25">
      <c r="B2067" s="204">
        <v>42773</v>
      </c>
      <c r="C2067" s="1">
        <v>103</v>
      </c>
      <c r="D2067" s="1">
        <v>3000038300</v>
      </c>
      <c r="E2067" s="1" t="s">
        <v>596</v>
      </c>
      <c r="F2067" s="5">
        <v>1622102336</v>
      </c>
      <c r="G2067" s="298">
        <v>42764</v>
      </c>
      <c r="H2067" s="298"/>
      <c r="I2067" s="298">
        <v>42770</v>
      </c>
      <c r="J2067" s="5" t="s">
        <v>16</v>
      </c>
      <c r="K2067" s="85">
        <v>24.86</v>
      </c>
      <c r="L2067" s="85">
        <v>24.78</v>
      </c>
      <c r="M2067" s="5">
        <v>24.86</v>
      </c>
      <c r="N2067" s="204">
        <v>42770</v>
      </c>
      <c r="O2067" s="5">
        <v>1263739</v>
      </c>
    </row>
    <row r="2068" spans="1:20" s="1" customFormat="1" hidden="1" x14ac:dyDescent="0.25">
      <c r="A2068" s="91"/>
      <c r="B2068" s="272">
        <v>42773</v>
      </c>
      <c r="C2068" s="311">
        <v>103</v>
      </c>
      <c r="D2068" s="311">
        <v>3000038300</v>
      </c>
      <c r="E2068" s="311" t="s">
        <v>596</v>
      </c>
      <c r="F2068" s="311">
        <v>1622102332</v>
      </c>
      <c r="G2068" s="298">
        <v>42764</v>
      </c>
      <c r="H2068" s="298"/>
      <c r="I2068" s="298">
        <v>42770</v>
      </c>
      <c r="J2068" s="311" t="s">
        <v>16</v>
      </c>
      <c r="K2068" s="85">
        <v>20.34</v>
      </c>
      <c r="L2068" s="85">
        <v>20.3</v>
      </c>
      <c r="M2068" s="311">
        <v>20.34</v>
      </c>
      <c r="N2068" s="272">
        <v>42770</v>
      </c>
      <c r="O2068" s="311">
        <v>1033969</v>
      </c>
      <c r="P2068" s="91"/>
      <c r="Q2068" s="91"/>
      <c r="R2068" s="91"/>
      <c r="S2068" s="91"/>
      <c r="T2068" s="91"/>
    </row>
    <row r="2069" spans="1:20" s="3" customFormat="1" hidden="1" x14ac:dyDescent="0.25">
      <c r="A2069" s="1"/>
      <c r="B2069" s="204">
        <v>42774</v>
      </c>
      <c r="C2069" s="5">
        <v>103</v>
      </c>
      <c r="D2069" s="5">
        <v>3000038267</v>
      </c>
      <c r="E2069" s="5" t="s">
        <v>596</v>
      </c>
      <c r="F2069" s="5">
        <v>1611610620</v>
      </c>
      <c r="G2069" s="204">
        <v>42767</v>
      </c>
      <c r="H2069" s="204"/>
      <c r="I2069" s="204">
        <v>42772</v>
      </c>
      <c r="J2069" s="5" t="s">
        <v>16</v>
      </c>
      <c r="K2069" s="5">
        <v>20.02</v>
      </c>
      <c r="L2069" s="5">
        <v>19.98</v>
      </c>
      <c r="M2069" s="5">
        <v>20.02</v>
      </c>
      <c r="N2069" s="204">
        <v>42772</v>
      </c>
      <c r="O2069" s="5">
        <v>1017702</v>
      </c>
      <c r="P2069" s="1"/>
      <c r="Q2069" s="1"/>
      <c r="R2069" s="1"/>
      <c r="S2069" s="1"/>
      <c r="T2069" s="1"/>
    </row>
    <row r="2070" spans="1:20" s="3" customFormat="1" hidden="1" x14ac:dyDescent="0.25">
      <c r="A2070" s="1"/>
      <c r="B2070" s="204">
        <v>42774</v>
      </c>
      <c r="C2070" s="5">
        <v>103</v>
      </c>
      <c r="D2070" s="5">
        <v>3000038267</v>
      </c>
      <c r="E2070" s="5" t="s">
        <v>596</v>
      </c>
      <c r="F2070" s="5">
        <v>1611610621</v>
      </c>
      <c r="G2070" s="204">
        <v>42767</v>
      </c>
      <c r="H2070" s="204"/>
      <c r="I2070" s="204">
        <v>42772</v>
      </c>
      <c r="J2070" s="5" t="s">
        <v>16</v>
      </c>
      <c r="K2070" s="5">
        <v>19.920000000000002</v>
      </c>
      <c r="L2070" s="5">
        <v>19.899999999999999</v>
      </c>
      <c r="M2070" s="5">
        <v>19.920000000000002</v>
      </c>
      <c r="N2070" s="204">
        <v>42772</v>
      </c>
      <c r="O2070" s="5">
        <v>1012618</v>
      </c>
      <c r="P2070" s="1"/>
      <c r="Q2070" s="1"/>
      <c r="R2070" s="1"/>
      <c r="S2070" s="1"/>
      <c r="T2070" s="1"/>
    </row>
    <row r="2071" spans="1:20" s="3" customFormat="1" hidden="1" x14ac:dyDescent="0.25">
      <c r="A2071" s="1"/>
      <c r="B2071" s="204">
        <v>42779</v>
      </c>
      <c r="C2071" s="5">
        <v>103</v>
      </c>
      <c r="D2071" s="5">
        <v>3000038762</v>
      </c>
      <c r="E2071" s="5" t="s">
        <v>615</v>
      </c>
      <c r="F2071" s="5">
        <v>2</v>
      </c>
      <c r="G2071" s="204">
        <v>42769</v>
      </c>
      <c r="H2071" s="204"/>
      <c r="I2071" s="204">
        <v>42773</v>
      </c>
      <c r="J2071" s="5" t="s">
        <v>61</v>
      </c>
      <c r="K2071" s="5">
        <v>20.6</v>
      </c>
      <c r="L2071" s="5">
        <v>20.56</v>
      </c>
      <c r="M2071" s="5">
        <v>20.6</v>
      </c>
      <c r="N2071" s="204">
        <f>I2071</f>
        <v>42773</v>
      </c>
      <c r="O2071" s="5">
        <v>2389805.9</v>
      </c>
      <c r="P2071" s="1">
        <f>O2071</f>
        <v>2389805.9</v>
      </c>
      <c r="Q2071" s="1" t="s">
        <v>164</v>
      </c>
      <c r="R2071" s="1"/>
      <c r="S2071" s="1"/>
      <c r="T2071" s="1"/>
    </row>
    <row r="2072" spans="1:20" s="3" customFormat="1" hidden="1" x14ac:dyDescent="0.25">
      <c r="A2072" s="1"/>
      <c r="B2072" s="204">
        <v>42779</v>
      </c>
      <c r="C2072" s="5">
        <v>103</v>
      </c>
      <c r="D2072" s="5">
        <v>3000038267</v>
      </c>
      <c r="E2072" s="5" t="s">
        <v>596</v>
      </c>
      <c r="F2072" s="5">
        <v>1611610683</v>
      </c>
      <c r="G2072" s="204">
        <v>42770</v>
      </c>
      <c r="H2072" s="204"/>
      <c r="I2072" s="204">
        <v>42773</v>
      </c>
      <c r="J2072" s="5" t="s">
        <v>16</v>
      </c>
      <c r="K2072" s="5">
        <v>20.41</v>
      </c>
      <c r="L2072" s="5">
        <v>20.36</v>
      </c>
      <c r="M2072" s="5">
        <v>20.41</v>
      </c>
      <c r="N2072" s="204">
        <f>I2072</f>
        <v>42773</v>
      </c>
      <c r="O2072" s="5">
        <v>1037527</v>
      </c>
      <c r="P2072" s="1">
        <f>O2072</f>
        <v>1037527</v>
      </c>
      <c r="Q2072" s="1" t="s">
        <v>164</v>
      </c>
      <c r="R2072" s="1"/>
      <c r="S2072" s="1"/>
      <c r="T2072" s="1"/>
    </row>
    <row r="2073" spans="1:20" s="5" customFormat="1" hidden="1" x14ac:dyDescent="0.25">
      <c r="A2073" s="85">
        <v>1057</v>
      </c>
      <c r="B2073" s="282">
        <v>42766</v>
      </c>
      <c r="C2073" s="5">
        <v>114</v>
      </c>
      <c r="D2073" s="5">
        <v>3000035704</v>
      </c>
      <c r="E2073" s="5" t="s">
        <v>348</v>
      </c>
      <c r="F2073" s="5">
        <v>268</v>
      </c>
      <c r="G2073" s="282">
        <v>42728</v>
      </c>
      <c r="H2073" s="282"/>
      <c r="I2073" s="282">
        <v>42736</v>
      </c>
      <c r="J2073" s="5" t="s">
        <v>8</v>
      </c>
      <c r="K2073" s="5">
        <v>2.94</v>
      </c>
      <c r="L2073" s="5">
        <v>2.92</v>
      </c>
      <c r="M2073" s="5">
        <f t="shared" ref="M2073:M2078" si="260">IF(L2073&gt;K2073,K2073,L2073)</f>
        <v>2.92</v>
      </c>
      <c r="N2073" s="66">
        <f>+I2073+20-'V V F India Out Standing'!O72</f>
        <v>-2650494</v>
      </c>
      <c r="O2073" s="5">
        <v>163170</v>
      </c>
      <c r="P2073" s="38">
        <f t="shared" ref="P2073:P2083" si="261">(+O2073/K2073*M2073)</f>
        <v>162060</v>
      </c>
      <c r="Q2073" s="6" t="s">
        <v>620</v>
      </c>
      <c r="R2073" s="6" t="s">
        <v>617</v>
      </c>
    </row>
    <row r="2074" spans="1:20" s="5" customFormat="1" hidden="1" x14ac:dyDescent="0.25">
      <c r="A2074" s="212">
        <v>1058</v>
      </c>
      <c r="B2074" s="282">
        <v>42766</v>
      </c>
      <c r="C2074" s="5">
        <v>114</v>
      </c>
      <c r="D2074" s="5">
        <v>3000035819</v>
      </c>
      <c r="E2074" s="5" t="s">
        <v>348</v>
      </c>
      <c r="F2074" s="5">
        <v>269</v>
      </c>
      <c r="G2074" s="282">
        <v>42728</v>
      </c>
      <c r="H2074" s="282"/>
      <c r="I2074" s="282">
        <v>42736</v>
      </c>
      <c r="J2074" s="5" t="s">
        <v>8</v>
      </c>
      <c r="K2074" s="5">
        <v>17.04</v>
      </c>
      <c r="L2074" s="5">
        <v>17.04</v>
      </c>
      <c r="M2074" s="5">
        <f t="shared" si="260"/>
        <v>17.04</v>
      </c>
      <c r="N2074" s="66">
        <f>+I2074+20-'V V F India Out Standing'!O73</f>
        <v>-2762852</v>
      </c>
      <c r="O2074" s="5">
        <v>944016</v>
      </c>
      <c r="P2074" s="38">
        <f t="shared" si="261"/>
        <v>944016</v>
      </c>
      <c r="Q2074" s="6" t="s">
        <v>620</v>
      </c>
      <c r="R2074" s="6" t="s">
        <v>617</v>
      </c>
    </row>
    <row r="2075" spans="1:20" s="5" customFormat="1" hidden="1" x14ac:dyDescent="0.25">
      <c r="A2075" s="85">
        <v>1023</v>
      </c>
      <c r="B2075" s="282">
        <v>42755</v>
      </c>
      <c r="C2075" s="5">
        <v>114</v>
      </c>
      <c r="D2075" s="5">
        <v>3000037603</v>
      </c>
      <c r="E2075" s="5" t="s">
        <v>55</v>
      </c>
      <c r="F2075" s="5">
        <v>32</v>
      </c>
      <c r="G2075" s="282">
        <v>42738</v>
      </c>
      <c r="H2075" s="282"/>
      <c r="I2075" s="282">
        <v>42749</v>
      </c>
      <c r="J2075" s="5" t="s">
        <v>16</v>
      </c>
      <c r="K2075" s="5">
        <v>24.55</v>
      </c>
      <c r="L2075" s="5">
        <v>24.56</v>
      </c>
      <c r="M2075" s="5">
        <f t="shared" si="260"/>
        <v>24.55</v>
      </c>
      <c r="N2075" s="66">
        <f>+I2075+15-1</f>
        <v>42763</v>
      </c>
      <c r="O2075" s="5">
        <v>1374800</v>
      </c>
      <c r="P2075" s="38">
        <f t="shared" si="261"/>
        <v>1374800</v>
      </c>
      <c r="Q2075" s="6" t="s">
        <v>620</v>
      </c>
      <c r="R2075" s="6" t="s">
        <v>617</v>
      </c>
    </row>
    <row r="2076" spans="1:20" s="5" customFormat="1" hidden="1" x14ac:dyDescent="0.25">
      <c r="A2076" s="85">
        <v>1027</v>
      </c>
      <c r="B2076" s="282">
        <v>42758</v>
      </c>
      <c r="C2076" s="5">
        <v>114</v>
      </c>
      <c r="D2076" s="5">
        <v>3000035100</v>
      </c>
      <c r="E2076" s="5" t="s">
        <v>348</v>
      </c>
      <c r="F2076" s="5">
        <v>122</v>
      </c>
      <c r="G2076" s="282">
        <v>42734</v>
      </c>
      <c r="H2076" s="282"/>
      <c r="I2076" s="282">
        <v>42751</v>
      </c>
      <c r="J2076" s="5" t="s">
        <v>16</v>
      </c>
      <c r="K2076" s="5">
        <v>5.78</v>
      </c>
      <c r="L2076" s="5">
        <v>5.67</v>
      </c>
      <c r="M2076" s="5">
        <f t="shared" si="260"/>
        <v>5.67</v>
      </c>
      <c r="N2076" s="66">
        <f>+I2076+15-1</f>
        <v>42765</v>
      </c>
      <c r="O2076" s="5">
        <v>330616</v>
      </c>
      <c r="P2076" s="38">
        <f t="shared" si="261"/>
        <v>324324</v>
      </c>
      <c r="Q2076" s="6" t="s">
        <v>620</v>
      </c>
      <c r="R2076" s="6" t="s">
        <v>617</v>
      </c>
    </row>
    <row r="2077" spans="1:20" s="5" customFormat="1" hidden="1" x14ac:dyDescent="0.25">
      <c r="A2077" s="212">
        <v>1028</v>
      </c>
      <c r="B2077" s="282">
        <v>42758</v>
      </c>
      <c r="C2077" s="5">
        <v>114</v>
      </c>
      <c r="D2077" s="5">
        <v>3000035101</v>
      </c>
      <c r="E2077" s="5" t="s">
        <v>348</v>
      </c>
      <c r="F2077" s="5">
        <v>123</v>
      </c>
      <c r="G2077" s="282">
        <v>42734</v>
      </c>
      <c r="H2077" s="282"/>
      <c r="I2077" s="282">
        <v>42751</v>
      </c>
      <c r="J2077" s="5" t="s">
        <v>16</v>
      </c>
      <c r="K2077" s="5">
        <v>20.6</v>
      </c>
      <c r="L2077" s="5">
        <v>20.6</v>
      </c>
      <c r="M2077" s="5">
        <f t="shared" si="260"/>
        <v>20.6</v>
      </c>
      <c r="N2077" s="66">
        <f>+I2077+15-1</f>
        <v>42765</v>
      </c>
      <c r="O2077" s="5">
        <v>1143300</v>
      </c>
      <c r="P2077" s="38">
        <f t="shared" si="261"/>
        <v>1143300</v>
      </c>
      <c r="Q2077" s="6" t="s">
        <v>620</v>
      </c>
      <c r="R2077" s="6" t="s">
        <v>617</v>
      </c>
    </row>
    <row r="2078" spans="1:20" s="5" customFormat="1" hidden="1" x14ac:dyDescent="0.25">
      <c r="A2078" s="85">
        <v>1029</v>
      </c>
      <c r="B2078" s="282">
        <v>42758</v>
      </c>
      <c r="C2078" s="5">
        <v>114</v>
      </c>
      <c r="D2078" s="5">
        <v>3000037473</v>
      </c>
      <c r="E2078" s="5" t="s">
        <v>30</v>
      </c>
      <c r="F2078" s="5">
        <v>584</v>
      </c>
      <c r="G2078" s="282">
        <v>42747</v>
      </c>
      <c r="H2078" s="282"/>
      <c r="I2078" s="282">
        <v>42753</v>
      </c>
      <c r="J2078" s="5" t="s">
        <v>229</v>
      </c>
      <c r="K2078" s="5">
        <v>29.31</v>
      </c>
      <c r="L2078" s="5">
        <v>29.13</v>
      </c>
      <c r="M2078" s="63">
        <f t="shared" si="260"/>
        <v>29.13</v>
      </c>
      <c r="N2078" s="66">
        <f>+I2078+15-1</f>
        <v>42767</v>
      </c>
      <c r="O2078" s="5">
        <v>1524120</v>
      </c>
      <c r="P2078" s="38">
        <f t="shared" si="261"/>
        <v>1514760</v>
      </c>
      <c r="Q2078" s="6" t="s">
        <v>620</v>
      </c>
      <c r="R2078" s="6" t="s">
        <v>617</v>
      </c>
    </row>
    <row r="2079" spans="1:20" s="5" customFormat="1" hidden="1" x14ac:dyDescent="0.25">
      <c r="A2079" s="212">
        <v>1091</v>
      </c>
      <c r="B2079" s="282">
        <v>42772</v>
      </c>
      <c r="C2079" s="5">
        <v>116</v>
      </c>
      <c r="D2079" s="5">
        <v>3000038435</v>
      </c>
      <c r="E2079" s="5" t="s">
        <v>25</v>
      </c>
      <c r="F2079" s="5">
        <v>7798</v>
      </c>
      <c r="G2079" s="282">
        <v>42763</v>
      </c>
      <c r="H2079" s="282"/>
      <c r="I2079" s="282">
        <v>42766</v>
      </c>
      <c r="J2079" s="5" t="s">
        <v>16</v>
      </c>
      <c r="K2079" s="5">
        <v>19.510000000000002</v>
      </c>
      <c r="L2079" s="5">
        <v>19.510000000000002</v>
      </c>
      <c r="M2079" s="5">
        <v>19.510000000000002</v>
      </c>
      <c r="N2079" s="66">
        <f>+G2079+7-'V V F India Out Standing'!O83</f>
        <v>-284245</v>
      </c>
      <c r="O2079" s="5">
        <v>1056028</v>
      </c>
      <c r="P2079" s="38">
        <f t="shared" si="261"/>
        <v>1056028</v>
      </c>
      <c r="Q2079" s="6" t="s">
        <v>620</v>
      </c>
      <c r="R2079" s="6" t="s">
        <v>617</v>
      </c>
    </row>
    <row r="2080" spans="1:20" s="5" customFormat="1" hidden="1" x14ac:dyDescent="0.25">
      <c r="A2080" s="95">
        <v>1092</v>
      </c>
      <c r="B2080" s="282">
        <v>42772</v>
      </c>
      <c r="C2080" s="5">
        <v>116</v>
      </c>
      <c r="D2080" s="5">
        <v>3000038435</v>
      </c>
      <c r="E2080" s="5" t="s">
        <v>25</v>
      </c>
      <c r="F2080" s="5">
        <v>7764</v>
      </c>
      <c r="G2080" s="282">
        <v>42763</v>
      </c>
      <c r="H2080" s="282"/>
      <c r="I2080" s="282">
        <v>42766</v>
      </c>
      <c r="J2080" s="5" t="s">
        <v>16</v>
      </c>
      <c r="K2080" s="5">
        <v>19.61</v>
      </c>
      <c r="L2080" s="5">
        <v>19.61</v>
      </c>
      <c r="M2080" s="5">
        <v>19.61</v>
      </c>
      <c r="N2080" s="66">
        <f>+G2080+7-'V V F India Out Standing'!O84</f>
        <v>-1659250</v>
      </c>
      <c r="O2080" s="5">
        <v>1065559</v>
      </c>
      <c r="P2080" s="38">
        <f t="shared" si="261"/>
        <v>1065559</v>
      </c>
      <c r="Q2080" s="6" t="s">
        <v>620</v>
      </c>
      <c r="R2080" s="6" t="s">
        <v>617</v>
      </c>
    </row>
    <row r="2081" spans="1:18" s="5" customFormat="1" hidden="1" x14ac:dyDescent="0.25">
      <c r="A2081" s="5">
        <v>1079</v>
      </c>
      <c r="B2081" s="282">
        <v>42768</v>
      </c>
      <c r="C2081" s="5">
        <v>103</v>
      </c>
      <c r="D2081" s="5">
        <v>3000038167</v>
      </c>
      <c r="E2081" s="5" t="s">
        <v>267</v>
      </c>
      <c r="F2081" s="5">
        <v>94</v>
      </c>
      <c r="G2081" s="282">
        <v>42760</v>
      </c>
      <c r="H2081" s="282"/>
      <c r="I2081" s="282">
        <v>42767</v>
      </c>
      <c r="J2081" s="5" t="s">
        <v>61</v>
      </c>
      <c r="K2081" s="5">
        <v>20.02</v>
      </c>
      <c r="L2081" s="5">
        <v>20.010000000000002</v>
      </c>
      <c r="M2081" s="5">
        <f t="shared" ref="M2081:M2092" si="262">IF(L2081&gt;K2081,K2081,L2081)</f>
        <v>20.010000000000002</v>
      </c>
      <c r="N2081" s="66">
        <f>+I2081+4-'V V F India Out Standing'!O67081</f>
        <v>42771</v>
      </c>
      <c r="O2081" s="5">
        <v>2347350</v>
      </c>
      <c r="P2081" s="38">
        <f t="shared" si="261"/>
        <v>2346177.4975024979</v>
      </c>
      <c r="Q2081" s="6" t="s">
        <v>620</v>
      </c>
      <c r="R2081" s="6" t="s">
        <v>617</v>
      </c>
    </row>
    <row r="2082" spans="1:18" s="5" customFormat="1" hidden="1" x14ac:dyDescent="0.25">
      <c r="A2082" s="212">
        <v>1090</v>
      </c>
      <c r="B2082" s="282">
        <v>42769</v>
      </c>
      <c r="C2082" s="5">
        <v>103</v>
      </c>
      <c r="D2082" s="5">
        <v>3000038398</v>
      </c>
      <c r="E2082" s="5" t="s">
        <v>581</v>
      </c>
      <c r="F2082" s="5">
        <v>60</v>
      </c>
      <c r="G2082" s="282">
        <v>42760</v>
      </c>
      <c r="H2082" s="282"/>
      <c r="I2082" s="282">
        <v>42767</v>
      </c>
      <c r="J2082" s="5" t="s">
        <v>61</v>
      </c>
      <c r="K2082" s="5">
        <v>20.260000000000002</v>
      </c>
      <c r="L2082" s="5">
        <v>20.21</v>
      </c>
      <c r="M2082" s="5">
        <f t="shared" si="262"/>
        <v>20.21</v>
      </c>
      <c r="N2082" s="66">
        <f>+I2082+4-'V V F India Out Standing'!O67084</f>
        <v>42771</v>
      </c>
      <c r="O2082" s="5">
        <v>2537690</v>
      </c>
      <c r="P2082" s="38">
        <f t="shared" si="261"/>
        <v>2531427.1915103653</v>
      </c>
      <c r="Q2082" s="6" t="s">
        <v>620</v>
      </c>
      <c r="R2082" s="6" t="s">
        <v>617</v>
      </c>
    </row>
    <row r="2083" spans="1:18" s="5" customFormat="1" hidden="1" x14ac:dyDescent="0.25">
      <c r="A2083" s="95">
        <v>1026</v>
      </c>
      <c r="B2083" s="282">
        <v>42758</v>
      </c>
      <c r="C2083" s="5">
        <v>114</v>
      </c>
      <c r="D2083" s="5">
        <v>3000037805</v>
      </c>
      <c r="E2083" s="5" t="s">
        <v>456</v>
      </c>
      <c r="F2083" s="5">
        <v>71</v>
      </c>
      <c r="G2083" s="282">
        <v>42738</v>
      </c>
      <c r="H2083" s="282"/>
      <c r="I2083" s="282">
        <v>42753</v>
      </c>
      <c r="J2083" s="5" t="s">
        <v>61</v>
      </c>
      <c r="K2083" s="5">
        <v>19.565000000000001</v>
      </c>
      <c r="L2083" s="5">
        <v>19.579999999999998</v>
      </c>
      <c r="M2083" s="5">
        <f t="shared" si="262"/>
        <v>19.565000000000001</v>
      </c>
      <c r="N2083" s="66">
        <f>+I2083+20-1</f>
        <v>42772</v>
      </c>
      <c r="O2083" s="5">
        <v>2181423</v>
      </c>
      <c r="P2083" s="38">
        <f t="shared" si="261"/>
        <v>2181423</v>
      </c>
      <c r="Q2083" s="6" t="s">
        <v>620</v>
      </c>
      <c r="R2083" s="6" t="s">
        <v>617</v>
      </c>
    </row>
    <row r="2084" spans="1:18" s="88" customFormat="1" hidden="1" x14ac:dyDescent="0.25">
      <c r="A2084" s="53">
        <v>1035</v>
      </c>
      <c r="B2084" s="213">
        <v>42765</v>
      </c>
      <c r="C2084" s="88">
        <v>114</v>
      </c>
      <c r="D2084" s="88">
        <v>3000037339</v>
      </c>
      <c r="E2084" s="88" t="s">
        <v>27</v>
      </c>
      <c r="F2084" s="88">
        <v>964</v>
      </c>
      <c r="G2084" s="213">
        <v>42747</v>
      </c>
      <c r="H2084" s="213"/>
      <c r="I2084" s="213">
        <v>42757</v>
      </c>
      <c r="J2084" s="88" t="s">
        <v>8</v>
      </c>
      <c r="K2084" s="88">
        <v>29.5</v>
      </c>
      <c r="L2084" s="88">
        <v>29.55</v>
      </c>
      <c r="M2084" s="88">
        <f t="shared" si="262"/>
        <v>29.5</v>
      </c>
      <c r="N2084" s="40">
        <f>+I2084+15-1</f>
        <v>42771</v>
      </c>
      <c r="O2084" s="88">
        <v>1740500</v>
      </c>
      <c r="P2084" s="26">
        <f t="shared" ref="P2084:P2108" si="263">(+O2084/K2084*M2084)</f>
        <v>1740500</v>
      </c>
      <c r="Q2084" s="225" t="s">
        <v>618</v>
      </c>
      <c r="R2084" s="210" t="s">
        <v>619</v>
      </c>
    </row>
    <row r="2085" spans="1:18" s="88" customFormat="1" hidden="1" x14ac:dyDescent="0.25">
      <c r="A2085" s="53">
        <v>1037</v>
      </c>
      <c r="B2085" s="213">
        <v>42765</v>
      </c>
      <c r="C2085" s="88">
        <v>114</v>
      </c>
      <c r="D2085" s="88">
        <v>3000036562</v>
      </c>
      <c r="E2085" s="88" t="s">
        <v>44</v>
      </c>
      <c r="F2085" s="88">
        <v>124</v>
      </c>
      <c r="G2085" s="213">
        <v>42749</v>
      </c>
      <c r="H2085" s="213"/>
      <c r="I2085" s="213">
        <v>42757</v>
      </c>
      <c r="J2085" s="88" t="s">
        <v>8</v>
      </c>
      <c r="K2085" s="88">
        <v>25.74</v>
      </c>
      <c r="L2085" s="88">
        <v>25.64</v>
      </c>
      <c r="M2085" s="88">
        <f t="shared" si="262"/>
        <v>25.64</v>
      </c>
      <c r="N2085" s="40">
        <f>+I2085+15-1</f>
        <v>42771</v>
      </c>
      <c r="O2085" s="88">
        <v>1441440</v>
      </c>
      <c r="P2085" s="26">
        <f t="shared" si="263"/>
        <v>1435840</v>
      </c>
      <c r="Q2085" s="225" t="s">
        <v>618</v>
      </c>
      <c r="R2085" s="210" t="s">
        <v>619</v>
      </c>
    </row>
    <row r="2086" spans="1:18" s="88" customFormat="1" hidden="1" x14ac:dyDescent="0.25">
      <c r="A2086" s="53">
        <v>1031</v>
      </c>
      <c r="B2086" s="213">
        <v>42760</v>
      </c>
      <c r="C2086" s="88">
        <v>103</v>
      </c>
      <c r="D2086" s="88">
        <v>3000038106</v>
      </c>
      <c r="E2086" s="88" t="s">
        <v>348</v>
      </c>
      <c r="F2086" s="88">
        <v>190</v>
      </c>
      <c r="G2086" s="213">
        <v>42753</v>
      </c>
      <c r="H2086" s="213"/>
      <c r="I2086" s="213">
        <v>42755</v>
      </c>
      <c r="J2086" s="88" t="s">
        <v>16</v>
      </c>
      <c r="K2086" s="88">
        <v>19.829999999999998</v>
      </c>
      <c r="L2086" s="88">
        <v>19.78</v>
      </c>
      <c r="M2086" s="88">
        <f t="shared" si="262"/>
        <v>19.78</v>
      </c>
      <c r="N2086" s="40">
        <f>+I2086+20-1</f>
        <v>42774</v>
      </c>
      <c r="O2086" s="88">
        <v>1090154</v>
      </c>
      <c r="P2086" s="26">
        <f t="shared" si="263"/>
        <v>1087405.2506303582</v>
      </c>
      <c r="Q2086" s="225" t="s">
        <v>618</v>
      </c>
      <c r="R2086" s="210" t="s">
        <v>619</v>
      </c>
    </row>
    <row r="2087" spans="1:18" s="88" customFormat="1" hidden="1" x14ac:dyDescent="0.25">
      <c r="A2087" s="88">
        <v>1032</v>
      </c>
      <c r="B2087" s="213">
        <v>42760</v>
      </c>
      <c r="C2087" s="88">
        <v>103</v>
      </c>
      <c r="D2087" s="88">
        <v>3000038106</v>
      </c>
      <c r="E2087" s="88" t="s">
        <v>348</v>
      </c>
      <c r="F2087" s="88">
        <v>188</v>
      </c>
      <c r="G2087" s="213">
        <v>42753</v>
      </c>
      <c r="H2087" s="213"/>
      <c r="I2087" s="213">
        <v>42755</v>
      </c>
      <c r="J2087" s="88" t="s">
        <v>16</v>
      </c>
      <c r="K2087" s="88">
        <v>20.34</v>
      </c>
      <c r="L2087" s="88">
        <v>20.27</v>
      </c>
      <c r="M2087" s="88">
        <f t="shared" si="262"/>
        <v>20.27</v>
      </c>
      <c r="N2087" s="40">
        <f>+I2087+20-1</f>
        <v>42774</v>
      </c>
      <c r="O2087" s="88">
        <v>1118192</v>
      </c>
      <c r="P2087" s="26">
        <f t="shared" si="263"/>
        <v>1114343.7482792526</v>
      </c>
      <c r="Q2087" s="225" t="s">
        <v>618</v>
      </c>
      <c r="R2087" s="210" t="s">
        <v>619</v>
      </c>
    </row>
    <row r="2088" spans="1:18" s="88" customFormat="1" hidden="1" x14ac:dyDescent="0.25">
      <c r="A2088" s="53">
        <v>1030</v>
      </c>
      <c r="B2088" s="213">
        <v>42760</v>
      </c>
      <c r="C2088" s="88">
        <v>103</v>
      </c>
      <c r="D2088" s="88">
        <v>3000038106</v>
      </c>
      <c r="E2088" s="88" t="s">
        <v>348</v>
      </c>
      <c r="F2088" s="88">
        <v>189</v>
      </c>
      <c r="G2088" s="213">
        <v>42753</v>
      </c>
      <c r="H2088" s="213"/>
      <c r="I2088" s="213">
        <v>42756</v>
      </c>
      <c r="J2088" s="88" t="s">
        <v>16</v>
      </c>
      <c r="K2088" s="88">
        <v>20.78</v>
      </c>
      <c r="L2088" s="88">
        <v>20.71</v>
      </c>
      <c r="M2088" s="88">
        <f t="shared" si="262"/>
        <v>20.71</v>
      </c>
      <c r="N2088" s="40">
        <f>+I2088+20-1</f>
        <v>42775</v>
      </c>
      <c r="O2088" s="88">
        <v>1142381</v>
      </c>
      <c r="P2088" s="26">
        <f t="shared" si="263"/>
        <v>1138532.7483156882</v>
      </c>
      <c r="Q2088" s="225" t="s">
        <v>618</v>
      </c>
      <c r="R2088" s="210" t="s">
        <v>619</v>
      </c>
    </row>
    <row r="2089" spans="1:18" s="88" customFormat="1" hidden="1" x14ac:dyDescent="0.25">
      <c r="A2089" s="88">
        <v>1064</v>
      </c>
      <c r="B2089" s="213">
        <v>42766</v>
      </c>
      <c r="C2089" s="88">
        <v>103</v>
      </c>
      <c r="D2089" s="88">
        <v>3000038048</v>
      </c>
      <c r="E2089" s="88" t="s">
        <v>579</v>
      </c>
      <c r="F2089" s="88">
        <v>343</v>
      </c>
      <c r="G2089" s="213">
        <v>42757</v>
      </c>
      <c r="H2089" s="213"/>
      <c r="I2089" s="213">
        <v>42760</v>
      </c>
      <c r="J2089" s="88" t="s">
        <v>16</v>
      </c>
      <c r="K2089" s="88">
        <v>21.59</v>
      </c>
      <c r="L2089" s="88">
        <v>21.54</v>
      </c>
      <c r="M2089" s="88">
        <f t="shared" si="262"/>
        <v>21.54</v>
      </c>
      <c r="N2089" s="40">
        <f>+I2089+15-'V V F India Out Standing'!O100</f>
        <v>-420305</v>
      </c>
      <c r="O2089" s="88">
        <v>1186910</v>
      </c>
      <c r="P2089" s="26">
        <f t="shared" si="263"/>
        <v>1184161.2505789716</v>
      </c>
      <c r="Q2089" s="225" t="s">
        <v>618</v>
      </c>
      <c r="R2089" s="210" t="s">
        <v>619</v>
      </c>
    </row>
    <row r="2090" spans="1:18" s="88" customFormat="1" hidden="1" x14ac:dyDescent="0.25">
      <c r="A2090" s="53">
        <v>1065</v>
      </c>
      <c r="B2090" s="213">
        <v>42766</v>
      </c>
      <c r="C2090" s="88">
        <v>103</v>
      </c>
      <c r="D2090" s="88">
        <v>3000038048</v>
      </c>
      <c r="E2090" s="88" t="s">
        <v>579</v>
      </c>
      <c r="F2090" s="88">
        <v>344</v>
      </c>
      <c r="G2090" s="213">
        <v>42757</v>
      </c>
      <c r="H2090" s="213"/>
      <c r="I2090" s="213">
        <v>42760</v>
      </c>
      <c r="J2090" s="88" t="s">
        <v>16</v>
      </c>
      <c r="K2090" s="88">
        <v>21.65</v>
      </c>
      <c r="L2090" s="88">
        <v>21.6</v>
      </c>
      <c r="M2090" s="88">
        <f t="shared" si="262"/>
        <v>21.6</v>
      </c>
      <c r="N2090" s="40">
        <f>+I2090+15-'V V F India Out Standing'!O101</f>
        <v>-983224</v>
      </c>
      <c r="O2090" s="88">
        <v>1190209</v>
      </c>
      <c r="P2090" s="26">
        <f t="shared" si="263"/>
        <v>1187460.2494226329</v>
      </c>
      <c r="Q2090" s="225" t="s">
        <v>618</v>
      </c>
      <c r="R2090" s="210" t="s">
        <v>619</v>
      </c>
    </row>
    <row r="2091" spans="1:18" s="88" customFormat="1" hidden="1" x14ac:dyDescent="0.25">
      <c r="A2091" s="53">
        <v>1033</v>
      </c>
      <c r="B2091" s="213">
        <v>42760</v>
      </c>
      <c r="C2091" s="88">
        <v>103</v>
      </c>
      <c r="D2091" s="88">
        <v>3000038106</v>
      </c>
      <c r="E2091" s="88" t="s">
        <v>348</v>
      </c>
      <c r="F2091" s="88">
        <v>191</v>
      </c>
      <c r="G2091" s="213">
        <v>42753</v>
      </c>
      <c r="H2091" s="213"/>
      <c r="I2091" s="213">
        <v>42757</v>
      </c>
      <c r="J2091" s="88" t="s">
        <v>16</v>
      </c>
      <c r="K2091" s="88">
        <v>20.16</v>
      </c>
      <c r="L2091" s="88">
        <v>20.09</v>
      </c>
      <c r="M2091" s="88">
        <f t="shared" si="262"/>
        <v>20.09</v>
      </c>
      <c r="N2091" s="40">
        <f>+I2091+20-1</f>
        <v>42776</v>
      </c>
      <c r="O2091" s="88">
        <v>1108296</v>
      </c>
      <c r="P2091" s="26">
        <f t="shared" si="263"/>
        <v>1104447.75</v>
      </c>
      <c r="Q2091" s="225" t="s">
        <v>618</v>
      </c>
      <c r="R2091" s="210" t="s">
        <v>619</v>
      </c>
    </row>
    <row r="2092" spans="1:18" s="88" customFormat="1" hidden="1" x14ac:dyDescent="0.25">
      <c r="A2092" s="88">
        <v>1034</v>
      </c>
      <c r="B2092" s="213">
        <v>42760</v>
      </c>
      <c r="C2092" s="88">
        <v>103</v>
      </c>
      <c r="D2092" s="88">
        <v>3000038106</v>
      </c>
      <c r="E2092" s="88" t="s">
        <v>348</v>
      </c>
      <c r="F2092" s="88">
        <v>187</v>
      </c>
      <c r="G2092" s="213">
        <v>42753</v>
      </c>
      <c r="H2092" s="213"/>
      <c r="I2092" s="213">
        <v>42757</v>
      </c>
      <c r="J2092" s="88" t="s">
        <v>16</v>
      </c>
      <c r="K2092" s="88">
        <v>20.420000000000002</v>
      </c>
      <c r="L2092" s="88">
        <v>20.36</v>
      </c>
      <c r="M2092" s="88">
        <f t="shared" si="262"/>
        <v>20.36</v>
      </c>
      <c r="N2092" s="40">
        <f>+I2092+20-1</f>
        <v>42776</v>
      </c>
      <c r="O2092" s="88">
        <v>1122590</v>
      </c>
      <c r="P2092" s="26">
        <f t="shared" si="263"/>
        <v>1119291.4985308519</v>
      </c>
      <c r="Q2092" s="225" t="s">
        <v>618</v>
      </c>
      <c r="R2092" s="210" t="s">
        <v>619</v>
      </c>
    </row>
    <row r="2093" spans="1:18" s="88" customFormat="1" hidden="1" x14ac:dyDescent="0.25">
      <c r="A2093" s="53">
        <v>1093</v>
      </c>
      <c r="B2093" s="213">
        <v>42772</v>
      </c>
      <c r="C2093" s="39">
        <v>116</v>
      </c>
      <c r="D2093" s="39">
        <v>3000038420</v>
      </c>
      <c r="E2093" s="39" t="s">
        <v>598</v>
      </c>
      <c r="F2093" s="39">
        <v>598</v>
      </c>
      <c r="G2093" s="213">
        <v>42762</v>
      </c>
      <c r="H2093" s="213"/>
      <c r="I2093" s="213">
        <v>42768</v>
      </c>
      <c r="J2093" s="88" t="s">
        <v>232</v>
      </c>
      <c r="K2093" s="39">
        <v>23.545000000000002</v>
      </c>
      <c r="L2093" s="39">
        <v>23.545000000000002</v>
      </c>
      <c r="M2093" s="39">
        <v>23.545000000000002</v>
      </c>
      <c r="N2093" s="40">
        <f>+G2093+15-'V V F India Out Standing'!O105</f>
        <v>-1361223</v>
      </c>
      <c r="O2093" s="39">
        <v>1909264</v>
      </c>
      <c r="P2093" s="26">
        <f t="shared" si="263"/>
        <v>1909264.0000000002</v>
      </c>
      <c r="Q2093" s="225" t="s">
        <v>618</v>
      </c>
      <c r="R2093" s="210" t="s">
        <v>619</v>
      </c>
    </row>
    <row r="2094" spans="1:18" s="88" customFormat="1" hidden="1" x14ac:dyDescent="0.25">
      <c r="A2094" s="88">
        <v>1038</v>
      </c>
      <c r="B2094" s="213">
        <v>42765</v>
      </c>
      <c r="C2094" s="88">
        <v>103</v>
      </c>
      <c r="D2094" s="88">
        <v>300038258</v>
      </c>
      <c r="E2094" s="88" t="s">
        <v>448</v>
      </c>
      <c r="F2094" s="88">
        <v>86</v>
      </c>
      <c r="G2094" s="213">
        <v>42755</v>
      </c>
      <c r="H2094" s="213"/>
      <c r="I2094" s="213">
        <v>42758</v>
      </c>
      <c r="J2094" s="88" t="s">
        <v>61</v>
      </c>
      <c r="K2094" s="88">
        <v>19.71</v>
      </c>
      <c r="L2094" s="88">
        <v>19.54</v>
      </c>
      <c r="M2094" s="88">
        <f t="shared" ref="M2094:M2102" si="264">IF(L2094&gt;K2094,K2094,L2094)</f>
        <v>19.54</v>
      </c>
      <c r="N2094" s="40">
        <f>+I2094+20-'V V F India Out Standing'!O107</f>
        <v>-1503916</v>
      </c>
      <c r="O2094" s="88">
        <v>2325855</v>
      </c>
      <c r="P2094" s="26">
        <f t="shared" si="263"/>
        <v>2305794.3531202432</v>
      </c>
      <c r="Q2094" s="225" t="s">
        <v>618</v>
      </c>
      <c r="R2094" s="210" t="s">
        <v>619</v>
      </c>
    </row>
    <row r="2095" spans="1:18" s="88" customFormat="1" hidden="1" x14ac:dyDescent="0.25">
      <c r="A2095" s="53">
        <v>1039</v>
      </c>
      <c r="B2095" s="213">
        <v>42765</v>
      </c>
      <c r="C2095" s="88">
        <v>103</v>
      </c>
      <c r="D2095" s="88">
        <v>3000038252</v>
      </c>
      <c r="E2095" s="88" t="s">
        <v>158</v>
      </c>
      <c r="F2095" s="88">
        <v>185</v>
      </c>
      <c r="G2095" s="213">
        <v>42753</v>
      </c>
      <c r="H2095" s="213"/>
      <c r="I2095" s="213">
        <v>42758</v>
      </c>
      <c r="J2095" s="88" t="s">
        <v>61</v>
      </c>
      <c r="K2095" s="88">
        <v>19.95</v>
      </c>
      <c r="L2095" s="88">
        <v>19.87</v>
      </c>
      <c r="M2095" s="88">
        <f t="shared" si="264"/>
        <v>19.87</v>
      </c>
      <c r="N2095" s="40">
        <f>+I2095+20-'V V F India Out Standing'!O108</f>
        <v>-1429018</v>
      </c>
      <c r="O2095" s="88">
        <v>2354100</v>
      </c>
      <c r="P2095" s="26">
        <f t="shared" si="263"/>
        <v>2344660</v>
      </c>
      <c r="Q2095" s="225" t="s">
        <v>618</v>
      </c>
      <c r="R2095" s="210" t="s">
        <v>619</v>
      </c>
    </row>
    <row r="2096" spans="1:18" s="88" customFormat="1" hidden="1" x14ac:dyDescent="0.25">
      <c r="A2096" s="88">
        <v>1040</v>
      </c>
      <c r="B2096" s="213">
        <v>42765</v>
      </c>
      <c r="C2096" s="88">
        <v>103</v>
      </c>
      <c r="D2096" s="88">
        <v>3000038253</v>
      </c>
      <c r="E2096" s="88" t="s">
        <v>171</v>
      </c>
      <c r="F2096" s="88">
        <v>121</v>
      </c>
      <c r="G2096" s="213">
        <v>42754</v>
      </c>
      <c r="H2096" s="213"/>
      <c r="I2096" s="213">
        <v>42758</v>
      </c>
      <c r="J2096" s="88" t="s">
        <v>61</v>
      </c>
      <c r="K2096" s="88">
        <v>19.27</v>
      </c>
      <c r="L2096" s="88">
        <v>19.260000000000002</v>
      </c>
      <c r="M2096" s="88">
        <f t="shared" si="264"/>
        <v>19.260000000000002</v>
      </c>
      <c r="N2096" s="40">
        <f>+I2096+20-'V V F India Out Standing'!O109</f>
        <v>12793</v>
      </c>
      <c r="O2096" s="88">
        <v>2273933</v>
      </c>
      <c r="P2096" s="26">
        <f t="shared" si="263"/>
        <v>2272752.9621172813</v>
      </c>
      <c r="Q2096" s="225" t="s">
        <v>618</v>
      </c>
      <c r="R2096" s="210" t="s">
        <v>619</v>
      </c>
    </row>
    <row r="2097" spans="1:18" s="88" customFormat="1" hidden="1" x14ac:dyDescent="0.25">
      <c r="A2097" s="53">
        <v>1041</v>
      </c>
      <c r="B2097" s="213">
        <v>42765</v>
      </c>
      <c r="C2097" s="88">
        <v>103</v>
      </c>
      <c r="D2097" s="88">
        <v>3000038048</v>
      </c>
      <c r="E2097" s="88" t="s">
        <v>579</v>
      </c>
      <c r="F2097" s="88">
        <v>335</v>
      </c>
      <c r="G2097" s="213">
        <v>42756</v>
      </c>
      <c r="H2097" s="213"/>
      <c r="I2097" s="213">
        <v>42758</v>
      </c>
      <c r="J2097" s="88" t="s">
        <v>16</v>
      </c>
      <c r="K2097" s="88">
        <v>19.8</v>
      </c>
      <c r="L2097" s="88">
        <v>19.78</v>
      </c>
      <c r="M2097" s="88">
        <f t="shared" si="264"/>
        <v>19.78</v>
      </c>
      <c r="N2097" s="40">
        <f>+I2097+20-'V V F India Out Standing'!O110</f>
        <v>-138287</v>
      </c>
      <c r="O2097" s="88">
        <v>1088505</v>
      </c>
      <c r="P2097" s="26">
        <f t="shared" si="263"/>
        <v>1087405.5</v>
      </c>
      <c r="Q2097" s="225" t="s">
        <v>618</v>
      </c>
      <c r="R2097" s="210" t="s">
        <v>619</v>
      </c>
    </row>
    <row r="2098" spans="1:18" s="88" customFormat="1" hidden="1" x14ac:dyDescent="0.25">
      <c r="A2098" s="88">
        <v>1046</v>
      </c>
      <c r="B2098" s="213">
        <v>42765</v>
      </c>
      <c r="C2098" s="88">
        <v>103</v>
      </c>
      <c r="D2098" s="88">
        <v>3000038259</v>
      </c>
      <c r="E2098" s="88" t="s">
        <v>371</v>
      </c>
      <c r="F2098" s="88">
        <v>1113</v>
      </c>
      <c r="G2098" s="213">
        <v>42755</v>
      </c>
      <c r="H2098" s="213"/>
      <c r="I2098" s="213">
        <v>42758</v>
      </c>
      <c r="J2098" s="88" t="s">
        <v>61</v>
      </c>
      <c r="K2098" s="88">
        <v>16.05</v>
      </c>
      <c r="L2098" s="88">
        <v>16</v>
      </c>
      <c r="M2098" s="88">
        <f t="shared" si="264"/>
        <v>16</v>
      </c>
      <c r="N2098" s="40">
        <f>+I2098+20-'V V F India Out Standing'!O111</f>
        <v>-881331</v>
      </c>
      <c r="O2098" s="88">
        <v>1893900</v>
      </c>
      <c r="P2098" s="26">
        <f t="shared" si="263"/>
        <v>1888000</v>
      </c>
      <c r="Q2098" s="225" t="s">
        <v>618</v>
      </c>
      <c r="R2098" s="210" t="s">
        <v>619</v>
      </c>
    </row>
    <row r="2099" spans="1:18" s="88" customFormat="1" hidden="1" x14ac:dyDescent="0.25">
      <c r="A2099" s="53">
        <v>1047</v>
      </c>
      <c r="B2099" s="213">
        <v>42765</v>
      </c>
      <c r="C2099" s="88">
        <v>103</v>
      </c>
      <c r="D2099" s="88">
        <v>3000038259</v>
      </c>
      <c r="E2099" s="88" t="s">
        <v>371</v>
      </c>
      <c r="F2099" s="88">
        <v>1114</v>
      </c>
      <c r="G2099" s="213">
        <v>42755</v>
      </c>
      <c r="H2099" s="213"/>
      <c r="I2099" s="213">
        <v>42758</v>
      </c>
      <c r="J2099" s="88" t="s">
        <v>61</v>
      </c>
      <c r="K2099" s="88">
        <v>15.91</v>
      </c>
      <c r="L2099" s="88">
        <v>15.87</v>
      </c>
      <c r="M2099" s="88">
        <f t="shared" si="264"/>
        <v>15.87</v>
      </c>
      <c r="N2099" s="40">
        <f>+I2099+20-'V V F India Out Standing'!O112</f>
        <v>-1490627</v>
      </c>
      <c r="O2099" s="88">
        <v>1877380</v>
      </c>
      <c r="P2099" s="26">
        <f t="shared" si="263"/>
        <v>1872660</v>
      </c>
      <c r="Q2099" s="225" t="s">
        <v>618</v>
      </c>
      <c r="R2099" s="210" t="s">
        <v>619</v>
      </c>
    </row>
    <row r="2100" spans="1:18" s="88" customFormat="1" hidden="1" x14ac:dyDescent="0.25">
      <c r="A2100" s="88">
        <v>1042</v>
      </c>
      <c r="B2100" s="213">
        <v>42765</v>
      </c>
      <c r="C2100" s="88">
        <v>103</v>
      </c>
      <c r="D2100" s="88">
        <v>3000038048</v>
      </c>
      <c r="E2100" s="88" t="s">
        <v>579</v>
      </c>
      <c r="F2100" s="88">
        <v>336</v>
      </c>
      <c r="G2100" s="213">
        <v>42756</v>
      </c>
      <c r="H2100" s="213"/>
      <c r="I2100" s="213">
        <v>42759</v>
      </c>
      <c r="J2100" s="88" t="s">
        <v>16</v>
      </c>
      <c r="K2100" s="88">
        <v>20.5</v>
      </c>
      <c r="L2100" s="88">
        <v>20.47</v>
      </c>
      <c r="M2100" s="88">
        <f t="shared" si="264"/>
        <v>20.47</v>
      </c>
      <c r="N2100" s="40">
        <f>+I2100+20-'V V F India Out Standing'!O113</f>
        <v>-818951</v>
      </c>
      <c r="O2100" s="88">
        <v>1126988</v>
      </c>
      <c r="P2100" s="26">
        <f t="shared" si="263"/>
        <v>1125338.7492682927</v>
      </c>
      <c r="Q2100" s="225" t="s">
        <v>618</v>
      </c>
      <c r="R2100" s="210" t="s">
        <v>619</v>
      </c>
    </row>
    <row r="2101" spans="1:18" s="88" customFormat="1" hidden="1" x14ac:dyDescent="0.25">
      <c r="A2101" s="53">
        <v>1043</v>
      </c>
      <c r="B2101" s="213">
        <v>42765</v>
      </c>
      <c r="C2101" s="88">
        <v>103</v>
      </c>
      <c r="D2101" s="88">
        <v>3000038048</v>
      </c>
      <c r="E2101" s="88" t="s">
        <v>579</v>
      </c>
      <c r="F2101" s="88">
        <v>338</v>
      </c>
      <c r="G2101" s="213">
        <v>42756</v>
      </c>
      <c r="H2101" s="213"/>
      <c r="I2101" s="213">
        <v>42759</v>
      </c>
      <c r="J2101" s="88" t="s">
        <v>16</v>
      </c>
      <c r="K2101" s="88">
        <v>20.260000000000002</v>
      </c>
      <c r="L2101" s="88">
        <v>20.239999999999998</v>
      </c>
      <c r="M2101" s="88">
        <f t="shared" si="264"/>
        <v>20.239999999999998</v>
      </c>
      <c r="N2101" s="40">
        <f>+I2101+20-'V V F India Out Standing'!O114</f>
        <v>-620017</v>
      </c>
      <c r="O2101" s="88">
        <v>1113794</v>
      </c>
      <c r="P2101" s="26">
        <f t="shared" si="263"/>
        <v>1112694.4995064165</v>
      </c>
      <c r="Q2101" s="225" t="s">
        <v>618</v>
      </c>
      <c r="R2101" s="210" t="s">
        <v>619</v>
      </c>
    </row>
    <row r="2102" spans="1:18" s="88" customFormat="1" hidden="1" x14ac:dyDescent="0.25">
      <c r="A2102" s="88">
        <v>1044</v>
      </c>
      <c r="B2102" s="213">
        <v>42765</v>
      </c>
      <c r="C2102" s="88">
        <v>103</v>
      </c>
      <c r="D2102" s="88">
        <v>3000038259</v>
      </c>
      <c r="E2102" s="88" t="s">
        <v>371</v>
      </c>
      <c r="F2102" s="88">
        <v>1111</v>
      </c>
      <c r="G2102" s="213">
        <v>42755</v>
      </c>
      <c r="H2102" s="213"/>
      <c r="I2102" s="213">
        <v>42759</v>
      </c>
      <c r="J2102" s="88" t="s">
        <v>61</v>
      </c>
      <c r="K2102" s="88">
        <v>16.36</v>
      </c>
      <c r="L2102" s="88">
        <v>16.350000000000001</v>
      </c>
      <c r="M2102" s="88">
        <f t="shared" si="264"/>
        <v>16.350000000000001</v>
      </c>
      <c r="N2102" s="40">
        <f>+I2102+20-'V V F India Out Standing'!O115</f>
        <v>-860697</v>
      </c>
      <c r="O2102" s="88">
        <v>1930480</v>
      </c>
      <c r="P2102" s="26">
        <f t="shared" si="263"/>
        <v>1929300.0000000002</v>
      </c>
      <c r="Q2102" s="225" t="s">
        <v>618</v>
      </c>
      <c r="R2102" s="210" t="s">
        <v>619</v>
      </c>
    </row>
    <row r="2103" spans="1:18" s="88" customFormat="1" hidden="1" x14ac:dyDescent="0.25">
      <c r="A2103" s="53">
        <v>1094</v>
      </c>
      <c r="B2103" s="213">
        <v>42772</v>
      </c>
      <c r="C2103" s="88">
        <v>114</v>
      </c>
      <c r="D2103" s="88">
        <v>3000037473</v>
      </c>
      <c r="E2103" s="39" t="s">
        <v>30</v>
      </c>
      <c r="F2103" s="39">
        <v>620</v>
      </c>
      <c r="G2103" s="213">
        <v>42757</v>
      </c>
      <c r="H2103" s="213"/>
      <c r="I2103" s="213">
        <v>42764</v>
      </c>
      <c r="J2103" s="88" t="s">
        <v>229</v>
      </c>
      <c r="K2103" s="39">
        <v>30.23</v>
      </c>
      <c r="L2103" s="39">
        <v>30.05</v>
      </c>
      <c r="M2103" s="39">
        <v>30.05</v>
      </c>
      <c r="N2103" s="40">
        <f>+I2103+15-'27.03.2017 Allocation'!O25</f>
        <v>-1449856</v>
      </c>
      <c r="O2103" s="39">
        <v>1571960</v>
      </c>
      <c r="P2103" s="26">
        <f t="shared" si="263"/>
        <v>1562600</v>
      </c>
      <c r="Q2103" s="225" t="s">
        <v>618</v>
      </c>
      <c r="R2103" s="210" t="s">
        <v>619</v>
      </c>
    </row>
    <row r="2104" spans="1:18" s="88" customFormat="1" hidden="1" x14ac:dyDescent="0.25">
      <c r="A2104" s="53">
        <v>1049</v>
      </c>
      <c r="B2104" s="213">
        <v>42765</v>
      </c>
      <c r="C2104" s="88">
        <v>103</v>
      </c>
      <c r="D2104" s="88">
        <v>3000035954</v>
      </c>
      <c r="E2104" s="88" t="s">
        <v>580</v>
      </c>
      <c r="F2104" s="88">
        <v>26271</v>
      </c>
      <c r="G2104" s="213">
        <v>42758</v>
      </c>
      <c r="H2104" s="213"/>
      <c r="I2104" s="213">
        <v>42760</v>
      </c>
      <c r="J2104" s="88" t="s">
        <v>16</v>
      </c>
      <c r="K2104" s="88">
        <v>7.23</v>
      </c>
      <c r="L2104" s="88">
        <v>7.23</v>
      </c>
      <c r="M2104" s="88">
        <f t="shared" ref="M2104:M2109" si="265">IF(L2104&gt;K2104,K2104,L2104)</f>
        <v>7.23</v>
      </c>
      <c r="N2104" s="40">
        <f>+I2104+20-'V V F India Out Standing'!O123</f>
        <v>-122895</v>
      </c>
      <c r="O2104" s="88">
        <v>383669</v>
      </c>
      <c r="P2104" s="26">
        <f t="shared" si="263"/>
        <v>383669</v>
      </c>
      <c r="Q2104" s="225" t="s">
        <v>618</v>
      </c>
      <c r="R2104" s="210" t="s">
        <v>619</v>
      </c>
    </row>
    <row r="2105" spans="1:18" s="88" customFormat="1" hidden="1" x14ac:dyDescent="0.25">
      <c r="A2105" s="88">
        <v>1050</v>
      </c>
      <c r="B2105" s="213">
        <v>42765</v>
      </c>
      <c r="C2105" s="88">
        <v>103</v>
      </c>
      <c r="D2105" s="88">
        <v>3000036712</v>
      </c>
      <c r="E2105" s="88" t="s">
        <v>580</v>
      </c>
      <c r="F2105" s="88">
        <v>26270</v>
      </c>
      <c r="G2105" s="213">
        <v>42758</v>
      </c>
      <c r="H2105" s="213"/>
      <c r="I2105" s="213">
        <v>42760</v>
      </c>
      <c r="J2105" s="88" t="s">
        <v>16</v>
      </c>
      <c r="K2105" s="88">
        <v>7</v>
      </c>
      <c r="L2105" s="88">
        <v>7</v>
      </c>
      <c r="M2105" s="88">
        <f t="shared" si="265"/>
        <v>7</v>
      </c>
      <c r="N2105" s="40">
        <f>+I2105+20-'V V F India Out Standing'!O124</f>
        <v>-923808.75</v>
      </c>
      <c r="O2105" s="88">
        <v>383985</v>
      </c>
      <c r="P2105" s="26">
        <f t="shared" si="263"/>
        <v>383985</v>
      </c>
      <c r="Q2105" s="225" t="s">
        <v>618</v>
      </c>
      <c r="R2105" s="210" t="s">
        <v>619</v>
      </c>
    </row>
    <row r="2106" spans="1:18" s="88" customFormat="1" hidden="1" x14ac:dyDescent="0.25">
      <c r="A2106" s="53">
        <v>1051</v>
      </c>
      <c r="B2106" s="213">
        <v>42765</v>
      </c>
      <c r="C2106" s="88">
        <v>103</v>
      </c>
      <c r="D2106" s="88">
        <v>3000035639</v>
      </c>
      <c r="E2106" s="88" t="s">
        <v>580</v>
      </c>
      <c r="F2106" s="88">
        <v>26269</v>
      </c>
      <c r="G2106" s="213">
        <v>42758</v>
      </c>
      <c r="H2106" s="213"/>
      <c r="I2106" s="213">
        <v>42760</v>
      </c>
      <c r="J2106" s="88" t="s">
        <v>16</v>
      </c>
      <c r="K2106" s="88">
        <v>10</v>
      </c>
      <c r="L2106" s="88">
        <v>10</v>
      </c>
      <c r="M2106" s="88">
        <f t="shared" si="265"/>
        <v>10</v>
      </c>
      <c r="N2106" s="40">
        <f>+I2106+20-'V V F India Out Standing'!O125</f>
        <v>-1388700</v>
      </c>
      <c r="O2106" s="88">
        <v>500850</v>
      </c>
      <c r="P2106" s="26">
        <f t="shared" si="263"/>
        <v>500850</v>
      </c>
      <c r="Q2106" s="225" t="s">
        <v>618</v>
      </c>
      <c r="R2106" s="210" t="s">
        <v>619</v>
      </c>
    </row>
    <row r="2107" spans="1:18" s="88" customFormat="1" hidden="1" x14ac:dyDescent="0.25">
      <c r="A2107" s="88">
        <v>1061</v>
      </c>
      <c r="B2107" s="213">
        <v>42766</v>
      </c>
      <c r="C2107" s="88">
        <v>103</v>
      </c>
      <c r="D2107" s="88">
        <v>3000038048</v>
      </c>
      <c r="E2107" s="88" t="s">
        <v>579</v>
      </c>
      <c r="F2107" s="88">
        <v>337</v>
      </c>
      <c r="G2107" s="213">
        <v>42756</v>
      </c>
      <c r="H2107" s="213"/>
      <c r="I2107" s="213">
        <v>42760</v>
      </c>
      <c r="J2107" s="88" t="s">
        <v>16</v>
      </c>
      <c r="K2107" s="88">
        <v>20.309999999999999</v>
      </c>
      <c r="L2107" s="88">
        <v>20.27</v>
      </c>
      <c r="M2107" s="88">
        <f t="shared" si="265"/>
        <v>20.27</v>
      </c>
      <c r="N2107" s="40">
        <f>+I2107+20-'V V F India Out Standing'!O127</f>
        <v>-1107673</v>
      </c>
      <c r="O2107" s="88">
        <v>1116542</v>
      </c>
      <c r="P2107" s="26">
        <f t="shared" si="263"/>
        <v>1114343.0004923684</v>
      </c>
      <c r="Q2107" s="225" t="s">
        <v>618</v>
      </c>
      <c r="R2107" s="210" t="s">
        <v>619</v>
      </c>
    </row>
    <row r="2108" spans="1:18" s="88" customFormat="1" hidden="1" x14ac:dyDescent="0.25">
      <c r="A2108" s="53">
        <v>1062</v>
      </c>
      <c r="B2108" s="213">
        <v>42766</v>
      </c>
      <c r="C2108" s="88">
        <v>103</v>
      </c>
      <c r="D2108" s="88">
        <v>3000038048</v>
      </c>
      <c r="E2108" s="88" t="s">
        <v>579</v>
      </c>
      <c r="F2108" s="88">
        <v>339</v>
      </c>
      <c r="G2108" s="213">
        <v>42756</v>
      </c>
      <c r="H2108" s="213"/>
      <c r="I2108" s="213">
        <v>42760</v>
      </c>
      <c r="J2108" s="88" t="s">
        <v>16</v>
      </c>
      <c r="K2108" s="88">
        <v>21.15</v>
      </c>
      <c r="L2108" s="88">
        <v>21.11</v>
      </c>
      <c r="M2108" s="88">
        <f t="shared" si="265"/>
        <v>21.11</v>
      </c>
      <c r="N2108" s="40">
        <f>+I2108+20-'27.03.2017 Allocation'!O4</f>
        <v>-271500</v>
      </c>
      <c r="O2108" s="88">
        <v>1162721</v>
      </c>
      <c r="P2108" s="26">
        <f t="shared" si="263"/>
        <v>1160522.0004728131</v>
      </c>
      <c r="Q2108" s="225" t="s">
        <v>618</v>
      </c>
      <c r="R2108" s="210" t="s">
        <v>619</v>
      </c>
    </row>
    <row r="2109" spans="1:18" s="88" customFormat="1" hidden="1" x14ac:dyDescent="0.25">
      <c r="A2109" s="53">
        <v>1024</v>
      </c>
      <c r="B2109" s="213">
        <v>42755</v>
      </c>
      <c r="C2109" s="88">
        <v>114</v>
      </c>
      <c r="D2109" s="88">
        <v>3000036564</v>
      </c>
      <c r="E2109" s="88" t="s">
        <v>348</v>
      </c>
      <c r="F2109" s="88">
        <v>294</v>
      </c>
      <c r="G2109" s="213">
        <v>42739</v>
      </c>
      <c r="H2109" s="213"/>
      <c r="I2109" s="213">
        <v>42748</v>
      </c>
      <c r="J2109" s="88" t="s">
        <v>8</v>
      </c>
      <c r="K2109" s="88">
        <v>18.75</v>
      </c>
      <c r="L2109" s="88">
        <v>18.75</v>
      </c>
      <c r="M2109" s="88">
        <f t="shared" si="265"/>
        <v>18.75</v>
      </c>
      <c r="N2109" s="40">
        <f>+I2109+15-1</f>
        <v>42762</v>
      </c>
      <c r="O2109" s="88">
        <v>1050000</v>
      </c>
      <c r="P2109" s="26">
        <f>(+O2109/K2109*M2109)</f>
        <v>1050000</v>
      </c>
      <c r="Q2109" s="225" t="s">
        <v>618</v>
      </c>
      <c r="R2109" s="210" t="s">
        <v>622</v>
      </c>
    </row>
    <row r="2110" spans="1:18" s="1" customFormat="1" hidden="1" x14ac:dyDescent="0.25">
      <c r="A2110" s="84"/>
      <c r="B2110" s="204">
        <v>42782</v>
      </c>
      <c r="C2110" s="5">
        <v>103</v>
      </c>
      <c r="D2110" s="1">
        <v>3000038267</v>
      </c>
      <c r="E2110" s="8" t="s">
        <v>596</v>
      </c>
      <c r="F2110" s="1">
        <v>1611610756</v>
      </c>
      <c r="G2110" s="204">
        <v>42773</v>
      </c>
      <c r="H2110" s="204"/>
      <c r="I2110" s="204">
        <v>42773</v>
      </c>
      <c r="J2110" s="1" t="s">
        <v>16</v>
      </c>
      <c r="K2110" s="1">
        <v>22.65</v>
      </c>
      <c r="L2110" s="1">
        <v>22.65</v>
      </c>
      <c r="M2110" s="5">
        <f>IF(L2110&gt;K2110,K2110,L2110)</f>
        <v>22.65</v>
      </c>
      <c r="N2110" s="66">
        <f>+I2110+20-O69545</f>
        <v>42793</v>
      </c>
      <c r="O2110" s="1">
        <v>1151396</v>
      </c>
      <c r="P2110" s="38">
        <f t="shared" ref="P2110:P2119" si="266">(+O2110/K2110*M2110)</f>
        <v>1151396</v>
      </c>
      <c r="Q2110" s="225"/>
    </row>
    <row r="2111" spans="1:18" s="1" customFormat="1" hidden="1" x14ac:dyDescent="0.25">
      <c r="A2111" s="84"/>
      <c r="B2111" s="204">
        <v>42782</v>
      </c>
      <c r="C2111" s="5">
        <v>103</v>
      </c>
      <c r="D2111" s="1">
        <v>3000038281</v>
      </c>
      <c r="E2111" s="8" t="s">
        <v>623</v>
      </c>
      <c r="F2111" s="1">
        <v>27893</v>
      </c>
      <c r="G2111" s="204">
        <v>42775</v>
      </c>
      <c r="H2111" s="204"/>
      <c r="I2111" s="204">
        <v>42775</v>
      </c>
      <c r="J2111" s="1" t="s">
        <v>16</v>
      </c>
      <c r="K2111" s="1">
        <v>23.48</v>
      </c>
      <c r="L2111" s="1">
        <v>23.48</v>
      </c>
      <c r="M2111" s="5">
        <f t="shared" ref="M2111:M2119" si="267">IF(L2111&gt;K2111,K2111,L2111)</f>
        <v>23.48</v>
      </c>
      <c r="N2111" s="66">
        <f>+I2111+20-O69546</f>
        <v>42795</v>
      </c>
      <c r="O2111" s="1">
        <v>1346795</v>
      </c>
      <c r="P2111" s="38">
        <f t="shared" si="266"/>
        <v>1346795</v>
      </c>
      <c r="Q2111" s="225"/>
    </row>
    <row r="2112" spans="1:18" s="1" customFormat="1" hidden="1" x14ac:dyDescent="0.25">
      <c r="A2112" s="84"/>
      <c r="B2112" s="204">
        <v>42782</v>
      </c>
      <c r="C2112" s="5">
        <v>103</v>
      </c>
      <c r="D2112" s="1">
        <v>3000038281</v>
      </c>
      <c r="E2112" s="8" t="s">
        <v>623</v>
      </c>
      <c r="F2112" s="1">
        <v>27894</v>
      </c>
      <c r="G2112" s="204">
        <v>42775</v>
      </c>
      <c r="H2112" s="204"/>
      <c r="I2112" s="204">
        <v>42775</v>
      </c>
      <c r="J2112" s="1" t="s">
        <v>16</v>
      </c>
      <c r="K2112" s="1">
        <v>25</v>
      </c>
      <c r="L2112" s="1">
        <v>25</v>
      </c>
      <c r="M2112" s="5">
        <f t="shared" si="267"/>
        <v>25</v>
      </c>
      <c r="N2112" s="66">
        <f>+I2112+20-O69547</f>
        <v>42795</v>
      </c>
      <c r="O2112" s="1">
        <v>1433981</v>
      </c>
      <c r="P2112" s="38">
        <f t="shared" si="266"/>
        <v>1433981</v>
      </c>
      <c r="Q2112" s="225"/>
    </row>
    <row r="2113" spans="1:19" s="1" customFormat="1" hidden="1" x14ac:dyDescent="0.25">
      <c r="A2113" s="84"/>
      <c r="B2113" s="204">
        <v>42782</v>
      </c>
      <c r="C2113" s="5">
        <v>103</v>
      </c>
      <c r="D2113" s="1">
        <v>3000038281</v>
      </c>
      <c r="E2113" s="8" t="s">
        <v>623</v>
      </c>
      <c r="F2113" s="1">
        <v>27902</v>
      </c>
      <c r="G2113" s="204">
        <v>42776</v>
      </c>
      <c r="H2113" s="204"/>
      <c r="I2113" s="204">
        <v>42776</v>
      </c>
      <c r="J2113" s="1" t="s">
        <v>16</v>
      </c>
      <c r="K2113" s="1">
        <v>23.95</v>
      </c>
      <c r="L2113" s="1">
        <v>23.95</v>
      </c>
      <c r="M2113" s="5">
        <f t="shared" si="267"/>
        <v>23.95</v>
      </c>
      <c r="N2113" s="66">
        <f>+I2113+20-O69548</f>
        <v>42796</v>
      </c>
      <c r="O2113" s="1">
        <v>1373754</v>
      </c>
      <c r="P2113" s="38">
        <f t="shared" si="266"/>
        <v>1373754</v>
      </c>
      <c r="Q2113" s="225"/>
    </row>
    <row r="2114" spans="1:19" s="1" customFormat="1" hidden="1" x14ac:dyDescent="0.25">
      <c r="A2114" s="84"/>
      <c r="B2114" s="204">
        <v>42782</v>
      </c>
      <c r="C2114" s="5">
        <v>103</v>
      </c>
      <c r="D2114" s="1">
        <v>3000038281</v>
      </c>
      <c r="E2114" s="8" t="s">
        <v>623</v>
      </c>
      <c r="F2114" s="1">
        <v>28023</v>
      </c>
      <c r="G2114" s="204">
        <v>42777</v>
      </c>
      <c r="H2114" s="204"/>
      <c r="I2114" s="204">
        <v>42777</v>
      </c>
      <c r="J2114" s="1" t="s">
        <v>16</v>
      </c>
      <c r="K2114" s="1">
        <v>24.97</v>
      </c>
      <c r="L2114" s="1">
        <v>24.97</v>
      </c>
      <c r="M2114" s="5">
        <f t="shared" si="267"/>
        <v>24.97</v>
      </c>
      <c r="N2114" s="66">
        <f>+I2114+20-O69549</f>
        <v>42797</v>
      </c>
      <c r="O2114" s="1">
        <v>1432260</v>
      </c>
      <c r="P2114" s="38">
        <f t="shared" si="266"/>
        <v>1432260</v>
      </c>
      <c r="Q2114" s="225"/>
    </row>
    <row r="2115" spans="1:19" s="1" customFormat="1" hidden="1" x14ac:dyDescent="0.25">
      <c r="A2115" s="84"/>
      <c r="B2115" s="204">
        <v>42786</v>
      </c>
      <c r="C2115" s="1">
        <v>103</v>
      </c>
      <c r="D2115" s="1">
        <v>3000038267</v>
      </c>
      <c r="E2115" s="8" t="s">
        <v>596</v>
      </c>
      <c r="F2115" s="1">
        <v>1611610822</v>
      </c>
      <c r="G2115" s="204">
        <v>42776</v>
      </c>
      <c r="H2115" s="204"/>
      <c r="I2115" s="204">
        <v>42776</v>
      </c>
      <c r="J2115" s="1" t="s">
        <v>16</v>
      </c>
      <c r="K2115" s="1">
        <v>16.760000000000002</v>
      </c>
      <c r="L2115" s="1">
        <v>16.760000000000002</v>
      </c>
      <c r="M2115" s="5">
        <f t="shared" si="267"/>
        <v>16.760000000000002</v>
      </c>
      <c r="N2115" s="66">
        <f>+I2115+20-O69549</f>
        <v>42796</v>
      </c>
      <c r="O2115" s="1">
        <v>851982</v>
      </c>
      <c r="P2115" s="38">
        <f t="shared" si="266"/>
        <v>851982</v>
      </c>
      <c r="Q2115" s="225"/>
    </row>
    <row r="2116" spans="1:19" s="1" customFormat="1" hidden="1" x14ac:dyDescent="0.25">
      <c r="A2116" s="84"/>
      <c r="B2116" s="204">
        <v>42786</v>
      </c>
      <c r="C2116" s="1">
        <v>103</v>
      </c>
      <c r="D2116" s="1">
        <v>3000038281</v>
      </c>
      <c r="E2116" s="8" t="s">
        <v>623</v>
      </c>
      <c r="F2116" s="1">
        <v>28372</v>
      </c>
      <c r="G2116" s="213">
        <v>42781</v>
      </c>
      <c r="H2116" s="213"/>
      <c r="I2116" s="204">
        <v>42781</v>
      </c>
      <c r="J2116" s="1" t="s">
        <v>16</v>
      </c>
      <c r="K2116" s="1">
        <v>24.3</v>
      </c>
      <c r="L2116" s="1">
        <v>24.3</v>
      </c>
      <c r="M2116" s="5">
        <f t="shared" si="267"/>
        <v>24.3</v>
      </c>
      <c r="N2116" s="66">
        <f>+I2116+20-O69550</f>
        <v>42801</v>
      </c>
      <c r="O2116" s="1">
        <v>1393830</v>
      </c>
      <c r="P2116" s="38">
        <f t="shared" si="266"/>
        <v>1393830</v>
      </c>
      <c r="Q2116" s="225"/>
    </row>
    <row r="2117" spans="1:19" s="1" customFormat="1" hidden="1" x14ac:dyDescent="0.25">
      <c r="A2117" s="84"/>
      <c r="B2117" s="204">
        <v>42786</v>
      </c>
      <c r="C2117" s="1">
        <v>103</v>
      </c>
      <c r="D2117" s="1">
        <v>3000038281</v>
      </c>
      <c r="E2117" s="8" t="s">
        <v>623</v>
      </c>
      <c r="F2117" s="1">
        <v>28410</v>
      </c>
      <c r="G2117" s="213">
        <v>42781</v>
      </c>
      <c r="H2117" s="213"/>
      <c r="I2117" s="204">
        <v>42781</v>
      </c>
      <c r="J2117" s="1" t="s">
        <v>16</v>
      </c>
      <c r="K2117" s="1">
        <v>21.86</v>
      </c>
      <c r="L2117" s="1">
        <v>21.86</v>
      </c>
      <c r="M2117" s="5">
        <f t="shared" si="267"/>
        <v>21.86</v>
      </c>
      <c r="N2117" s="66">
        <f>+I2117+20-O69551</f>
        <v>42801</v>
      </c>
      <c r="O2117" s="1">
        <v>1253873</v>
      </c>
      <c r="P2117" s="38">
        <f t="shared" si="266"/>
        <v>1253873</v>
      </c>
      <c r="Q2117" s="225"/>
    </row>
    <row r="2118" spans="1:19" s="1" customFormat="1" hidden="1" x14ac:dyDescent="0.25">
      <c r="A2118" s="84"/>
      <c r="B2118" s="204">
        <v>42786</v>
      </c>
      <c r="C2118" s="1">
        <v>103</v>
      </c>
      <c r="D2118" s="1">
        <v>3000038281</v>
      </c>
      <c r="E2118" s="8" t="s">
        <v>623</v>
      </c>
      <c r="F2118" s="1">
        <v>28420</v>
      </c>
      <c r="G2118" s="213">
        <v>42782</v>
      </c>
      <c r="H2118" s="213"/>
      <c r="I2118" s="204">
        <v>42782</v>
      </c>
      <c r="J2118" s="1" t="s">
        <v>16</v>
      </c>
      <c r="K2118" s="1">
        <v>25.55</v>
      </c>
      <c r="L2118" s="1">
        <v>25.55</v>
      </c>
      <c r="M2118" s="5">
        <f t="shared" si="267"/>
        <v>25.55</v>
      </c>
      <c r="N2118" s="66">
        <f>+I2118+20-O69552</f>
        <v>42802</v>
      </c>
      <c r="O2118" s="1">
        <v>1465529</v>
      </c>
      <c r="P2118" s="38">
        <f t="shared" si="266"/>
        <v>1465529</v>
      </c>
      <c r="Q2118" s="225"/>
    </row>
    <row r="2119" spans="1:19" s="1" customFormat="1" hidden="1" x14ac:dyDescent="0.25">
      <c r="A2119" s="84"/>
      <c r="B2119" s="204">
        <v>42786</v>
      </c>
      <c r="C2119" s="1">
        <v>103</v>
      </c>
      <c r="D2119" s="1">
        <v>3000038281</v>
      </c>
      <c r="E2119" s="8" t="s">
        <v>623</v>
      </c>
      <c r="F2119" s="1">
        <v>28439</v>
      </c>
      <c r="G2119" s="213">
        <v>42782</v>
      </c>
      <c r="H2119" s="213"/>
      <c r="I2119" s="204">
        <v>42782</v>
      </c>
      <c r="J2119" s="1" t="s">
        <v>16</v>
      </c>
      <c r="K2119" s="1">
        <v>19.8</v>
      </c>
      <c r="L2119" s="1">
        <v>19.8</v>
      </c>
      <c r="M2119" s="5">
        <f t="shared" si="267"/>
        <v>19.8</v>
      </c>
      <c r="N2119" s="66">
        <f>+I2119+20-O69553</f>
        <v>42802</v>
      </c>
      <c r="O2119" s="1">
        <v>1135713</v>
      </c>
      <c r="P2119" s="38">
        <f t="shared" si="266"/>
        <v>1135713</v>
      </c>
      <c r="Q2119" s="225"/>
    </row>
    <row r="2120" spans="1:19" s="1" customFormat="1" hidden="1" x14ac:dyDescent="0.25">
      <c r="A2120" s="1">
        <v>1059</v>
      </c>
      <c r="B2120" s="204">
        <v>42766</v>
      </c>
      <c r="C2120" s="1">
        <v>114</v>
      </c>
      <c r="D2120" s="1">
        <v>3000036345</v>
      </c>
      <c r="E2120" s="1" t="s">
        <v>44</v>
      </c>
      <c r="F2120" s="16">
        <v>123</v>
      </c>
      <c r="G2120" s="204">
        <v>42738</v>
      </c>
      <c r="H2120" s="204"/>
      <c r="I2120" s="204">
        <v>42760</v>
      </c>
      <c r="J2120" s="1" t="s">
        <v>8</v>
      </c>
      <c r="K2120" s="1">
        <v>17.2</v>
      </c>
      <c r="L2120" s="1">
        <v>17.2</v>
      </c>
      <c r="M2120" s="1">
        <f>IF(L2120&gt;K2120,K2120,L2120)</f>
        <v>17.2</v>
      </c>
      <c r="N2120" s="66">
        <f>+I2120+15-'V V F India Out Standing'!O104</f>
        <v>-737865</v>
      </c>
      <c r="O2120" s="1">
        <v>949440</v>
      </c>
      <c r="P2120" s="36">
        <f t="shared" ref="P2120:P2130" si="268">(+O2120/K2120*M2120)</f>
        <v>949440</v>
      </c>
      <c r="Q2120" s="204">
        <v>42789</v>
      </c>
      <c r="R2120" s="204">
        <v>42793</v>
      </c>
      <c r="S2120" s="230">
        <f t="shared" ref="S2120:S2151" si="269">R2120-N2120</f>
        <v>780658</v>
      </c>
    </row>
    <row r="2121" spans="1:19" s="1" customFormat="1" hidden="1" x14ac:dyDescent="0.25">
      <c r="A2121" s="13">
        <v>1060</v>
      </c>
      <c r="B2121" s="204">
        <v>42766</v>
      </c>
      <c r="C2121" s="1">
        <v>114</v>
      </c>
      <c r="D2121" s="1">
        <v>3000036562</v>
      </c>
      <c r="E2121" s="1" t="s">
        <v>44</v>
      </c>
      <c r="F2121" s="16">
        <v>123</v>
      </c>
      <c r="G2121" s="204">
        <v>42738</v>
      </c>
      <c r="H2121" s="204"/>
      <c r="I2121" s="204">
        <v>42760</v>
      </c>
      <c r="J2121" s="1" t="s">
        <v>8</v>
      </c>
      <c r="K2121" s="1">
        <v>14</v>
      </c>
      <c r="L2121" s="1">
        <v>13.75</v>
      </c>
      <c r="M2121" s="1">
        <f>IF(L2121&gt;K2121,K2121,L2121)</f>
        <v>13.75</v>
      </c>
      <c r="N2121" s="66">
        <f>+I2121+15-'V V F India Out Standing'!O105</f>
        <v>-1361225</v>
      </c>
      <c r="O2121" s="1">
        <v>784000</v>
      </c>
      <c r="P2121" s="36">
        <f t="shared" si="268"/>
        <v>770000</v>
      </c>
      <c r="Q2121" s="204">
        <v>42789</v>
      </c>
      <c r="R2121" s="204">
        <v>42793</v>
      </c>
      <c r="S2121" s="230">
        <f t="shared" si="269"/>
        <v>1404018</v>
      </c>
    </row>
    <row r="2122" spans="1:19" s="1" customFormat="1" hidden="1" x14ac:dyDescent="0.25">
      <c r="A2122" s="3">
        <v>1045</v>
      </c>
      <c r="B2122" s="204">
        <v>42765</v>
      </c>
      <c r="C2122" s="1">
        <v>103</v>
      </c>
      <c r="D2122" s="1">
        <v>3000038259</v>
      </c>
      <c r="E2122" s="1" t="s">
        <v>371</v>
      </c>
      <c r="F2122" s="1">
        <v>1112</v>
      </c>
      <c r="G2122" s="204">
        <v>42755</v>
      </c>
      <c r="H2122" s="204"/>
      <c r="I2122" s="204">
        <v>42759</v>
      </c>
      <c r="J2122" s="1" t="s">
        <v>61</v>
      </c>
      <c r="K2122" s="1">
        <v>15.98</v>
      </c>
      <c r="L2122" s="1">
        <v>15.95</v>
      </c>
      <c r="M2122" s="1">
        <f>IF(L2122&gt;K2122,K2122,L2122)</f>
        <v>15.95</v>
      </c>
      <c r="N2122" s="66">
        <f>+I2122+20-'V V F India Out Standing'!O2216</f>
        <v>42779</v>
      </c>
      <c r="O2122" s="1">
        <v>1885640</v>
      </c>
      <c r="P2122" s="36">
        <f t="shared" si="268"/>
        <v>1882100</v>
      </c>
      <c r="Q2122" s="204">
        <v>42789</v>
      </c>
      <c r="R2122" s="204">
        <v>42793</v>
      </c>
      <c r="S2122" s="230">
        <f t="shared" si="269"/>
        <v>14</v>
      </c>
    </row>
    <row r="2123" spans="1:19" s="1" customFormat="1" ht="13.5" hidden="1" customHeight="1" x14ac:dyDescent="0.25">
      <c r="A2123" s="1">
        <v>1055</v>
      </c>
      <c r="B2123" s="204">
        <v>42766</v>
      </c>
      <c r="C2123" s="1">
        <v>114</v>
      </c>
      <c r="D2123" s="1">
        <v>3000035804</v>
      </c>
      <c r="E2123" s="1" t="s">
        <v>49</v>
      </c>
      <c r="F2123" s="16">
        <v>45</v>
      </c>
      <c r="G2123" s="204">
        <v>42747</v>
      </c>
      <c r="H2123" s="204"/>
      <c r="I2123" s="204">
        <v>42759</v>
      </c>
      <c r="J2123" s="1" t="s">
        <v>8</v>
      </c>
      <c r="K2123" s="1">
        <v>16.11</v>
      </c>
      <c r="L2123" s="1">
        <v>15.87</v>
      </c>
      <c r="M2123" s="1">
        <f>IF(L2123&gt;K2123,K2123,L2123)</f>
        <v>15.87</v>
      </c>
      <c r="N2123" s="66">
        <f>+I2123+20-'V V F India Out Standing'!O2219</f>
        <v>42779</v>
      </c>
      <c r="O2123" s="1">
        <v>906993</v>
      </c>
      <c r="P2123" s="36">
        <f t="shared" si="268"/>
        <v>893481</v>
      </c>
      <c r="Q2123" s="204">
        <v>42789</v>
      </c>
      <c r="R2123" s="204">
        <v>42793</v>
      </c>
      <c r="S2123" s="230">
        <f t="shared" si="269"/>
        <v>14</v>
      </c>
    </row>
    <row r="2124" spans="1:19" s="1" customFormat="1" hidden="1" x14ac:dyDescent="0.25">
      <c r="A2124" s="84">
        <v>1056</v>
      </c>
      <c r="B2124" s="204">
        <v>42766</v>
      </c>
      <c r="C2124" s="1">
        <v>114</v>
      </c>
      <c r="D2124" s="1">
        <v>3000036794</v>
      </c>
      <c r="E2124" s="1" t="s">
        <v>49</v>
      </c>
      <c r="F2124" s="16">
        <v>46</v>
      </c>
      <c r="G2124" s="204">
        <v>42747</v>
      </c>
      <c r="H2124" s="204"/>
      <c r="I2124" s="204">
        <v>42759</v>
      </c>
      <c r="J2124" s="1" t="s">
        <v>8</v>
      </c>
      <c r="K2124" s="1">
        <v>11.4</v>
      </c>
      <c r="L2124" s="1">
        <v>11.4</v>
      </c>
      <c r="M2124" s="1">
        <f>IF(L2124&gt;K2124,K2124,L2124)</f>
        <v>11.4</v>
      </c>
      <c r="N2124" s="66">
        <f>+I2124+20-'V V F India Out Standing'!O2220</f>
        <v>42779</v>
      </c>
      <c r="O2124" s="1">
        <v>630420</v>
      </c>
      <c r="P2124" s="36">
        <f t="shared" si="268"/>
        <v>630420</v>
      </c>
      <c r="Q2124" s="204">
        <v>42789</v>
      </c>
      <c r="R2124" s="204">
        <v>42793</v>
      </c>
      <c r="S2124" s="230">
        <f t="shared" si="269"/>
        <v>14</v>
      </c>
    </row>
    <row r="2125" spans="1:19" s="1" customFormat="1" hidden="1" x14ac:dyDescent="0.25">
      <c r="A2125" s="84">
        <v>1098</v>
      </c>
      <c r="B2125" s="204">
        <v>42772</v>
      </c>
      <c r="C2125" s="5">
        <v>114</v>
      </c>
      <c r="D2125" s="5">
        <v>3000034602</v>
      </c>
      <c r="E2125" s="5" t="s">
        <v>599</v>
      </c>
      <c r="F2125" s="5">
        <v>3301</v>
      </c>
      <c r="G2125" s="204">
        <v>42756</v>
      </c>
      <c r="H2125" s="204"/>
      <c r="I2125" s="204">
        <v>42765</v>
      </c>
      <c r="J2125" s="1" t="s">
        <v>16</v>
      </c>
      <c r="K2125" s="5">
        <v>15</v>
      </c>
      <c r="L2125" s="5">
        <v>15</v>
      </c>
      <c r="M2125" s="5">
        <v>15</v>
      </c>
      <c r="N2125" s="211">
        <f>+I2125+15-1</f>
        <v>42779</v>
      </c>
      <c r="O2125" s="5">
        <v>841500</v>
      </c>
      <c r="P2125" s="36">
        <f t="shared" si="268"/>
        <v>841500</v>
      </c>
      <c r="Q2125" s="204">
        <v>42789</v>
      </c>
      <c r="R2125" s="204">
        <v>42793</v>
      </c>
      <c r="S2125" s="230">
        <f t="shared" si="269"/>
        <v>14</v>
      </c>
    </row>
    <row r="2126" spans="1:19" s="1" customFormat="1" hidden="1" x14ac:dyDescent="0.25">
      <c r="A2126" s="84">
        <v>1098</v>
      </c>
      <c r="B2126" s="204">
        <v>42772</v>
      </c>
      <c r="C2126" s="1">
        <v>114</v>
      </c>
      <c r="D2126" s="1">
        <v>3000034731</v>
      </c>
      <c r="E2126" s="1" t="s">
        <v>599</v>
      </c>
      <c r="F2126" s="5">
        <v>3301</v>
      </c>
      <c r="G2126" s="204">
        <v>42756</v>
      </c>
      <c r="H2126" s="204"/>
      <c r="I2126" s="204">
        <v>42765</v>
      </c>
      <c r="J2126" s="1" t="s">
        <v>16</v>
      </c>
      <c r="K2126" s="5">
        <v>13.484999999999999</v>
      </c>
      <c r="L2126" s="5">
        <v>12.8</v>
      </c>
      <c r="M2126" s="5">
        <v>12.8</v>
      </c>
      <c r="N2126" s="211">
        <f>+I2126+15-1</f>
        <v>42779</v>
      </c>
      <c r="O2126" s="5">
        <v>768645</v>
      </c>
      <c r="P2126" s="36">
        <f t="shared" si="268"/>
        <v>729600</v>
      </c>
      <c r="Q2126" s="204">
        <v>42789</v>
      </c>
      <c r="R2126" s="204">
        <v>42793</v>
      </c>
      <c r="S2126" s="230">
        <f t="shared" si="269"/>
        <v>14</v>
      </c>
    </row>
    <row r="2127" spans="1:19" s="3" customFormat="1" hidden="1" x14ac:dyDescent="0.25">
      <c r="A2127" s="1">
        <v>1073</v>
      </c>
      <c r="B2127" s="204">
        <v>42768</v>
      </c>
      <c r="C2127" s="1">
        <v>103</v>
      </c>
      <c r="D2127" s="1">
        <v>3000038297</v>
      </c>
      <c r="E2127" s="1" t="s">
        <v>201</v>
      </c>
      <c r="F2127" s="1">
        <v>325</v>
      </c>
      <c r="G2127" s="204">
        <v>42758</v>
      </c>
      <c r="H2127" s="204"/>
      <c r="I2127" s="204">
        <v>42763</v>
      </c>
      <c r="J2127" s="1" t="s">
        <v>61</v>
      </c>
      <c r="K2127" s="1">
        <v>24.31</v>
      </c>
      <c r="L2127" s="1">
        <v>24.25</v>
      </c>
      <c r="M2127" s="1">
        <f>IF(L2127&gt;K2127,K2127,L2127)</f>
        <v>24.25</v>
      </c>
      <c r="N2127" s="66">
        <f>+I2127+20-'V V F India Out Standing'!O2240</f>
        <v>42783</v>
      </c>
      <c r="O2127" s="1">
        <v>2820567</v>
      </c>
      <c r="P2127" s="36">
        <f t="shared" si="268"/>
        <v>2813605.5018510902</v>
      </c>
      <c r="Q2127" s="204">
        <v>42789</v>
      </c>
      <c r="R2127" s="204">
        <v>42793</v>
      </c>
      <c r="S2127" s="230">
        <f t="shared" si="269"/>
        <v>10</v>
      </c>
    </row>
    <row r="2128" spans="1:19" s="3" customFormat="1" hidden="1" x14ac:dyDescent="0.25">
      <c r="A2128" s="84"/>
      <c r="B2128" s="204">
        <v>42779</v>
      </c>
      <c r="C2128" s="5">
        <v>114</v>
      </c>
      <c r="D2128" s="5">
        <v>3000038233</v>
      </c>
      <c r="E2128" s="5" t="s">
        <v>30</v>
      </c>
      <c r="F2128" s="5">
        <v>672</v>
      </c>
      <c r="G2128" s="204">
        <v>42768</v>
      </c>
      <c r="H2128" s="204"/>
      <c r="I2128" s="204">
        <v>42771</v>
      </c>
      <c r="J2128" s="1" t="s">
        <v>229</v>
      </c>
      <c r="K2128" s="5">
        <v>27.82</v>
      </c>
      <c r="L2128" s="5">
        <v>27.72</v>
      </c>
      <c r="M2128" s="5">
        <v>27.72</v>
      </c>
      <c r="N2128" s="66">
        <f>+I2128+15-'V V F India Out Standing'!O2251</f>
        <v>42786</v>
      </c>
      <c r="O2128" s="5">
        <v>1432730</v>
      </c>
      <c r="P2128" s="36">
        <f t="shared" si="268"/>
        <v>1427580</v>
      </c>
      <c r="Q2128" s="204">
        <v>42789</v>
      </c>
      <c r="R2128" s="204">
        <v>42793</v>
      </c>
      <c r="S2128" s="230">
        <f t="shared" si="269"/>
        <v>7</v>
      </c>
    </row>
    <row r="2129" spans="1:19" s="3" customFormat="1" hidden="1" x14ac:dyDescent="0.25">
      <c r="A2129" s="1">
        <v>1081</v>
      </c>
      <c r="B2129" s="204">
        <v>42768</v>
      </c>
      <c r="C2129" s="1">
        <v>103</v>
      </c>
      <c r="D2129" s="1">
        <v>3000038374</v>
      </c>
      <c r="E2129" s="1" t="s">
        <v>456</v>
      </c>
      <c r="F2129" s="1">
        <v>89</v>
      </c>
      <c r="G2129" s="204">
        <v>42761</v>
      </c>
      <c r="H2129" s="204"/>
      <c r="I2129" s="204">
        <v>42767</v>
      </c>
      <c r="J2129" s="1" t="s">
        <v>61</v>
      </c>
      <c r="K2129" s="1">
        <v>19.649999999999999</v>
      </c>
      <c r="L2129" s="1">
        <v>19.71</v>
      </c>
      <c r="M2129" s="1">
        <f t="shared" ref="M2129:M2146" si="270">IF(L2129&gt;K2129,K2129,L2129)</f>
        <v>19.649999999999999</v>
      </c>
      <c r="N2129" s="66">
        <f>+I2129+20-'V V F India Out Standing'!O69251</f>
        <v>42787</v>
      </c>
      <c r="O2129" s="1">
        <v>2456270</v>
      </c>
      <c r="P2129" s="36">
        <f t="shared" si="268"/>
        <v>2456270</v>
      </c>
      <c r="Q2129" s="204">
        <v>42789</v>
      </c>
      <c r="R2129" s="204">
        <v>42793</v>
      </c>
      <c r="S2129" s="230">
        <f t="shared" si="269"/>
        <v>6</v>
      </c>
    </row>
    <row r="2130" spans="1:19" s="3" customFormat="1" hidden="1" x14ac:dyDescent="0.25">
      <c r="A2130" s="1">
        <v>1083</v>
      </c>
      <c r="B2130" s="204">
        <v>42768</v>
      </c>
      <c r="C2130" s="1">
        <v>103</v>
      </c>
      <c r="D2130" s="1">
        <v>3000038048</v>
      </c>
      <c r="E2130" s="1" t="s">
        <v>579</v>
      </c>
      <c r="F2130" s="1">
        <v>352</v>
      </c>
      <c r="G2130" s="204">
        <v>42762</v>
      </c>
      <c r="H2130" s="204"/>
      <c r="I2130" s="204">
        <v>42767</v>
      </c>
      <c r="J2130" s="1" t="s">
        <v>16</v>
      </c>
      <c r="K2130" s="1">
        <v>21.13</v>
      </c>
      <c r="L2130" s="1">
        <v>21.12</v>
      </c>
      <c r="M2130" s="1">
        <f t="shared" si="270"/>
        <v>21.12</v>
      </c>
      <c r="N2130" s="66">
        <f>+I2130+20-'V V F India Out Standing'!O69253</f>
        <v>42787</v>
      </c>
      <c r="O2130" s="1">
        <v>1161622</v>
      </c>
      <c r="P2130" s="36">
        <f t="shared" si="268"/>
        <v>1161072.249881685</v>
      </c>
      <c r="Q2130" s="204">
        <v>42789</v>
      </c>
      <c r="R2130" s="204">
        <v>42793</v>
      </c>
      <c r="S2130" s="230">
        <f t="shared" si="269"/>
        <v>6</v>
      </c>
    </row>
    <row r="2131" spans="1:19" s="3" customFormat="1" hidden="1" x14ac:dyDescent="0.25">
      <c r="A2131" s="84">
        <v>1090</v>
      </c>
      <c r="B2131" s="204">
        <v>42768</v>
      </c>
      <c r="C2131" s="1">
        <v>103</v>
      </c>
      <c r="D2131" s="1">
        <v>3000038329</v>
      </c>
      <c r="E2131" s="1" t="s">
        <v>592</v>
      </c>
      <c r="F2131" s="20" t="s">
        <v>593</v>
      </c>
      <c r="G2131" s="204">
        <v>42768</v>
      </c>
      <c r="H2131" s="204"/>
      <c r="I2131" s="204">
        <v>42767</v>
      </c>
      <c r="J2131" s="1" t="s">
        <v>61</v>
      </c>
      <c r="K2131" s="1"/>
      <c r="L2131" s="1"/>
      <c r="M2131" s="1">
        <f t="shared" si="270"/>
        <v>0</v>
      </c>
      <c r="N2131" s="66">
        <f>+I2131+20-'V V F India Out Standing'!O69257</f>
        <v>42787</v>
      </c>
      <c r="O2131" s="1">
        <v>42840</v>
      </c>
      <c r="P2131" s="38"/>
      <c r="Q2131" s="204">
        <v>42789</v>
      </c>
      <c r="R2131" s="204">
        <v>42793</v>
      </c>
      <c r="S2131" s="230">
        <f t="shared" si="269"/>
        <v>6</v>
      </c>
    </row>
    <row r="2132" spans="1:19" s="3" customFormat="1" hidden="1" x14ac:dyDescent="0.25">
      <c r="A2132" s="84">
        <v>1090</v>
      </c>
      <c r="B2132" s="204">
        <v>42768</v>
      </c>
      <c r="C2132" s="1">
        <v>103</v>
      </c>
      <c r="D2132" s="1">
        <v>3000038329</v>
      </c>
      <c r="E2132" s="1" t="s">
        <v>592</v>
      </c>
      <c r="F2132" s="16">
        <v>226</v>
      </c>
      <c r="G2132" s="204">
        <v>42756</v>
      </c>
      <c r="H2132" s="204"/>
      <c r="I2132" s="204">
        <v>42767</v>
      </c>
      <c r="J2132" s="1" t="s">
        <v>61</v>
      </c>
      <c r="K2132" s="1">
        <v>20</v>
      </c>
      <c r="L2132" s="1">
        <v>20</v>
      </c>
      <c r="M2132" s="1">
        <f t="shared" si="270"/>
        <v>20</v>
      </c>
      <c r="N2132" s="66">
        <f>+I2132+20-'V V F India Out Standing'!O69258</f>
        <v>42787</v>
      </c>
      <c r="O2132" s="1">
        <v>2320000</v>
      </c>
      <c r="P2132" s="36">
        <f>(+O2132/K2132*M2132)-42840</f>
        <v>2277160</v>
      </c>
      <c r="Q2132" s="204">
        <v>42789</v>
      </c>
      <c r="R2132" s="204">
        <v>42793</v>
      </c>
      <c r="S2132" s="230">
        <f t="shared" si="269"/>
        <v>6</v>
      </c>
    </row>
    <row r="2133" spans="1:19" s="21" customFormat="1" hidden="1" x14ac:dyDescent="0.25">
      <c r="A2133" s="41">
        <v>1025</v>
      </c>
      <c r="B2133" s="263">
        <v>42755</v>
      </c>
      <c r="C2133" s="21">
        <v>114</v>
      </c>
      <c r="D2133" s="21">
        <v>3000037340</v>
      </c>
      <c r="E2133" s="21" t="s">
        <v>348</v>
      </c>
      <c r="F2133" s="21">
        <v>295</v>
      </c>
      <c r="G2133" s="263">
        <v>42739</v>
      </c>
      <c r="H2133" s="263"/>
      <c r="I2133" s="263">
        <v>42748</v>
      </c>
      <c r="J2133" s="21" t="s">
        <v>8</v>
      </c>
      <c r="K2133" s="21">
        <v>16.829999999999998</v>
      </c>
      <c r="L2133" s="21">
        <v>16.95</v>
      </c>
      <c r="M2133" s="21">
        <f t="shared" si="270"/>
        <v>16.829999999999998</v>
      </c>
      <c r="N2133" s="47">
        <f>+I2133+15-1</f>
        <v>42762</v>
      </c>
      <c r="O2133" s="21">
        <v>992970</v>
      </c>
      <c r="P2133" s="36">
        <f>(+O2133/K2133*M2133)</f>
        <v>992970</v>
      </c>
      <c r="Q2133" s="204">
        <v>42788</v>
      </c>
      <c r="R2133" s="204">
        <v>42789</v>
      </c>
      <c r="S2133" s="230">
        <f t="shared" si="269"/>
        <v>27</v>
      </c>
    </row>
    <row r="2134" spans="1:19" s="41" customFormat="1" hidden="1" x14ac:dyDescent="0.25">
      <c r="A2134" s="21">
        <v>1084</v>
      </c>
      <c r="B2134" s="263">
        <v>42768</v>
      </c>
      <c r="C2134" s="21">
        <v>103</v>
      </c>
      <c r="D2134" s="21">
        <v>3000038379</v>
      </c>
      <c r="E2134" s="21" t="s">
        <v>348</v>
      </c>
      <c r="F2134" s="21">
        <v>201</v>
      </c>
      <c r="G2134" s="263">
        <v>42764</v>
      </c>
      <c r="H2134" s="263"/>
      <c r="I2134" s="263">
        <v>42766</v>
      </c>
      <c r="J2134" s="21" t="s">
        <v>16</v>
      </c>
      <c r="K2134" s="21">
        <v>20.309999999999999</v>
      </c>
      <c r="L2134" s="21">
        <v>20.28</v>
      </c>
      <c r="M2134" s="21">
        <f t="shared" si="270"/>
        <v>20.28</v>
      </c>
      <c r="N2134" s="47">
        <f>+I2134+20-'V V F India Out Standing'!O67149</f>
        <v>42786</v>
      </c>
      <c r="O2134" s="21">
        <v>1139899</v>
      </c>
      <c r="P2134" s="36">
        <f>(+O2134/K2134*M2134)</f>
        <v>1138215.2496307238</v>
      </c>
      <c r="Q2134" s="204">
        <v>42788</v>
      </c>
      <c r="R2134" s="204">
        <v>42789</v>
      </c>
      <c r="S2134" s="230">
        <f t="shared" si="269"/>
        <v>3</v>
      </c>
    </row>
    <row r="2135" spans="1:19" s="41" customFormat="1" hidden="1" x14ac:dyDescent="0.25">
      <c r="A2135" s="21">
        <v>1085</v>
      </c>
      <c r="B2135" s="263">
        <v>42768</v>
      </c>
      <c r="C2135" s="21">
        <v>103</v>
      </c>
      <c r="D2135" s="21">
        <v>3000038379</v>
      </c>
      <c r="E2135" s="21" t="s">
        <v>348</v>
      </c>
      <c r="F2135" s="21">
        <v>202</v>
      </c>
      <c r="G2135" s="263">
        <v>42764</v>
      </c>
      <c r="H2135" s="263"/>
      <c r="I2135" s="263">
        <v>42766</v>
      </c>
      <c r="J2135" s="21" t="s">
        <v>16</v>
      </c>
      <c r="K2135" s="21">
        <v>20.65</v>
      </c>
      <c r="L2135" s="21">
        <v>20.63</v>
      </c>
      <c r="M2135" s="21">
        <f t="shared" si="270"/>
        <v>20.63</v>
      </c>
      <c r="N2135" s="47">
        <f>+I2135+20-'V V F India Out Standing'!O67150</f>
        <v>42786</v>
      </c>
      <c r="O2135" s="21">
        <v>1158981</v>
      </c>
      <c r="P2135" s="36">
        <f>(+O2135/K2135*M2135)</f>
        <v>1157858.5002421308</v>
      </c>
      <c r="Q2135" s="204">
        <v>42788</v>
      </c>
      <c r="R2135" s="204">
        <v>42789</v>
      </c>
      <c r="S2135" s="230">
        <f t="shared" si="269"/>
        <v>3</v>
      </c>
    </row>
    <row r="2136" spans="1:19" s="1" customFormat="1" hidden="1" x14ac:dyDescent="0.25">
      <c r="A2136" s="84">
        <v>1036</v>
      </c>
      <c r="B2136" s="204">
        <v>42765</v>
      </c>
      <c r="C2136" s="1">
        <v>114</v>
      </c>
      <c r="D2136" s="1">
        <v>3000035804</v>
      </c>
      <c r="E2136" s="1" t="s">
        <v>49</v>
      </c>
      <c r="F2136" s="1">
        <v>44</v>
      </c>
      <c r="G2136" s="204">
        <v>42747</v>
      </c>
      <c r="H2136" s="204"/>
      <c r="I2136" s="204">
        <v>42757</v>
      </c>
      <c r="J2136" s="1" t="s">
        <v>8</v>
      </c>
      <c r="K2136" s="1">
        <v>28.83</v>
      </c>
      <c r="L2136" s="1">
        <v>28.66</v>
      </c>
      <c r="M2136" s="18">
        <f t="shared" si="270"/>
        <v>28.66</v>
      </c>
      <c r="N2136" s="66">
        <f>+I2136+15-1</f>
        <v>42771</v>
      </c>
      <c r="O2136" s="1">
        <v>1623129</v>
      </c>
      <c r="P2136" s="36">
        <f>(+O2136/K2136*M2136)</f>
        <v>1613558</v>
      </c>
      <c r="Q2136" s="204">
        <v>42788</v>
      </c>
      <c r="R2136" s="204">
        <v>42789</v>
      </c>
      <c r="S2136" s="230">
        <f t="shared" si="269"/>
        <v>18</v>
      </c>
    </row>
    <row r="2137" spans="1:19" s="1" customFormat="1" hidden="1" x14ac:dyDescent="0.25">
      <c r="A2137" s="13">
        <v>1090</v>
      </c>
      <c r="B2137" s="204">
        <v>42769</v>
      </c>
      <c r="C2137" s="1">
        <v>114</v>
      </c>
      <c r="D2137" s="1">
        <v>3000037337</v>
      </c>
      <c r="E2137" s="1" t="s">
        <v>18</v>
      </c>
      <c r="F2137" s="20" t="s">
        <v>595</v>
      </c>
      <c r="G2137" s="204">
        <v>42769</v>
      </c>
      <c r="H2137" s="204"/>
      <c r="I2137" s="204">
        <v>42756</v>
      </c>
      <c r="J2137" s="1" t="s">
        <v>8</v>
      </c>
      <c r="M2137" s="1">
        <f t="shared" si="270"/>
        <v>0</v>
      </c>
      <c r="N2137" s="66">
        <f>+I2137+15-'V V F India Out Standing'!O67082</f>
        <v>42771</v>
      </c>
      <c r="O2137" s="1">
        <v>18504</v>
      </c>
      <c r="P2137" s="38"/>
      <c r="Q2137" s="204">
        <v>42788</v>
      </c>
      <c r="R2137" s="204">
        <v>42789</v>
      </c>
      <c r="S2137" s="230">
        <f t="shared" si="269"/>
        <v>18</v>
      </c>
    </row>
    <row r="2138" spans="1:19" s="1" customFormat="1" hidden="1" x14ac:dyDescent="0.25">
      <c r="A2138" s="84">
        <v>1090</v>
      </c>
      <c r="B2138" s="204">
        <v>42768</v>
      </c>
      <c r="C2138" s="1">
        <v>114</v>
      </c>
      <c r="D2138" s="1">
        <v>3000037337</v>
      </c>
      <c r="E2138" s="1" t="s">
        <v>18</v>
      </c>
      <c r="F2138" s="16">
        <v>170</v>
      </c>
      <c r="G2138" s="204">
        <v>42745</v>
      </c>
      <c r="H2138" s="204"/>
      <c r="I2138" s="204">
        <v>42756</v>
      </c>
      <c r="J2138" s="1" t="s">
        <v>8</v>
      </c>
      <c r="K2138" s="1">
        <v>21.8</v>
      </c>
      <c r="L2138" s="1">
        <v>21.77</v>
      </c>
      <c r="M2138" s="1">
        <f t="shared" si="270"/>
        <v>21.77</v>
      </c>
      <c r="N2138" s="66">
        <f>+I2138+15-'V V F India Out Standing'!O67083</f>
        <v>42771</v>
      </c>
      <c r="O2138" s="1">
        <v>1286200</v>
      </c>
      <c r="P2138" s="36">
        <f>(+O2138/K2138*M2138)-18504</f>
        <v>1265926</v>
      </c>
      <c r="Q2138" s="204">
        <v>42788</v>
      </c>
      <c r="R2138" s="204">
        <v>42789</v>
      </c>
      <c r="S2138" s="230">
        <f t="shared" si="269"/>
        <v>18</v>
      </c>
    </row>
    <row r="2139" spans="1:19" s="1" customFormat="1" hidden="1" x14ac:dyDescent="0.25">
      <c r="A2139" s="13">
        <v>1090</v>
      </c>
      <c r="B2139" s="204">
        <v>42769</v>
      </c>
      <c r="C2139" s="1">
        <v>114</v>
      </c>
      <c r="D2139" s="1">
        <v>3000037339</v>
      </c>
      <c r="E2139" s="1" t="s">
        <v>27</v>
      </c>
      <c r="F2139" s="20" t="s">
        <v>594</v>
      </c>
      <c r="G2139" s="204">
        <v>42769</v>
      </c>
      <c r="H2139" s="204"/>
      <c r="I2139" s="204">
        <v>42757</v>
      </c>
      <c r="J2139" s="1" t="s">
        <v>8</v>
      </c>
      <c r="M2139" s="1">
        <f t="shared" si="270"/>
        <v>0</v>
      </c>
      <c r="N2139" s="66">
        <f>+I2139+15-'V V F India Out Standing'!O67086</f>
        <v>42772</v>
      </c>
      <c r="O2139" s="1">
        <v>11396</v>
      </c>
      <c r="P2139" s="38"/>
      <c r="Q2139" s="204">
        <v>42788</v>
      </c>
      <c r="R2139" s="204">
        <v>42789</v>
      </c>
      <c r="S2139" s="230">
        <f t="shared" si="269"/>
        <v>17</v>
      </c>
    </row>
    <row r="2140" spans="1:19" s="1" customFormat="1" hidden="1" x14ac:dyDescent="0.25">
      <c r="A2140" s="84">
        <v>1090</v>
      </c>
      <c r="B2140" s="204">
        <v>42769</v>
      </c>
      <c r="C2140" s="1">
        <v>114</v>
      </c>
      <c r="D2140" s="1">
        <v>3000037339</v>
      </c>
      <c r="E2140" s="1" t="s">
        <v>27</v>
      </c>
      <c r="F2140" s="16">
        <v>963</v>
      </c>
      <c r="G2140" s="204">
        <v>42747</v>
      </c>
      <c r="H2140" s="204"/>
      <c r="I2140" s="204">
        <v>42757</v>
      </c>
      <c r="J2140" s="1" t="s">
        <v>8</v>
      </c>
      <c r="K2140" s="1">
        <v>29.99</v>
      </c>
      <c r="L2140" s="1">
        <v>30.05</v>
      </c>
      <c r="M2140" s="1">
        <f t="shared" si="270"/>
        <v>29.99</v>
      </c>
      <c r="N2140" s="66">
        <f>+I2140+15-'V V F India Out Standing'!O67087</f>
        <v>42772</v>
      </c>
      <c r="O2140" s="1">
        <v>1769410</v>
      </c>
      <c r="P2140" s="36">
        <f>(+O2140/K2140*M2140)-11396</f>
        <v>1758014</v>
      </c>
      <c r="Q2140" s="204">
        <v>42788</v>
      </c>
      <c r="R2140" s="204">
        <v>42789</v>
      </c>
      <c r="S2140" s="230">
        <f t="shared" si="269"/>
        <v>17</v>
      </c>
    </row>
    <row r="2141" spans="1:19" s="1" customFormat="1" hidden="1" x14ac:dyDescent="0.25">
      <c r="A2141" s="84">
        <v>1066</v>
      </c>
      <c r="B2141" s="204">
        <v>42766</v>
      </c>
      <c r="C2141" s="1">
        <v>114</v>
      </c>
      <c r="D2141" s="1">
        <v>3000037473</v>
      </c>
      <c r="E2141" s="1" t="s">
        <v>30</v>
      </c>
      <c r="F2141" s="1">
        <v>617</v>
      </c>
      <c r="G2141" s="204">
        <v>42756</v>
      </c>
      <c r="H2141" s="204"/>
      <c r="I2141" s="204">
        <v>42760</v>
      </c>
      <c r="J2141" s="1" t="s">
        <v>229</v>
      </c>
      <c r="K2141" s="1">
        <v>28.56</v>
      </c>
      <c r="L2141" s="1">
        <v>28.37</v>
      </c>
      <c r="M2141" s="1">
        <f t="shared" si="270"/>
        <v>28.37</v>
      </c>
      <c r="N2141" s="66">
        <f>+I2141+15-'V V F India Out Standing'!O108</f>
        <v>-1429021</v>
      </c>
      <c r="O2141" s="1">
        <v>1485120</v>
      </c>
      <c r="P2141" s="36">
        <f>(+O2141/K2141*M2141)</f>
        <v>1475240</v>
      </c>
      <c r="Q2141" s="204">
        <v>42788</v>
      </c>
      <c r="R2141" s="204">
        <v>42789</v>
      </c>
      <c r="S2141" s="230">
        <f t="shared" si="269"/>
        <v>1471810</v>
      </c>
    </row>
    <row r="2142" spans="1:19" s="1" customFormat="1" hidden="1" x14ac:dyDescent="0.25">
      <c r="A2142" s="1">
        <v>1063</v>
      </c>
      <c r="B2142" s="204">
        <v>42766</v>
      </c>
      <c r="C2142" s="1">
        <v>103</v>
      </c>
      <c r="D2142" s="1">
        <v>3000038048</v>
      </c>
      <c r="E2142" s="1" t="s">
        <v>579</v>
      </c>
      <c r="F2142" s="1">
        <v>340</v>
      </c>
      <c r="G2142" s="204">
        <v>42756</v>
      </c>
      <c r="H2142" s="204"/>
      <c r="I2142" s="204">
        <v>42760</v>
      </c>
      <c r="J2142" s="1" t="s">
        <v>16</v>
      </c>
      <c r="K2142" s="1">
        <v>20.6</v>
      </c>
      <c r="L2142" s="1">
        <v>20.54</v>
      </c>
      <c r="M2142" s="1">
        <f t="shared" si="270"/>
        <v>20.54</v>
      </c>
      <c r="N2142" s="66">
        <f>+I2142+20-'V V F India Out Standing'!O136</f>
        <v>-1530554</v>
      </c>
      <c r="O2142" s="1">
        <v>1132485</v>
      </c>
      <c r="P2142" s="36">
        <f>(+O2142/K2142*M2142)</f>
        <v>1129186.4999999998</v>
      </c>
      <c r="Q2142" s="204">
        <v>42788</v>
      </c>
      <c r="R2142" s="204">
        <v>42789</v>
      </c>
      <c r="S2142" s="230">
        <f t="shared" si="269"/>
        <v>1573343</v>
      </c>
    </row>
    <row r="2143" spans="1:19" s="3" customFormat="1" hidden="1" x14ac:dyDescent="0.25">
      <c r="A2143" s="84">
        <v>1070</v>
      </c>
      <c r="B2143" s="204">
        <v>42768</v>
      </c>
      <c r="C2143" s="1">
        <v>103</v>
      </c>
      <c r="D2143" s="1">
        <v>3000038048</v>
      </c>
      <c r="E2143" s="1" t="s">
        <v>579</v>
      </c>
      <c r="F2143" s="1">
        <v>345</v>
      </c>
      <c r="G2143" s="204">
        <v>42760</v>
      </c>
      <c r="H2143" s="204"/>
      <c r="I2143" s="204">
        <v>42763</v>
      </c>
      <c r="J2143" s="1" t="s">
        <v>16</v>
      </c>
      <c r="K2143" s="1">
        <v>20.04</v>
      </c>
      <c r="L2143" s="1">
        <v>20.010000000000002</v>
      </c>
      <c r="M2143" s="1">
        <f t="shared" si="270"/>
        <v>20.010000000000002</v>
      </c>
      <c r="N2143" s="66">
        <f>+I2143+20-'V V F India Out Standing'!O145</f>
        <v>-1496216</v>
      </c>
      <c r="O2143" s="1">
        <v>1101699</v>
      </c>
      <c r="P2143" s="36">
        <f>(+O2143/K2143*M2143)</f>
        <v>1100049.75</v>
      </c>
      <c r="Q2143" s="204">
        <v>42788</v>
      </c>
      <c r="R2143" s="204">
        <v>42789</v>
      </c>
      <c r="S2143" s="230">
        <f t="shared" si="269"/>
        <v>1539005</v>
      </c>
    </row>
    <row r="2144" spans="1:19" s="3" customFormat="1" hidden="1" x14ac:dyDescent="0.25">
      <c r="A2144" s="1">
        <v>1071</v>
      </c>
      <c r="B2144" s="204">
        <v>42768</v>
      </c>
      <c r="C2144" s="1">
        <v>103</v>
      </c>
      <c r="D2144" s="1">
        <v>3000038048</v>
      </c>
      <c r="E2144" s="1" t="s">
        <v>579</v>
      </c>
      <c r="F2144" s="1">
        <v>350</v>
      </c>
      <c r="G2144" s="204">
        <v>42762</v>
      </c>
      <c r="H2144" s="204"/>
      <c r="I2144" s="204">
        <v>42765</v>
      </c>
      <c r="J2144" s="1" t="s">
        <v>16</v>
      </c>
      <c r="K2144" s="1">
        <v>16.91</v>
      </c>
      <c r="L2144" s="1">
        <v>16.87</v>
      </c>
      <c r="M2144" s="1">
        <f t="shared" si="270"/>
        <v>16.87</v>
      </c>
      <c r="N2144" s="66">
        <f>+I2144+20-'V V F India Out Standing'!O150</f>
        <v>-1452535</v>
      </c>
      <c r="O2144" s="1">
        <v>929627</v>
      </c>
      <c r="P2144" s="36">
        <f>(+O2144/K2144*M2144)</f>
        <v>927428.00059136609</v>
      </c>
      <c r="Q2144" s="204">
        <v>42788</v>
      </c>
      <c r="R2144" s="204">
        <v>42789</v>
      </c>
      <c r="S2144" s="230">
        <f t="shared" si="269"/>
        <v>1495324</v>
      </c>
    </row>
    <row r="2145" spans="1:19" s="3" customFormat="1" hidden="1" x14ac:dyDescent="0.25">
      <c r="A2145" s="84">
        <v>1072</v>
      </c>
      <c r="B2145" s="204">
        <v>42768</v>
      </c>
      <c r="C2145" s="1">
        <v>103</v>
      </c>
      <c r="D2145" s="1">
        <v>3000038048</v>
      </c>
      <c r="E2145" s="1" t="s">
        <v>579</v>
      </c>
      <c r="F2145" s="1">
        <v>351</v>
      </c>
      <c r="G2145" s="204">
        <v>42762</v>
      </c>
      <c r="H2145" s="204"/>
      <c r="I2145" s="204">
        <v>42765</v>
      </c>
      <c r="J2145" s="1" t="s">
        <v>16</v>
      </c>
      <c r="K2145" s="1">
        <v>27.09</v>
      </c>
      <c r="L2145" s="1">
        <v>26.98</v>
      </c>
      <c r="M2145" s="1">
        <f t="shared" si="270"/>
        <v>26.98</v>
      </c>
      <c r="N2145" s="66">
        <f>+I2145+20-'V V F India Out Standing'!O151</f>
        <v>-2665769</v>
      </c>
      <c r="O2145" s="1">
        <v>1489273</v>
      </c>
      <c r="P2145" s="36">
        <f>(+O2145/K2145*M2145)</f>
        <v>1483225.7489848651</v>
      </c>
      <c r="Q2145" s="204">
        <v>42788</v>
      </c>
      <c r="R2145" s="204">
        <v>42789</v>
      </c>
      <c r="S2145" s="230">
        <f t="shared" si="269"/>
        <v>2708558</v>
      </c>
    </row>
    <row r="2146" spans="1:19" s="1" customFormat="1" hidden="1" x14ac:dyDescent="0.25">
      <c r="A2146" s="84"/>
      <c r="B2146" s="204">
        <v>42788</v>
      </c>
      <c r="C2146" s="1">
        <v>114</v>
      </c>
      <c r="D2146" s="1">
        <v>3200033295</v>
      </c>
      <c r="E2146" s="1" t="s">
        <v>356</v>
      </c>
      <c r="F2146" s="1" t="s">
        <v>634</v>
      </c>
      <c r="G2146" s="213">
        <v>42394</v>
      </c>
      <c r="H2146" s="213"/>
      <c r="I2146" s="204">
        <v>42394</v>
      </c>
      <c r="J2146" s="1" t="s">
        <v>357</v>
      </c>
      <c r="M2146" s="5">
        <f t="shared" si="270"/>
        <v>0</v>
      </c>
      <c r="N2146" s="66">
        <f>+I2146+20-'V V F India Out Standing'!O67258</f>
        <v>42414</v>
      </c>
      <c r="O2146" s="1">
        <v>391000</v>
      </c>
      <c r="P2146" s="36">
        <v>391000</v>
      </c>
      <c r="Q2146" s="204">
        <v>42788</v>
      </c>
      <c r="R2146" s="204">
        <v>42789</v>
      </c>
      <c r="S2146" s="230">
        <f t="shared" si="269"/>
        <v>375</v>
      </c>
    </row>
    <row r="2147" spans="1:19" s="1" customFormat="1" hidden="1" x14ac:dyDescent="0.25">
      <c r="A2147" s="84"/>
      <c r="B2147" s="204"/>
      <c r="C2147" s="5">
        <v>103</v>
      </c>
      <c r="D2147" s="5">
        <v>3000038254</v>
      </c>
      <c r="E2147" s="5" t="s">
        <v>267</v>
      </c>
      <c r="F2147" s="16" t="s">
        <v>608</v>
      </c>
      <c r="G2147" s="204"/>
      <c r="H2147" s="204"/>
      <c r="I2147" s="204"/>
      <c r="J2147" s="1" t="s">
        <v>347</v>
      </c>
      <c r="K2147" s="5"/>
      <c r="L2147" s="5"/>
      <c r="M2147" s="5"/>
      <c r="N2147" s="66">
        <v>42773</v>
      </c>
      <c r="O2147" s="5">
        <v>2979</v>
      </c>
      <c r="P2147" s="38"/>
      <c r="Q2147" s="204">
        <v>42789</v>
      </c>
      <c r="R2147" s="204">
        <v>42789</v>
      </c>
      <c r="S2147" s="230">
        <f t="shared" si="269"/>
        <v>16</v>
      </c>
    </row>
    <row r="2148" spans="1:19" s="1" customFormat="1" hidden="1" x14ac:dyDescent="0.25">
      <c r="A2148" s="13">
        <v>1105</v>
      </c>
      <c r="B2148" s="204">
        <v>42773</v>
      </c>
      <c r="C2148" s="5">
        <v>103</v>
      </c>
      <c r="D2148" s="5">
        <v>3000038254</v>
      </c>
      <c r="E2148" s="5" t="s">
        <v>267</v>
      </c>
      <c r="F2148" s="16">
        <v>93</v>
      </c>
      <c r="G2148" s="204">
        <v>42759</v>
      </c>
      <c r="H2148" s="204"/>
      <c r="I2148" s="204">
        <v>42769</v>
      </c>
      <c r="J2148" s="1" t="s">
        <v>61</v>
      </c>
      <c r="K2148" s="5">
        <v>20</v>
      </c>
      <c r="L2148" s="5">
        <v>19.989999999999998</v>
      </c>
      <c r="M2148" s="5">
        <v>19.989999999999998</v>
      </c>
      <c r="N2148" s="66">
        <f>+I2148+4-'V V F India Out Standing'!O67110</f>
        <v>42773</v>
      </c>
      <c r="O2148" s="5">
        <v>2344980</v>
      </c>
      <c r="P2148" s="38">
        <f>(+O2148/K2148*M2148)-closed!O2147</f>
        <v>2340828.5099999998</v>
      </c>
      <c r="Q2148" s="204">
        <v>42789</v>
      </c>
      <c r="R2148" s="204">
        <v>42789</v>
      </c>
      <c r="S2148" s="230">
        <f t="shared" si="269"/>
        <v>16</v>
      </c>
    </row>
    <row r="2149" spans="1:19" s="1" customFormat="1" ht="18" hidden="1" customHeight="1" x14ac:dyDescent="0.25">
      <c r="A2149" s="13">
        <v>1097</v>
      </c>
      <c r="B2149" s="204">
        <v>42772</v>
      </c>
      <c r="C2149" s="5">
        <v>114</v>
      </c>
      <c r="D2149" s="5">
        <v>3000037337</v>
      </c>
      <c r="E2149" s="5" t="s">
        <v>18</v>
      </c>
      <c r="F2149" s="5">
        <v>181</v>
      </c>
      <c r="G2149" s="204">
        <v>42758</v>
      </c>
      <c r="H2149" s="204"/>
      <c r="I2149" s="204">
        <v>42762</v>
      </c>
      <c r="J2149" s="1" t="s">
        <v>8</v>
      </c>
      <c r="K2149" s="5">
        <v>19.829999999999998</v>
      </c>
      <c r="L2149" s="5">
        <v>19.75</v>
      </c>
      <c r="M2149" s="5">
        <v>19.75</v>
      </c>
      <c r="N2149" s="66">
        <f>+I2149+15-'V V F India Out Standing'!O67109</f>
        <v>42777</v>
      </c>
      <c r="O2149" s="5">
        <v>1169970</v>
      </c>
      <c r="P2149" s="38">
        <f>(+O2149/K2149*M2149)-18504</f>
        <v>1146746.0000000002</v>
      </c>
      <c r="Q2149" s="204">
        <v>42789</v>
      </c>
      <c r="R2149" s="204">
        <v>42793</v>
      </c>
      <c r="S2149" s="230">
        <f t="shared" si="269"/>
        <v>16</v>
      </c>
    </row>
    <row r="2150" spans="1:19" s="1" customFormat="1" hidden="1" x14ac:dyDescent="0.25">
      <c r="A2150" s="84">
        <v>1097</v>
      </c>
      <c r="B2150" s="204">
        <v>42772</v>
      </c>
      <c r="C2150" s="5">
        <v>114</v>
      </c>
      <c r="D2150" s="5">
        <v>3000038238</v>
      </c>
      <c r="E2150" s="5" t="s">
        <v>18</v>
      </c>
      <c r="F2150" s="5">
        <v>181</v>
      </c>
      <c r="G2150" s="204">
        <v>42758</v>
      </c>
      <c r="H2150" s="204"/>
      <c r="I2150" s="204">
        <v>42762</v>
      </c>
      <c r="J2150" s="1" t="s">
        <v>8</v>
      </c>
      <c r="K2150" s="5">
        <v>10.675000000000001</v>
      </c>
      <c r="L2150" s="5">
        <v>10.675000000000001</v>
      </c>
      <c r="M2150" s="5">
        <v>10.675000000000001</v>
      </c>
      <c r="N2150" s="66">
        <f>+I2150+15-'V V F India Out Standing'!O67110</f>
        <v>42777</v>
      </c>
      <c r="O2150" s="5">
        <v>613813</v>
      </c>
      <c r="P2150" s="38">
        <f>(+O2150/K2150*M2150)-18504</f>
        <v>595309</v>
      </c>
      <c r="Q2150" s="204">
        <v>42789</v>
      </c>
      <c r="R2150" s="204">
        <v>42793</v>
      </c>
      <c r="S2150" s="230">
        <f t="shared" si="269"/>
        <v>16</v>
      </c>
    </row>
    <row r="2151" spans="1:19" s="3" customFormat="1" hidden="1" x14ac:dyDescent="0.25">
      <c r="A2151" s="271">
        <v>1086</v>
      </c>
      <c r="B2151" s="272">
        <v>42768</v>
      </c>
      <c r="C2151" s="91">
        <v>103</v>
      </c>
      <c r="D2151" s="91">
        <v>3000038379</v>
      </c>
      <c r="E2151" s="91" t="s">
        <v>348</v>
      </c>
      <c r="F2151" s="91">
        <v>203</v>
      </c>
      <c r="G2151" s="272">
        <v>42764</v>
      </c>
      <c r="H2151" s="272"/>
      <c r="I2151" s="272">
        <v>42766</v>
      </c>
      <c r="J2151" s="91" t="s">
        <v>16</v>
      </c>
      <c r="K2151" s="91">
        <v>20.72</v>
      </c>
      <c r="L2151" s="91">
        <v>20.7</v>
      </c>
      <c r="M2151" s="91">
        <f>IF(L2151&gt;K2151,K2151,L2151)</f>
        <v>20.7</v>
      </c>
      <c r="N2151" s="303">
        <f>+I2151+20-'V V F India Out Standing'!O67151</f>
        <v>42786</v>
      </c>
      <c r="O2151" s="91">
        <v>1162910</v>
      </c>
      <c r="P2151" s="309">
        <f>(+O2151/K2151*M2151)</f>
        <v>1161787.5</v>
      </c>
      <c r="Q2151" s="272">
        <v>42788</v>
      </c>
      <c r="R2151" s="272">
        <v>42795</v>
      </c>
      <c r="S2151" s="321">
        <f t="shared" si="269"/>
        <v>9</v>
      </c>
    </row>
    <row r="2152" spans="1:19" s="1" customFormat="1" hidden="1" x14ac:dyDescent="0.25">
      <c r="B2152" s="204">
        <v>42795</v>
      </c>
      <c r="C2152" s="5">
        <v>103</v>
      </c>
      <c r="E2152" s="322" t="s">
        <v>26</v>
      </c>
      <c r="F2152" s="322" t="s">
        <v>698</v>
      </c>
      <c r="G2152" s="323">
        <v>42714</v>
      </c>
      <c r="H2152" s="322"/>
      <c r="I2152" s="323">
        <v>42714</v>
      </c>
      <c r="J2152" s="322"/>
      <c r="K2152" s="322"/>
      <c r="L2152" s="322"/>
      <c r="M2152" s="322"/>
      <c r="N2152" s="324">
        <f>+I2152+20-'V V F India Out Standing'!O67303</f>
        <v>42734</v>
      </c>
      <c r="O2152" s="322">
        <v>374674</v>
      </c>
      <c r="P2152" s="325">
        <v>374674</v>
      </c>
      <c r="Q2152" s="347" t="s">
        <v>708</v>
      </c>
    </row>
    <row r="2153" spans="1:19" s="1" customFormat="1" hidden="1" x14ac:dyDescent="0.25">
      <c r="B2153" s="204">
        <v>42795</v>
      </c>
      <c r="C2153" s="5">
        <v>103</v>
      </c>
      <c r="E2153" s="322" t="s">
        <v>26</v>
      </c>
      <c r="F2153" s="322" t="s">
        <v>699</v>
      </c>
      <c r="G2153" s="323">
        <v>42714</v>
      </c>
      <c r="H2153" s="322"/>
      <c r="I2153" s="323">
        <v>42714</v>
      </c>
      <c r="J2153" s="322"/>
      <c r="K2153" s="322"/>
      <c r="L2153" s="322"/>
      <c r="M2153" s="322"/>
      <c r="N2153" s="324">
        <f>+I2153+20-'V V F India Out Standing'!O67304</f>
        <v>42734</v>
      </c>
      <c r="O2153" s="322">
        <v>1004054</v>
      </c>
      <c r="P2153" s="325">
        <v>1004054</v>
      </c>
      <c r="Q2153" s="348"/>
    </row>
    <row r="2154" spans="1:19" s="1" customFormat="1" hidden="1" x14ac:dyDescent="0.25">
      <c r="B2154" s="204">
        <v>42795</v>
      </c>
      <c r="C2154" s="5">
        <v>103</v>
      </c>
      <c r="E2154" s="322" t="s">
        <v>26</v>
      </c>
      <c r="F2154" s="322" t="s">
        <v>700</v>
      </c>
      <c r="G2154" s="323">
        <v>42714</v>
      </c>
      <c r="H2154" s="322"/>
      <c r="I2154" s="323">
        <v>42714</v>
      </c>
      <c r="J2154" s="322"/>
      <c r="K2154" s="322"/>
      <c r="L2154" s="322"/>
      <c r="M2154" s="322"/>
      <c r="N2154" s="324">
        <f>+I2154+20-'V V F India Out Standing'!O67305</f>
        <v>42734</v>
      </c>
      <c r="O2154" s="322">
        <v>421831</v>
      </c>
      <c r="P2154" s="325">
        <v>421831</v>
      </c>
      <c r="Q2154" s="348"/>
    </row>
    <row r="2155" spans="1:19" s="1" customFormat="1" hidden="1" x14ac:dyDescent="0.25">
      <c r="B2155" s="204">
        <v>42795</v>
      </c>
      <c r="C2155" s="5">
        <v>103</v>
      </c>
      <c r="E2155" s="322" t="s">
        <v>26</v>
      </c>
      <c r="F2155" s="322" t="s">
        <v>701</v>
      </c>
      <c r="G2155" s="323">
        <v>42714</v>
      </c>
      <c r="H2155" s="322"/>
      <c r="I2155" s="323">
        <v>42714</v>
      </c>
      <c r="J2155" s="322"/>
      <c r="K2155" s="322"/>
      <c r="L2155" s="322"/>
      <c r="M2155" s="322"/>
      <c r="N2155" s="324">
        <f>+I2155+20-'V V F India Out Standing'!O67306</f>
        <v>42734</v>
      </c>
      <c r="O2155" s="322">
        <v>932824</v>
      </c>
      <c r="P2155" s="325">
        <v>932824</v>
      </c>
      <c r="Q2155" s="348"/>
    </row>
    <row r="2156" spans="1:19" s="1" customFormat="1" hidden="1" x14ac:dyDescent="0.25">
      <c r="B2156" s="204">
        <v>42795</v>
      </c>
      <c r="C2156" s="5">
        <v>103</v>
      </c>
      <c r="E2156" s="322" t="s">
        <v>26</v>
      </c>
      <c r="F2156" s="322" t="s">
        <v>702</v>
      </c>
      <c r="G2156" s="323">
        <v>42714</v>
      </c>
      <c r="H2156" s="322"/>
      <c r="I2156" s="323">
        <v>42714</v>
      </c>
      <c r="J2156" s="322"/>
      <c r="K2156" s="322"/>
      <c r="L2156" s="322"/>
      <c r="M2156" s="322"/>
      <c r="N2156" s="324">
        <f>+I2156+20-'V V F India Out Standing'!O67307</f>
        <v>42734</v>
      </c>
      <c r="O2156" s="322">
        <v>884601</v>
      </c>
      <c r="P2156" s="325">
        <v>884601</v>
      </c>
      <c r="Q2156" s="348"/>
    </row>
    <row r="2157" spans="1:19" s="1" customFormat="1" hidden="1" x14ac:dyDescent="0.25">
      <c r="B2157" s="204">
        <v>42795</v>
      </c>
      <c r="C2157" s="5">
        <v>103</v>
      </c>
      <c r="E2157" s="322" t="s">
        <v>26</v>
      </c>
      <c r="F2157" s="322" t="s">
        <v>703</v>
      </c>
      <c r="G2157" s="323">
        <v>42714</v>
      </c>
      <c r="H2157" s="322"/>
      <c r="I2157" s="323">
        <v>42714</v>
      </c>
      <c r="J2157" s="322"/>
      <c r="K2157" s="322"/>
      <c r="L2157" s="322"/>
      <c r="M2157" s="322"/>
      <c r="N2157" s="324">
        <f>+I2157+20-'V V F India Out Standing'!O67308</f>
        <v>42734</v>
      </c>
      <c r="O2157" s="322">
        <v>181808</v>
      </c>
      <c r="P2157" s="325">
        <v>181808</v>
      </c>
      <c r="Q2157" s="348"/>
    </row>
    <row r="2158" spans="1:19" s="1" customFormat="1" hidden="1" x14ac:dyDescent="0.25">
      <c r="B2158" s="204">
        <v>42795</v>
      </c>
      <c r="C2158" s="5">
        <v>103</v>
      </c>
      <c r="E2158" s="322" t="s">
        <v>26</v>
      </c>
      <c r="F2158" s="322" t="s">
        <v>704</v>
      </c>
      <c r="G2158" s="323">
        <v>42714</v>
      </c>
      <c r="H2158" s="322"/>
      <c r="I2158" s="323">
        <v>42714</v>
      </c>
      <c r="J2158" s="322"/>
      <c r="K2158" s="322"/>
      <c r="L2158" s="322"/>
      <c r="M2158" s="322"/>
      <c r="N2158" s="324">
        <f>+I2158+20-'V V F India Out Standing'!O67309</f>
        <v>42734</v>
      </c>
      <c r="O2158" s="322">
        <v>1941689</v>
      </c>
      <c r="P2158" s="325">
        <v>1941689</v>
      </c>
      <c r="Q2158" s="349"/>
    </row>
    <row r="2159" spans="1:19" s="1" customFormat="1" hidden="1" x14ac:dyDescent="0.25">
      <c r="A2159" s="84"/>
      <c r="B2159" s="204">
        <v>42795</v>
      </c>
      <c r="C2159" s="1">
        <v>103</v>
      </c>
      <c r="D2159" s="1">
        <v>3000038299</v>
      </c>
      <c r="E2159" s="8" t="s">
        <v>705</v>
      </c>
      <c r="F2159" s="1">
        <v>143</v>
      </c>
      <c r="G2159" s="213">
        <v>42780</v>
      </c>
      <c r="H2159" s="1" t="s">
        <v>706</v>
      </c>
      <c r="I2159" s="204">
        <v>42780</v>
      </c>
      <c r="J2159" s="1" t="s">
        <v>16</v>
      </c>
      <c r="K2159" s="1">
        <v>24.71</v>
      </c>
      <c r="L2159" s="1">
        <v>24.71</v>
      </c>
      <c r="M2159" s="5">
        <f t="shared" ref="M2159:M2164" si="271">IF(L2159&gt;K2159,K2159,L2159)</f>
        <v>24.71</v>
      </c>
      <c r="N2159" s="66">
        <f>+I2159+20-'V V F India Out Standing'!O67318</f>
        <v>42800</v>
      </c>
      <c r="O2159" s="1">
        <v>1363065</v>
      </c>
      <c r="P2159" s="38">
        <f t="shared" ref="P2159:P2164" si="272">(+O2159/K2159*M2159)</f>
        <v>1363065</v>
      </c>
      <c r="Q2159" s="225"/>
    </row>
    <row r="2160" spans="1:19" s="1" customFormat="1" hidden="1" x14ac:dyDescent="0.25">
      <c r="A2160" s="84"/>
      <c r="B2160" s="204">
        <v>42795</v>
      </c>
      <c r="C2160" s="1">
        <v>103</v>
      </c>
      <c r="D2160" s="1">
        <v>3000038299</v>
      </c>
      <c r="E2160" s="8" t="s">
        <v>705</v>
      </c>
      <c r="F2160" s="1">
        <v>144</v>
      </c>
      <c r="G2160" s="213">
        <v>42780</v>
      </c>
      <c r="H2160" s="1" t="s">
        <v>707</v>
      </c>
      <c r="I2160" s="204">
        <v>42780</v>
      </c>
      <c r="J2160" s="1" t="s">
        <v>16</v>
      </c>
      <c r="K2160" s="1">
        <v>25.405000000000001</v>
      </c>
      <c r="L2160" s="1">
        <v>25.405000000000001</v>
      </c>
      <c r="M2160" s="5">
        <f t="shared" si="271"/>
        <v>25.405000000000001</v>
      </c>
      <c r="N2160" s="66">
        <f>+I2160+20-'V V F India Out Standing'!O67319</f>
        <v>42800</v>
      </c>
      <c r="O2160" s="1">
        <v>1401403</v>
      </c>
      <c r="P2160" s="38">
        <f t="shared" si="272"/>
        <v>1401403</v>
      </c>
      <c r="Q2160" s="225"/>
    </row>
    <row r="2161" spans="1:19" s="1" customFormat="1" hidden="1" x14ac:dyDescent="0.25">
      <c r="A2161" s="84"/>
      <c r="B2161" s="204">
        <v>42795</v>
      </c>
      <c r="C2161" s="1">
        <v>103</v>
      </c>
      <c r="D2161" s="1">
        <v>3000038281</v>
      </c>
      <c r="E2161" s="8" t="s">
        <v>623</v>
      </c>
      <c r="F2161" s="1">
        <v>28729</v>
      </c>
      <c r="G2161" s="213">
        <v>42785</v>
      </c>
      <c r="H2161" s="1" t="s">
        <v>709</v>
      </c>
      <c r="I2161" s="204">
        <v>42785</v>
      </c>
      <c r="J2161" s="1" t="s">
        <v>16</v>
      </c>
      <c r="K2161" s="1">
        <v>19.350000000000001</v>
      </c>
      <c r="L2161" s="1">
        <v>19.350000000000001</v>
      </c>
      <c r="M2161" s="5">
        <f t="shared" si="271"/>
        <v>19.350000000000001</v>
      </c>
      <c r="N2161" s="66">
        <f>+I2161+20-'V V F India Out Standing'!O67320</f>
        <v>42805</v>
      </c>
      <c r="O2161" s="1">
        <v>1109901</v>
      </c>
      <c r="P2161" s="38">
        <f t="shared" si="272"/>
        <v>1109901</v>
      </c>
      <c r="Q2161" s="225"/>
    </row>
    <row r="2162" spans="1:19" s="1" customFormat="1" hidden="1" x14ac:dyDescent="0.25">
      <c r="A2162" s="84"/>
      <c r="B2162" s="204">
        <v>42795</v>
      </c>
      <c r="C2162" s="1">
        <v>103</v>
      </c>
      <c r="D2162" s="1">
        <v>3000038281</v>
      </c>
      <c r="E2162" s="8" t="s">
        <v>623</v>
      </c>
      <c r="F2162" s="1">
        <v>28706</v>
      </c>
      <c r="G2162" s="213">
        <v>42785</v>
      </c>
      <c r="H2162" s="1" t="s">
        <v>710</v>
      </c>
      <c r="I2162" s="204">
        <v>42785</v>
      </c>
      <c r="J2162" s="1" t="s">
        <v>16</v>
      </c>
      <c r="K2162" s="1">
        <v>19.84</v>
      </c>
      <c r="L2162" s="1">
        <v>19.84</v>
      </c>
      <c r="M2162" s="5">
        <f t="shared" si="271"/>
        <v>19.84</v>
      </c>
      <c r="N2162" s="66">
        <f>+I2162+20-'V V F India Out Standing'!O67321</f>
        <v>42805</v>
      </c>
      <c r="O2162" s="1">
        <v>1138008</v>
      </c>
      <c r="P2162" s="38">
        <f t="shared" si="272"/>
        <v>1138008</v>
      </c>
      <c r="Q2162" s="225"/>
    </row>
    <row r="2163" spans="1:19" s="1" customFormat="1" hidden="1" x14ac:dyDescent="0.25">
      <c r="A2163" s="84"/>
      <c r="B2163" s="204">
        <v>42795</v>
      </c>
      <c r="C2163" s="1">
        <v>103</v>
      </c>
      <c r="D2163" s="1">
        <v>3000038281</v>
      </c>
      <c r="E2163" s="8" t="s">
        <v>623</v>
      </c>
      <c r="F2163" s="1">
        <v>28696</v>
      </c>
      <c r="G2163" s="213">
        <v>42785</v>
      </c>
      <c r="H2163" s="1" t="s">
        <v>711</v>
      </c>
      <c r="I2163" s="204">
        <v>42785</v>
      </c>
      <c r="J2163" s="1" t="s">
        <v>16</v>
      </c>
      <c r="K2163" s="1">
        <v>22.13</v>
      </c>
      <c r="L2163" s="1">
        <v>22.13</v>
      </c>
      <c r="M2163" s="5">
        <f t="shared" si="271"/>
        <v>22.13</v>
      </c>
      <c r="N2163" s="66">
        <f>+I2163+20-'V V F India Out Standing'!O67322</f>
        <v>42805</v>
      </c>
      <c r="O2163" s="1">
        <v>1269360</v>
      </c>
      <c r="P2163" s="38">
        <f t="shared" si="272"/>
        <v>1269360</v>
      </c>
      <c r="Q2163" s="225"/>
    </row>
    <row r="2164" spans="1:19" s="1" customFormat="1" hidden="1" x14ac:dyDescent="0.25">
      <c r="A2164" s="84"/>
      <c r="B2164" s="204">
        <v>42795</v>
      </c>
      <c r="C2164" s="1">
        <v>103</v>
      </c>
      <c r="D2164" s="1">
        <v>3000038281</v>
      </c>
      <c r="E2164" s="8" t="s">
        <v>623</v>
      </c>
      <c r="F2164" s="1">
        <v>28694</v>
      </c>
      <c r="G2164" s="213">
        <v>42784</v>
      </c>
      <c r="H2164" s="1" t="s">
        <v>712</v>
      </c>
      <c r="I2164" s="204">
        <v>42784</v>
      </c>
      <c r="J2164" s="1" t="s">
        <v>16</v>
      </c>
      <c r="K2164" s="1">
        <v>24.51</v>
      </c>
      <c r="L2164" s="1">
        <v>24.51</v>
      </c>
      <c r="M2164" s="5">
        <f t="shared" si="271"/>
        <v>24.51</v>
      </c>
      <c r="N2164" s="66">
        <f>+I2164+20-'V V F India Out Standing'!O67323</f>
        <v>42804</v>
      </c>
      <c r="O2164" s="1">
        <v>1405875</v>
      </c>
      <c r="P2164" s="38">
        <f t="shared" si="272"/>
        <v>1405875</v>
      </c>
      <c r="Q2164" s="225"/>
    </row>
    <row r="2165" spans="1:19" s="91" customFormat="1" hidden="1" x14ac:dyDescent="0.25">
      <c r="A2165" s="271"/>
      <c r="B2165" s="272">
        <v>42782</v>
      </c>
      <c r="C2165" s="311">
        <v>103</v>
      </c>
      <c r="D2165" s="91">
        <v>3000038801</v>
      </c>
      <c r="E2165" s="91" t="s">
        <v>582</v>
      </c>
      <c r="F2165" s="91">
        <v>9</v>
      </c>
      <c r="G2165" s="272">
        <v>42775</v>
      </c>
      <c r="H2165" s="272"/>
      <c r="I2165" s="272">
        <v>42779</v>
      </c>
      <c r="J2165" s="91" t="s">
        <v>61</v>
      </c>
      <c r="K2165" s="91">
        <v>20.72</v>
      </c>
      <c r="L2165" s="91">
        <v>20.68</v>
      </c>
      <c r="M2165" s="311">
        <f t="shared" ref="M2165:M2170" si="273">IF(L2165&gt;K2165,K2165,L2165)</f>
        <v>20.68</v>
      </c>
      <c r="N2165" s="303">
        <f>+I2165+10-'V V F India Out Standing'!O67217</f>
        <v>42789</v>
      </c>
      <c r="O2165" s="91">
        <v>2734791</v>
      </c>
      <c r="P2165" s="309">
        <f>(+O2165/K2165*M2165)</f>
        <v>2729511.4806949808</v>
      </c>
      <c r="Q2165" s="272">
        <v>42797</v>
      </c>
      <c r="R2165" s="272">
        <v>42797</v>
      </c>
      <c r="S2165" s="321">
        <f t="shared" ref="S2165" si="274">R2165-N2165</f>
        <v>8</v>
      </c>
    </row>
    <row r="2166" spans="1:19" s="1" customFormat="1" hidden="1" x14ac:dyDescent="0.25">
      <c r="B2166" s="204">
        <v>42808</v>
      </c>
      <c r="C2166" s="5">
        <v>103</v>
      </c>
      <c r="D2166" s="5">
        <v>3000039252</v>
      </c>
      <c r="E2166" s="55" t="s">
        <v>809</v>
      </c>
      <c r="F2166" s="5">
        <v>419</v>
      </c>
      <c r="G2166" s="204">
        <v>42794</v>
      </c>
      <c r="H2166" s="270" t="s">
        <v>807</v>
      </c>
      <c r="I2166" s="204">
        <v>42794</v>
      </c>
      <c r="J2166" s="5" t="s">
        <v>785</v>
      </c>
      <c r="K2166" s="5">
        <v>5.9349999999999996</v>
      </c>
      <c r="L2166" s="5">
        <v>5.9349999999999996</v>
      </c>
      <c r="M2166" s="5">
        <f t="shared" si="273"/>
        <v>5.9349999999999996</v>
      </c>
      <c r="N2166" s="66">
        <f>+I2166+10-'V V F India Out Standing'!O67218</f>
        <v>42804</v>
      </c>
      <c r="O2166" s="5">
        <v>456964</v>
      </c>
      <c r="P2166" s="38">
        <f>(+O2166/K2166*M2166)</f>
        <v>456964</v>
      </c>
    </row>
    <row r="2167" spans="1:19" s="1" customFormat="1" hidden="1" x14ac:dyDescent="0.25">
      <c r="B2167" s="204">
        <v>42810</v>
      </c>
      <c r="C2167" s="5">
        <v>103</v>
      </c>
      <c r="D2167" s="1">
        <v>3000038281</v>
      </c>
      <c r="E2167" s="8" t="s">
        <v>623</v>
      </c>
      <c r="F2167" s="1">
        <v>30487</v>
      </c>
      <c r="G2167" s="204">
        <v>42805</v>
      </c>
      <c r="H2167" s="1" t="s">
        <v>832</v>
      </c>
      <c r="I2167" s="204">
        <v>42805</v>
      </c>
      <c r="J2167" s="1" t="s">
        <v>16</v>
      </c>
      <c r="K2167" s="1">
        <v>19</v>
      </c>
      <c r="L2167" s="1">
        <v>19</v>
      </c>
      <c r="M2167" s="1">
        <f t="shared" si="273"/>
        <v>19</v>
      </c>
      <c r="N2167" s="66">
        <f>+I2167+10-'V V F India Out Standing'!O67219</f>
        <v>42815</v>
      </c>
      <c r="O2167" s="1">
        <v>1089826</v>
      </c>
      <c r="P2167" s="38">
        <f t="shared" ref="P2167:P2168" si="275">(+O2167/K2167*M2167)</f>
        <v>1089826</v>
      </c>
    </row>
    <row r="2168" spans="1:19" s="1" customFormat="1" hidden="1" x14ac:dyDescent="0.25">
      <c r="B2168" s="204">
        <v>42810</v>
      </c>
      <c r="C2168" s="5">
        <v>103</v>
      </c>
      <c r="D2168" s="1">
        <v>3000038281</v>
      </c>
      <c r="E2168" s="8" t="s">
        <v>623</v>
      </c>
      <c r="F2168" s="1">
        <v>30486</v>
      </c>
      <c r="G2168" s="204">
        <v>42805</v>
      </c>
      <c r="H2168" s="1" t="s">
        <v>832</v>
      </c>
      <c r="I2168" s="204">
        <v>42805</v>
      </c>
      <c r="J2168" s="1" t="s">
        <v>16</v>
      </c>
      <c r="K2168" s="1">
        <v>6.37</v>
      </c>
      <c r="L2168" s="1">
        <v>6.37</v>
      </c>
      <c r="M2168" s="1">
        <f t="shared" si="273"/>
        <v>6.37</v>
      </c>
      <c r="N2168" s="66">
        <f>+I2168+10-'V V F India Out Standing'!O67220</f>
        <v>42815</v>
      </c>
      <c r="O2168" s="1">
        <v>365378</v>
      </c>
      <c r="P2168" s="38">
        <f t="shared" si="275"/>
        <v>365378</v>
      </c>
    </row>
    <row r="2169" spans="1:19" s="1" customFormat="1" hidden="1" x14ac:dyDescent="0.25">
      <c r="A2169" s="84">
        <v>1048</v>
      </c>
      <c r="B2169" s="204">
        <v>42765</v>
      </c>
      <c r="C2169" s="1">
        <v>103</v>
      </c>
      <c r="D2169" s="1">
        <v>3000038259</v>
      </c>
      <c r="E2169" s="1" t="s">
        <v>371</v>
      </c>
      <c r="F2169" s="1">
        <v>1115</v>
      </c>
      <c r="G2169" s="204">
        <v>42755</v>
      </c>
      <c r="H2169" s="204"/>
      <c r="I2169" s="204">
        <v>42759</v>
      </c>
      <c r="J2169" s="1" t="s">
        <v>61</v>
      </c>
      <c r="K2169" s="1">
        <v>16.04</v>
      </c>
      <c r="L2169" s="1">
        <v>16.010000000000002</v>
      </c>
      <c r="M2169" s="1">
        <f t="shared" si="273"/>
        <v>16.010000000000002</v>
      </c>
      <c r="N2169" s="66">
        <f>+I2169+20-1</f>
        <v>42778</v>
      </c>
      <c r="O2169" s="1">
        <v>1892720</v>
      </c>
      <c r="P2169" s="36">
        <f t="shared" ref="P2169:P2174" si="276">(+O2169/K2169*M2169)</f>
        <v>1889180.0000000002</v>
      </c>
      <c r="Q2169" s="272">
        <v>42809</v>
      </c>
      <c r="R2169" s="272">
        <v>42810</v>
      </c>
      <c r="S2169" s="321">
        <f t="shared" ref="S2169:S2232" si="277">R2169-N2169</f>
        <v>32</v>
      </c>
    </row>
    <row r="2170" spans="1:19" s="1" customFormat="1" hidden="1" x14ac:dyDescent="0.25">
      <c r="A2170" s="84">
        <v>1052</v>
      </c>
      <c r="B2170" s="204">
        <v>42765</v>
      </c>
      <c r="C2170" s="1">
        <v>103</v>
      </c>
      <c r="D2170" s="1">
        <v>3000038259</v>
      </c>
      <c r="E2170" s="1" t="s">
        <v>371</v>
      </c>
      <c r="F2170" s="1">
        <v>1124</v>
      </c>
      <c r="G2170" s="204">
        <v>42757</v>
      </c>
      <c r="H2170" s="204"/>
      <c r="I2170" s="204">
        <v>42761</v>
      </c>
      <c r="J2170" s="1" t="s">
        <v>61</v>
      </c>
      <c r="K2170" s="1">
        <v>19.75</v>
      </c>
      <c r="L2170" s="1">
        <v>19.72</v>
      </c>
      <c r="M2170" s="1">
        <f t="shared" si="273"/>
        <v>19.72</v>
      </c>
      <c r="N2170" s="66">
        <f>+I2170+20-1</f>
        <v>42780</v>
      </c>
      <c r="O2170" s="1">
        <v>2330501</v>
      </c>
      <c r="P2170" s="36">
        <f t="shared" si="276"/>
        <v>2326960.9984810129</v>
      </c>
      <c r="Q2170" s="272">
        <v>42809</v>
      </c>
      <c r="R2170" s="272">
        <v>42810</v>
      </c>
      <c r="S2170" s="321">
        <f t="shared" si="277"/>
        <v>30</v>
      </c>
    </row>
    <row r="2171" spans="1:19" s="1" customFormat="1" hidden="1" x14ac:dyDescent="0.25">
      <c r="A2171" s="84">
        <v>1099</v>
      </c>
      <c r="B2171" s="204">
        <v>42772</v>
      </c>
      <c r="C2171" s="1">
        <v>114</v>
      </c>
      <c r="D2171" s="1">
        <v>3000036296</v>
      </c>
      <c r="E2171" s="5" t="s">
        <v>599</v>
      </c>
      <c r="F2171" s="5">
        <v>3314</v>
      </c>
      <c r="G2171" s="204">
        <v>42761</v>
      </c>
      <c r="H2171" s="204"/>
      <c r="I2171" s="204">
        <v>42765</v>
      </c>
      <c r="J2171" s="1" t="s">
        <v>16</v>
      </c>
      <c r="K2171" s="5">
        <v>19.86</v>
      </c>
      <c r="L2171" s="5">
        <v>19.86</v>
      </c>
      <c r="M2171" s="5">
        <v>19.86</v>
      </c>
      <c r="N2171" s="211">
        <f t="shared" ref="N2171:N2178" si="278">+I2171+15-1</f>
        <v>42779</v>
      </c>
      <c r="O2171" s="5">
        <v>1102230</v>
      </c>
      <c r="P2171" s="36">
        <f t="shared" si="276"/>
        <v>1102230</v>
      </c>
      <c r="Q2171" s="272">
        <v>42809</v>
      </c>
      <c r="R2171" s="272">
        <v>42810</v>
      </c>
      <c r="S2171" s="321">
        <f t="shared" si="277"/>
        <v>31</v>
      </c>
    </row>
    <row r="2172" spans="1:19" s="3" customFormat="1" hidden="1" x14ac:dyDescent="0.25">
      <c r="A2172" s="13"/>
      <c r="B2172" s="204">
        <v>42779</v>
      </c>
      <c r="C2172" s="5">
        <v>114</v>
      </c>
      <c r="D2172" s="5">
        <v>3000036563</v>
      </c>
      <c r="E2172" s="5" t="s">
        <v>599</v>
      </c>
      <c r="F2172" s="5">
        <v>3331</v>
      </c>
      <c r="G2172" s="204">
        <v>42769</v>
      </c>
      <c r="H2172" s="204"/>
      <c r="I2172" s="204">
        <v>42773</v>
      </c>
      <c r="J2172" s="1" t="s">
        <v>8</v>
      </c>
      <c r="K2172" s="5">
        <v>28.43</v>
      </c>
      <c r="L2172" s="5">
        <v>27.83</v>
      </c>
      <c r="M2172" s="5">
        <v>27.83</v>
      </c>
      <c r="N2172" s="211">
        <f t="shared" si="278"/>
        <v>42787</v>
      </c>
      <c r="O2172" s="5">
        <v>1592080</v>
      </c>
      <c r="P2172" s="36">
        <f t="shared" si="276"/>
        <v>1558480</v>
      </c>
      <c r="Q2172" s="272">
        <v>42809</v>
      </c>
      <c r="R2172" s="272">
        <v>42810</v>
      </c>
      <c r="S2172" s="321">
        <f t="shared" si="277"/>
        <v>23</v>
      </c>
    </row>
    <row r="2173" spans="1:19" s="3" customFormat="1" hidden="1" x14ac:dyDescent="0.25">
      <c r="A2173" s="13"/>
      <c r="B2173" s="204">
        <v>42779</v>
      </c>
      <c r="C2173" s="5">
        <v>114</v>
      </c>
      <c r="D2173" s="5">
        <v>3000036296</v>
      </c>
      <c r="E2173" s="5" t="s">
        <v>599</v>
      </c>
      <c r="F2173" s="5">
        <v>3332</v>
      </c>
      <c r="G2173" s="204">
        <v>42770</v>
      </c>
      <c r="H2173" s="204"/>
      <c r="I2173" s="204">
        <v>42773</v>
      </c>
      <c r="J2173" s="1" t="s">
        <v>8</v>
      </c>
      <c r="K2173" s="5">
        <v>1</v>
      </c>
      <c r="L2173" s="5">
        <v>0.92500000000000004</v>
      </c>
      <c r="M2173" s="5">
        <v>0.92500000000000004</v>
      </c>
      <c r="N2173" s="211">
        <f t="shared" si="278"/>
        <v>42787</v>
      </c>
      <c r="O2173" s="5">
        <v>55500</v>
      </c>
      <c r="P2173" s="36">
        <f t="shared" si="276"/>
        <v>51337.5</v>
      </c>
      <c r="Q2173" s="272">
        <v>42809</v>
      </c>
      <c r="R2173" s="272">
        <v>42810</v>
      </c>
      <c r="S2173" s="321">
        <f t="shared" si="277"/>
        <v>23</v>
      </c>
    </row>
    <row r="2174" spans="1:19" s="3" customFormat="1" hidden="1" x14ac:dyDescent="0.25">
      <c r="A2174" s="13"/>
      <c r="B2174" s="204">
        <v>42779</v>
      </c>
      <c r="C2174" s="5">
        <v>114</v>
      </c>
      <c r="D2174" s="5">
        <v>3000036341</v>
      </c>
      <c r="E2174" s="5" t="s">
        <v>599</v>
      </c>
      <c r="F2174" s="5">
        <v>3332</v>
      </c>
      <c r="G2174" s="204">
        <v>42770</v>
      </c>
      <c r="H2174" s="204"/>
      <c r="I2174" s="204">
        <v>42773</v>
      </c>
      <c r="J2174" s="1" t="s">
        <v>8</v>
      </c>
      <c r="K2174" s="5">
        <v>27.024999999999999</v>
      </c>
      <c r="L2174" s="5">
        <v>27.024999999999999</v>
      </c>
      <c r="M2174" s="5">
        <v>27.024999999999999</v>
      </c>
      <c r="N2174" s="211">
        <f t="shared" si="278"/>
        <v>42787</v>
      </c>
      <c r="O2174" s="5">
        <v>1491780</v>
      </c>
      <c r="P2174" s="36">
        <f t="shared" si="276"/>
        <v>1491780</v>
      </c>
      <c r="Q2174" s="272">
        <v>42809</v>
      </c>
      <c r="R2174" s="272">
        <v>42810</v>
      </c>
      <c r="S2174" s="321">
        <f t="shared" si="277"/>
        <v>23</v>
      </c>
    </row>
    <row r="2175" spans="1:19" s="1" customFormat="1" hidden="1" x14ac:dyDescent="0.25">
      <c r="A2175" s="84">
        <v>1096</v>
      </c>
      <c r="B2175" s="204">
        <v>42772</v>
      </c>
      <c r="C2175" s="5">
        <v>114</v>
      </c>
      <c r="D2175" s="5">
        <v>3000037337</v>
      </c>
      <c r="E2175" s="5" t="s">
        <v>18</v>
      </c>
      <c r="F2175" s="5">
        <v>171</v>
      </c>
      <c r="G2175" s="204">
        <v>42746</v>
      </c>
      <c r="H2175" s="204"/>
      <c r="I2175" s="204">
        <v>42766</v>
      </c>
      <c r="J2175" s="1" t="s">
        <v>8</v>
      </c>
      <c r="K2175" s="5">
        <v>26</v>
      </c>
      <c r="L2175" s="5">
        <v>25.89</v>
      </c>
      <c r="M2175" s="5">
        <v>25.89</v>
      </c>
      <c r="N2175" s="66">
        <f t="shared" si="278"/>
        <v>42780</v>
      </c>
      <c r="O2175" s="5">
        <v>1534000</v>
      </c>
      <c r="P2175" s="36">
        <f>(+O2175/K2175*M2175)-18504</f>
        <v>1509006</v>
      </c>
      <c r="Q2175" s="272">
        <v>42809</v>
      </c>
      <c r="R2175" s="272">
        <v>42810</v>
      </c>
      <c r="S2175" s="321">
        <f t="shared" si="277"/>
        <v>30</v>
      </c>
    </row>
    <row r="2176" spans="1:19" s="1" customFormat="1" hidden="1" x14ac:dyDescent="0.25">
      <c r="A2176" s="84"/>
      <c r="B2176" s="204">
        <v>42786</v>
      </c>
      <c r="C2176" s="5">
        <v>114</v>
      </c>
      <c r="D2176" s="1">
        <v>3000038505</v>
      </c>
      <c r="E2176" s="1" t="s">
        <v>18</v>
      </c>
      <c r="F2176" s="16">
        <v>190</v>
      </c>
      <c r="G2176" s="204">
        <v>42773</v>
      </c>
      <c r="H2176" s="204"/>
      <c r="I2176" s="204">
        <v>42780</v>
      </c>
      <c r="J2176" s="1" t="s">
        <v>8</v>
      </c>
      <c r="K2176" s="1">
        <v>18</v>
      </c>
      <c r="L2176" s="1">
        <v>17.95</v>
      </c>
      <c r="M2176" s="5">
        <f>IF(L2176&gt;K2176,K2176,L2176)</f>
        <v>17.95</v>
      </c>
      <c r="N2176" s="211">
        <f t="shared" si="278"/>
        <v>42794</v>
      </c>
      <c r="O2176" s="1">
        <v>1071000</v>
      </c>
      <c r="P2176" s="36">
        <f t="shared" ref="P2176:P2203" si="279">(+O2176/K2176*M2176)</f>
        <v>1068025</v>
      </c>
      <c r="Q2176" s="272">
        <v>42809</v>
      </c>
      <c r="R2176" s="272">
        <v>42810</v>
      </c>
      <c r="S2176" s="321">
        <f t="shared" si="277"/>
        <v>16</v>
      </c>
    </row>
    <row r="2177" spans="1:19" s="1" customFormat="1" hidden="1" x14ac:dyDescent="0.25">
      <c r="A2177" s="84"/>
      <c r="B2177" s="204">
        <v>42786</v>
      </c>
      <c r="C2177" s="5">
        <v>114</v>
      </c>
      <c r="D2177" s="1">
        <v>3000038238</v>
      </c>
      <c r="E2177" s="1" t="s">
        <v>18</v>
      </c>
      <c r="F2177" s="16">
        <v>190</v>
      </c>
      <c r="G2177" s="204">
        <v>42773</v>
      </c>
      <c r="H2177" s="204"/>
      <c r="I2177" s="204">
        <v>42780</v>
      </c>
      <c r="J2177" s="1" t="s">
        <v>8</v>
      </c>
      <c r="K2177" s="1">
        <v>1.1499999999999999</v>
      </c>
      <c r="L2177" s="1">
        <v>1.1499999999999999</v>
      </c>
      <c r="M2177" s="5">
        <f>IF(L2177&gt;K2177,K2177,L2177)</f>
        <v>1.1499999999999999</v>
      </c>
      <c r="N2177" s="211">
        <f t="shared" si="278"/>
        <v>42794</v>
      </c>
      <c r="O2177" s="1">
        <v>66125</v>
      </c>
      <c r="P2177" s="36">
        <f t="shared" si="279"/>
        <v>66125</v>
      </c>
      <c r="Q2177" s="272">
        <v>42809</v>
      </c>
      <c r="R2177" s="272">
        <v>42810</v>
      </c>
      <c r="S2177" s="321">
        <f t="shared" si="277"/>
        <v>16</v>
      </c>
    </row>
    <row r="2178" spans="1:19" s="3" customFormat="1" hidden="1" x14ac:dyDescent="0.25">
      <c r="A2178" s="13"/>
      <c r="B2178" s="204">
        <v>42781</v>
      </c>
      <c r="C2178" s="5">
        <v>114</v>
      </c>
      <c r="D2178" s="5">
        <v>3000038505</v>
      </c>
      <c r="E2178" s="5" t="s">
        <v>18</v>
      </c>
      <c r="F2178" s="5">
        <v>191</v>
      </c>
      <c r="G2178" s="204">
        <v>42773</v>
      </c>
      <c r="H2178" s="204"/>
      <c r="I2178" s="204">
        <v>42777</v>
      </c>
      <c r="J2178" s="1" t="s">
        <v>8</v>
      </c>
      <c r="K2178" s="5">
        <v>27.29</v>
      </c>
      <c r="L2178" s="5">
        <v>27.06</v>
      </c>
      <c r="M2178" s="5">
        <v>27.06</v>
      </c>
      <c r="N2178" s="211">
        <f t="shared" si="278"/>
        <v>42791</v>
      </c>
      <c r="O2178" s="5">
        <v>1623755</v>
      </c>
      <c r="P2178" s="266">
        <f t="shared" si="279"/>
        <v>1610070</v>
      </c>
      <c r="Q2178" s="272">
        <v>42809</v>
      </c>
      <c r="R2178" s="272">
        <v>42810</v>
      </c>
      <c r="S2178" s="321">
        <f t="shared" si="277"/>
        <v>19</v>
      </c>
    </row>
    <row r="2179" spans="1:19" s="1" customFormat="1" hidden="1" x14ac:dyDescent="0.25">
      <c r="A2179" s="84">
        <v>1102</v>
      </c>
      <c r="B2179" s="204">
        <v>42772</v>
      </c>
      <c r="C2179" s="5">
        <v>103</v>
      </c>
      <c r="D2179" s="5">
        <v>3000038298</v>
      </c>
      <c r="E2179" s="5" t="s">
        <v>601</v>
      </c>
      <c r="F2179" s="5">
        <v>277</v>
      </c>
      <c r="G2179" s="204">
        <v>42758</v>
      </c>
      <c r="H2179" s="204"/>
      <c r="I2179" s="204">
        <v>42761</v>
      </c>
      <c r="J2179" s="1" t="s">
        <v>61</v>
      </c>
      <c r="K2179" s="5">
        <v>19.25</v>
      </c>
      <c r="L2179" s="5">
        <v>19.25</v>
      </c>
      <c r="M2179" s="5">
        <f>IF(L2179&gt;K2179,K2179,L2179)</f>
        <v>19.25</v>
      </c>
      <c r="N2179" s="66">
        <f>+I2179+20-1</f>
        <v>42780</v>
      </c>
      <c r="O2179" s="5">
        <v>2271770</v>
      </c>
      <c r="P2179" s="36">
        <f t="shared" si="279"/>
        <v>2271770</v>
      </c>
      <c r="Q2179" s="272">
        <v>42809</v>
      </c>
      <c r="R2179" s="272">
        <v>42810</v>
      </c>
      <c r="S2179" s="321">
        <f t="shared" si="277"/>
        <v>30</v>
      </c>
    </row>
    <row r="2180" spans="1:19" s="3" customFormat="1" hidden="1" x14ac:dyDescent="0.25">
      <c r="A2180" s="271">
        <v>1095</v>
      </c>
      <c r="B2180" s="272">
        <v>42772</v>
      </c>
      <c r="C2180" s="299">
        <v>114</v>
      </c>
      <c r="D2180" s="299">
        <v>3000037473</v>
      </c>
      <c r="E2180" s="299" t="s">
        <v>30</v>
      </c>
      <c r="F2180" s="299">
        <v>650</v>
      </c>
      <c r="G2180" s="298">
        <v>42764</v>
      </c>
      <c r="H2180" s="298"/>
      <c r="I2180" s="298">
        <v>42767</v>
      </c>
      <c r="J2180" s="287" t="s">
        <v>229</v>
      </c>
      <c r="K2180" s="299">
        <v>28.07</v>
      </c>
      <c r="L2180" s="299">
        <v>27.96</v>
      </c>
      <c r="M2180" s="299">
        <v>27.96</v>
      </c>
      <c r="N2180" s="66">
        <f>+I2180+15-1</f>
        <v>42781</v>
      </c>
      <c r="O2180" s="299">
        <v>1459640</v>
      </c>
      <c r="P2180" s="288">
        <f t="shared" si="279"/>
        <v>1453920</v>
      </c>
      <c r="Q2180" s="272">
        <v>42809</v>
      </c>
      <c r="R2180" s="272">
        <v>42810</v>
      </c>
      <c r="S2180" s="321">
        <f t="shared" si="277"/>
        <v>29</v>
      </c>
    </row>
    <row r="2181" spans="1:19" s="3" customFormat="1" hidden="1" x14ac:dyDescent="0.25">
      <c r="A2181" s="13"/>
      <c r="B2181" s="204">
        <v>42779</v>
      </c>
      <c r="C2181" s="5">
        <v>114</v>
      </c>
      <c r="D2181" s="5">
        <v>3000038233</v>
      </c>
      <c r="E2181" s="5" t="s">
        <v>30</v>
      </c>
      <c r="F2181" s="5">
        <v>678</v>
      </c>
      <c r="G2181" s="204">
        <v>42770</v>
      </c>
      <c r="H2181" s="204"/>
      <c r="I2181" s="204">
        <v>42773</v>
      </c>
      <c r="J2181" s="1" t="s">
        <v>229</v>
      </c>
      <c r="K2181" s="5">
        <v>26.75</v>
      </c>
      <c r="L2181" s="5">
        <v>26.65</v>
      </c>
      <c r="M2181" s="5">
        <v>26.65</v>
      </c>
      <c r="N2181" s="211">
        <f>+I2181+15-1</f>
        <v>42787</v>
      </c>
      <c r="O2181" s="5">
        <v>1377625</v>
      </c>
      <c r="P2181" s="36">
        <f t="shared" si="279"/>
        <v>1372475</v>
      </c>
      <c r="Q2181" s="272">
        <v>42809</v>
      </c>
      <c r="R2181" s="272">
        <v>42810</v>
      </c>
      <c r="S2181" s="321">
        <f t="shared" si="277"/>
        <v>23</v>
      </c>
    </row>
    <row r="2182" spans="1:19" s="3" customFormat="1" hidden="1" x14ac:dyDescent="0.25">
      <c r="A2182" s="13"/>
      <c r="B2182" s="204">
        <v>42779</v>
      </c>
      <c r="C2182" s="5">
        <v>114</v>
      </c>
      <c r="D2182" s="5">
        <v>3000038233</v>
      </c>
      <c r="E2182" s="5" t="s">
        <v>30</v>
      </c>
      <c r="F2182" s="5">
        <v>690</v>
      </c>
      <c r="G2182" s="204">
        <v>42772</v>
      </c>
      <c r="H2182" s="204"/>
      <c r="I2182" s="204">
        <v>42774</v>
      </c>
      <c r="J2182" s="1" t="s">
        <v>229</v>
      </c>
      <c r="K2182" s="5">
        <v>29.3</v>
      </c>
      <c r="L2182" s="5">
        <v>29.18</v>
      </c>
      <c r="M2182" s="5">
        <v>29.18</v>
      </c>
      <c r="N2182" s="211">
        <f>+I2182+15-1</f>
        <v>42788</v>
      </c>
      <c r="O2182" s="5">
        <v>1508950</v>
      </c>
      <c r="P2182" s="36">
        <f t="shared" si="279"/>
        <v>1502770</v>
      </c>
      <c r="Q2182" s="272">
        <v>42809</v>
      </c>
      <c r="R2182" s="272">
        <v>42810</v>
      </c>
      <c r="S2182" s="321">
        <f t="shared" si="277"/>
        <v>22</v>
      </c>
    </row>
    <row r="2183" spans="1:19" s="3" customFormat="1" hidden="1" x14ac:dyDescent="0.25">
      <c r="A2183" s="84">
        <v>1074</v>
      </c>
      <c r="B2183" s="204">
        <v>42768</v>
      </c>
      <c r="C2183" s="1">
        <v>103</v>
      </c>
      <c r="D2183" s="1">
        <v>3000038253</v>
      </c>
      <c r="E2183" s="1" t="s">
        <v>171</v>
      </c>
      <c r="F2183" s="1">
        <v>125</v>
      </c>
      <c r="G2183" s="204">
        <v>42759</v>
      </c>
      <c r="H2183" s="204"/>
      <c r="I2183" s="204">
        <v>42763</v>
      </c>
      <c r="J2183" s="1" t="s">
        <v>61</v>
      </c>
      <c r="K2183" s="1">
        <v>20.02</v>
      </c>
      <c r="L2183" s="1">
        <v>20.010000000000002</v>
      </c>
      <c r="M2183" s="1">
        <f>IF(L2183&gt;K2183,K2183,L2183)</f>
        <v>20.010000000000002</v>
      </c>
      <c r="N2183" s="66">
        <f>+I2183+20-1</f>
        <v>42782</v>
      </c>
      <c r="O2183" s="1">
        <v>2362436</v>
      </c>
      <c r="P2183" s="36">
        <f t="shared" si="279"/>
        <v>2361255.9620379624</v>
      </c>
      <c r="Q2183" s="272">
        <v>42809</v>
      </c>
      <c r="R2183" s="272">
        <v>42810</v>
      </c>
      <c r="S2183" s="321">
        <f t="shared" si="277"/>
        <v>28</v>
      </c>
    </row>
    <row r="2184" spans="1:19" s="3" customFormat="1" hidden="1" x14ac:dyDescent="0.25">
      <c r="A2184" s="13">
        <v>1090</v>
      </c>
      <c r="B2184" s="204">
        <v>42769</v>
      </c>
      <c r="C2184" s="1">
        <v>103</v>
      </c>
      <c r="D2184" s="1">
        <v>3000038379</v>
      </c>
      <c r="E2184" s="1" t="s">
        <v>348</v>
      </c>
      <c r="F2184" s="1">
        <v>204</v>
      </c>
      <c r="G2184" s="204">
        <v>42754</v>
      </c>
      <c r="H2184" s="204"/>
      <c r="I2184" s="204">
        <v>42768</v>
      </c>
      <c r="J2184" s="1" t="s">
        <v>16</v>
      </c>
      <c r="K2184" s="1">
        <v>20.74</v>
      </c>
      <c r="L2184" s="1">
        <v>20.75</v>
      </c>
      <c r="M2184" s="1">
        <f>IF(L2184&gt;K2184,K2184,L2184)</f>
        <v>20.74</v>
      </c>
      <c r="N2184" s="66">
        <f>+I2184+20-1</f>
        <v>42787</v>
      </c>
      <c r="O2184" s="1">
        <v>1164033</v>
      </c>
      <c r="P2184" s="36">
        <f t="shared" si="279"/>
        <v>1164033</v>
      </c>
      <c r="Q2184" s="272">
        <v>42809</v>
      </c>
      <c r="R2184" s="272">
        <v>42810</v>
      </c>
      <c r="S2184" s="321">
        <f t="shared" si="277"/>
        <v>23</v>
      </c>
    </row>
    <row r="2185" spans="1:19" s="3" customFormat="1" hidden="1" x14ac:dyDescent="0.25">
      <c r="A2185" s="1">
        <v>1087</v>
      </c>
      <c r="B2185" s="204">
        <v>42768</v>
      </c>
      <c r="C2185" s="1">
        <v>103</v>
      </c>
      <c r="D2185" s="1">
        <v>3000038379</v>
      </c>
      <c r="E2185" s="1" t="s">
        <v>348</v>
      </c>
      <c r="F2185" s="1">
        <v>205</v>
      </c>
      <c r="G2185" s="204">
        <v>42764</v>
      </c>
      <c r="H2185" s="204"/>
      <c r="I2185" s="204">
        <v>42767</v>
      </c>
      <c r="J2185" s="1" t="s">
        <v>16</v>
      </c>
      <c r="K2185" s="1">
        <v>20.76</v>
      </c>
      <c r="L2185" s="1">
        <v>20.76</v>
      </c>
      <c r="M2185" s="1">
        <f>IF(L2185&gt;K2185,K2185,L2185)</f>
        <v>20.76</v>
      </c>
      <c r="N2185" s="66">
        <f>+I2185+20-1</f>
        <v>42786</v>
      </c>
      <c r="O2185" s="1">
        <v>1165155</v>
      </c>
      <c r="P2185" s="36">
        <f t="shared" si="279"/>
        <v>1165155</v>
      </c>
      <c r="Q2185" s="272">
        <v>42809</v>
      </c>
      <c r="R2185" s="272">
        <v>42810</v>
      </c>
      <c r="S2185" s="321">
        <f t="shared" si="277"/>
        <v>24</v>
      </c>
    </row>
    <row r="2186" spans="1:19" s="3" customFormat="1" hidden="1" x14ac:dyDescent="0.25">
      <c r="A2186" s="13">
        <v>1103</v>
      </c>
      <c r="B2186" s="204">
        <v>42772</v>
      </c>
      <c r="C2186" s="5">
        <v>114</v>
      </c>
      <c r="D2186" s="5">
        <v>3000037985</v>
      </c>
      <c r="E2186" s="5" t="s">
        <v>348</v>
      </c>
      <c r="F2186" s="5">
        <v>318</v>
      </c>
      <c r="G2186" s="204">
        <v>42767</v>
      </c>
      <c r="H2186" s="204"/>
      <c r="I2186" s="204">
        <v>42770</v>
      </c>
      <c r="J2186" s="1" t="s">
        <v>16</v>
      </c>
      <c r="K2186" s="5">
        <v>19.882000000000001</v>
      </c>
      <c r="L2186" s="5">
        <v>19.72</v>
      </c>
      <c r="M2186" s="5">
        <f>IF(L2186&gt;K2186,K2186,L2186)</f>
        <v>19.72</v>
      </c>
      <c r="N2186" s="211">
        <f>+I2186+15-1</f>
        <v>42784</v>
      </c>
      <c r="O2186" s="5">
        <v>1120520</v>
      </c>
      <c r="P2186" s="36">
        <f t="shared" si="279"/>
        <v>1111389.9205311337</v>
      </c>
      <c r="Q2186" s="272">
        <v>42809</v>
      </c>
      <c r="R2186" s="272">
        <v>42810</v>
      </c>
      <c r="S2186" s="321">
        <f t="shared" si="277"/>
        <v>26</v>
      </c>
    </row>
    <row r="2187" spans="1:19" s="3" customFormat="1" hidden="1" x14ac:dyDescent="0.25">
      <c r="A2187" s="13"/>
      <c r="B2187" s="272">
        <v>42781</v>
      </c>
      <c r="C2187" s="311">
        <v>114</v>
      </c>
      <c r="D2187" s="311">
        <v>3000037340</v>
      </c>
      <c r="E2187" s="311" t="s">
        <v>348</v>
      </c>
      <c r="F2187" s="311">
        <v>319</v>
      </c>
      <c r="G2187" s="272">
        <v>42774</v>
      </c>
      <c r="H2187" s="272"/>
      <c r="I2187" s="272">
        <v>42778</v>
      </c>
      <c r="J2187" s="91" t="s">
        <v>8</v>
      </c>
      <c r="K2187" s="311">
        <v>27.41</v>
      </c>
      <c r="L2187" s="311">
        <v>27.24</v>
      </c>
      <c r="M2187" s="311">
        <v>27.24</v>
      </c>
      <c r="N2187" s="211">
        <f>+I2187+15-1</f>
        <v>42792</v>
      </c>
      <c r="O2187" s="311">
        <v>1617190</v>
      </c>
      <c r="P2187" s="288">
        <f t="shared" si="279"/>
        <v>1607160</v>
      </c>
      <c r="Q2187" s="272">
        <v>42809</v>
      </c>
      <c r="R2187" s="272">
        <v>42810</v>
      </c>
      <c r="S2187" s="321">
        <f t="shared" si="277"/>
        <v>18</v>
      </c>
    </row>
    <row r="2188" spans="1:19" s="3" customFormat="1" hidden="1" x14ac:dyDescent="0.25">
      <c r="A2188" s="84">
        <v>1100</v>
      </c>
      <c r="B2188" s="204">
        <v>42772</v>
      </c>
      <c r="C2188" s="5">
        <v>114</v>
      </c>
      <c r="D2188" s="5">
        <v>3000037985</v>
      </c>
      <c r="E2188" s="5" t="s">
        <v>348</v>
      </c>
      <c r="F2188" s="1">
        <v>314</v>
      </c>
      <c r="G2188" s="204">
        <v>42760</v>
      </c>
      <c r="H2188" s="204"/>
      <c r="I2188" s="204">
        <v>42766</v>
      </c>
      <c r="J2188" s="1" t="s">
        <v>16</v>
      </c>
      <c r="K2188" s="5">
        <v>24.945</v>
      </c>
      <c r="L2188" s="5">
        <v>24.9</v>
      </c>
      <c r="M2188" s="5">
        <v>24.9</v>
      </c>
      <c r="N2188" s="66">
        <f>+I2188+20-1</f>
        <v>42785</v>
      </c>
      <c r="O2188" s="5">
        <v>1405651</v>
      </c>
      <c r="P2188" s="266">
        <f t="shared" si="279"/>
        <v>1403115.2495490077</v>
      </c>
      <c r="Q2188" s="272">
        <v>42809</v>
      </c>
      <c r="R2188" s="272">
        <v>42810</v>
      </c>
      <c r="S2188" s="321">
        <f t="shared" si="277"/>
        <v>25</v>
      </c>
    </row>
    <row r="2189" spans="1:19" s="3" customFormat="1" hidden="1" x14ac:dyDescent="0.25">
      <c r="A2189" s="84">
        <v>1082</v>
      </c>
      <c r="B2189" s="204">
        <v>42768</v>
      </c>
      <c r="C2189" s="1">
        <v>103</v>
      </c>
      <c r="D2189" s="1">
        <v>3000038374</v>
      </c>
      <c r="E2189" s="1" t="s">
        <v>456</v>
      </c>
      <c r="F2189" s="1">
        <v>91</v>
      </c>
      <c r="G2189" s="204">
        <v>42761</v>
      </c>
      <c r="H2189" s="204"/>
      <c r="I2189" s="204">
        <v>42767</v>
      </c>
      <c r="J2189" s="1" t="s">
        <v>61</v>
      </c>
      <c r="K2189" s="1">
        <v>19.715</v>
      </c>
      <c r="L2189" s="1">
        <v>19.78</v>
      </c>
      <c r="M2189" s="1">
        <f>IF(L2189&gt;K2189,K2189,L2189)</f>
        <v>19.715</v>
      </c>
      <c r="N2189" s="66">
        <f>+I2189+20-1</f>
        <v>42786</v>
      </c>
      <c r="O2189" s="1">
        <v>2464394</v>
      </c>
      <c r="P2189" s="36">
        <f t="shared" si="279"/>
        <v>2464394</v>
      </c>
      <c r="Q2189" s="272">
        <v>42809</v>
      </c>
      <c r="R2189" s="272">
        <v>42810</v>
      </c>
      <c r="S2189" s="321">
        <f t="shared" si="277"/>
        <v>24</v>
      </c>
    </row>
    <row r="2190" spans="1:19" s="3" customFormat="1" hidden="1" x14ac:dyDescent="0.25">
      <c r="A2190" s="84">
        <v>1090</v>
      </c>
      <c r="B2190" s="204">
        <v>42769</v>
      </c>
      <c r="C2190" s="1">
        <v>103</v>
      </c>
      <c r="D2190" s="1">
        <v>3000038048</v>
      </c>
      <c r="E2190" s="1" t="s">
        <v>579</v>
      </c>
      <c r="F2190" s="1">
        <v>316</v>
      </c>
      <c r="G2190" s="204">
        <v>42760</v>
      </c>
      <c r="H2190" s="204"/>
      <c r="I2190" s="204">
        <v>42767</v>
      </c>
      <c r="J2190" s="1" t="s">
        <v>16</v>
      </c>
      <c r="K2190" s="1">
        <v>23</v>
      </c>
      <c r="L2190" s="1">
        <v>23.1</v>
      </c>
      <c r="M2190" s="1">
        <f>IF(L2190&gt;K2190,K2190,L2190)</f>
        <v>23</v>
      </c>
      <c r="N2190" s="66">
        <f>+I2190+20-1</f>
        <v>42786</v>
      </c>
      <c r="O2190" s="1">
        <v>1264425</v>
      </c>
      <c r="P2190" s="36">
        <f t="shared" si="279"/>
        <v>1264425</v>
      </c>
      <c r="Q2190" s="272">
        <v>42809</v>
      </c>
      <c r="R2190" s="272">
        <v>42810</v>
      </c>
      <c r="S2190" s="321">
        <f t="shared" si="277"/>
        <v>24</v>
      </c>
    </row>
    <row r="2191" spans="1:19" s="3" customFormat="1" hidden="1" x14ac:dyDescent="0.25">
      <c r="A2191" s="13">
        <v>1090</v>
      </c>
      <c r="B2191" s="204">
        <v>42772</v>
      </c>
      <c r="C2191" s="5">
        <v>103</v>
      </c>
      <c r="D2191" s="5">
        <v>3000038048</v>
      </c>
      <c r="E2191" s="5" t="s">
        <v>579</v>
      </c>
      <c r="F2191" s="5">
        <v>354</v>
      </c>
      <c r="G2191" s="204">
        <v>42765</v>
      </c>
      <c r="H2191" s="204"/>
      <c r="I2191" s="204">
        <v>42768</v>
      </c>
      <c r="J2191" s="1" t="s">
        <v>16</v>
      </c>
      <c r="K2191" s="5">
        <v>23.91</v>
      </c>
      <c r="L2191" s="5">
        <v>23.87</v>
      </c>
      <c r="M2191" s="5">
        <f>IF(L2191&gt;K2191,K2191,L2191)</f>
        <v>23.87</v>
      </c>
      <c r="N2191" s="66">
        <f>+I2191+20-1</f>
        <v>42787</v>
      </c>
      <c r="O2191" s="5">
        <v>1314452</v>
      </c>
      <c r="P2191" s="36">
        <f t="shared" si="279"/>
        <v>1312253.0004182351</v>
      </c>
      <c r="Q2191" s="272">
        <v>42809</v>
      </c>
      <c r="R2191" s="272">
        <v>42810</v>
      </c>
      <c r="S2191" s="321">
        <f t="shared" si="277"/>
        <v>23</v>
      </c>
    </row>
    <row r="2192" spans="1:19" s="3" customFormat="1" hidden="1" x14ac:dyDescent="0.25">
      <c r="A2192" s="13"/>
      <c r="B2192" s="298">
        <v>42779</v>
      </c>
      <c r="C2192" s="299">
        <v>114</v>
      </c>
      <c r="D2192" s="299">
        <v>3000037981</v>
      </c>
      <c r="E2192" s="299" t="s">
        <v>612</v>
      </c>
      <c r="F2192" s="299">
        <v>321</v>
      </c>
      <c r="G2192" s="298">
        <v>42767</v>
      </c>
      <c r="H2192" s="298"/>
      <c r="I2192" s="298">
        <v>42772</v>
      </c>
      <c r="J2192" s="287" t="s">
        <v>16</v>
      </c>
      <c r="K2192" s="299">
        <v>20.05</v>
      </c>
      <c r="L2192" s="299">
        <v>20.04</v>
      </c>
      <c r="M2192" s="299">
        <v>20.04</v>
      </c>
      <c r="N2192" s="303">
        <f>+I2192+15-1</f>
        <v>42786</v>
      </c>
      <c r="O2192" s="299">
        <v>1129818</v>
      </c>
      <c r="P2192" s="288">
        <f t="shared" si="279"/>
        <v>1129254.4997506232</v>
      </c>
      <c r="Q2192" s="272">
        <v>42809</v>
      </c>
      <c r="R2192" s="272">
        <v>42810</v>
      </c>
      <c r="S2192" s="321">
        <f t="shared" si="277"/>
        <v>24</v>
      </c>
    </row>
    <row r="2193" spans="1:19" s="3" customFormat="1" hidden="1" x14ac:dyDescent="0.25">
      <c r="A2193" s="13">
        <v>1101</v>
      </c>
      <c r="B2193" s="204">
        <v>42772</v>
      </c>
      <c r="C2193" s="5">
        <v>103</v>
      </c>
      <c r="D2193" s="1">
        <v>3000038371</v>
      </c>
      <c r="E2193" s="5" t="s">
        <v>158</v>
      </c>
      <c r="F2193" s="5">
        <v>188</v>
      </c>
      <c r="G2193" s="204">
        <v>42763</v>
      </c>
      <c r="H2193" s="204"/>
      <c r="I2193" s="204">
        <v>42768</v>
      </c>
      <c r="J2193" s="1" t="s">
        <v>61</v>
      </c>
      <c r="K2193" s="5">
        <v>19.760000000000002</v>
      </c>
      <c r="L2193" s="5">
        <v>19.75</v>
      </c>
      <c r="M2193" s="18">
        <f>IF(L2193&gt;K2193,K2193,L2193)</f>
        <v>19.75</v>
      </c>
      <c r="N2193" s="66">
        <f>+I2193+20-1</f>
        <v>42787</v>
      </c>
      <c r="O2193" s="1">
        <v>2489760</v>
      </c>
      <c r="P2193" s="36">
        <f t="shared" si="279"/>
        <v>2488499.9999999995</v>
      </c>
      <c r="Q2193" s="272">
        <v>42809</v>
      </c>
      <c r="R2193" s="272">
        <v>42810</v>
      </c>
      <c r="S2193" s="321">
        <f t="shared" si="277"/>
        <v>23</v>
      </c>
    </row>
    <row r="2194" spans="1:19" s="3" customFormat="1" hidden="1" x14ac:dyDescent="0.25">
      <c r="A2194" s="13"/>
      <c r="B2194" s="204">
        <v>42779</v>
      </c>
      <c r="C2194" s="5">
        <v>114</v>
      </c>
      <c r="D2194" s="5">
        <v>3000037984</v>
      </c>
      <c r="E2194" s="5" t="s">
        <v>613</v>
      </c>
      <c r="F2194" s="5">
        <v>327</v>
      </c>
      <c r="G2194" s="204">
        <v>42769</v>
      </c>
      <c r="H2194" s="204"/>
      <c r="I2194" s="204">
        <v>42773</v>
      </c>
      <c r="J2194" s="1" t="s">
        <v>16</v>
      </c>
      <c r="K2194" s="5">
        <v>28.155000000000001</v>
      </c>
      <c r="L2194" s="5">
        <v>28.14</v>
      </c>
      <c r="M2194" s="5">
        <v>28.14</v>
      </c>
      <c r="N2194" s="211">
        <f>+I2194+15-1</f>
        <v>42787</v>
      </c>
      <c r="O2194" s="5">
        <v>1586534</v>
      </c>
      <c r="P2194" s="36">
        <f t="shared" si="279"/>
        <v>1585688.7501331912</v>
      </c>
      <c r="Q2194" s="272">
        <v>42809</v>
      </c>
      <c r="R2194" s="272">
        <v>42810</v>
      </c>
      <c r="S2194" s="321">
        <f t="shared" si="277"/>
        <v>23</v>
      </c>
    </row>
    <row r="2195" spans="1:19" s="3" customFormat="1" hidden="1" x14ac:dyDescent="0.25">
      <c r="A2195" s="13"/>
      <c r="B2195" s="204">
        <v>42779</v>
      </c>
      <c r="C2195" s="5">
        <v>114</v>
      </c>
      <c r="D2195" s="5">
        <v>3000038236</v>
      </c>
      <c r="E2195" s="5" t="s">
        <v>614</v>
      </c>
      <c r="F2195" s="5">
        <v>969</v>
      </c>
      <c r="G2195" s="204">
        <v>42769</v>
      </c>
      <c r="H2195" s="204"/>
      <c r="I2195" s="204">
        <v>42773</v>
      </c>
      <c r="J2195" s="1" t="s">
        <v>8</v>
      </c>
      <c r="K2195" s="5">
        <v>29.875</v>
      </c>
      <c r="L2195" s="5">
        <v>29.83</v>
      </c>
      <c r="M2195" s="5">
        <v>29.83</v>
      </c>
      <c r="N2195" s="211">
        <f>+I2195+15-1</f>
        <v>42787</v>
      </c>
      <c r="O2195" s="5">
        <v>1717813</v>
      </c>
      <c r="P2195" s="36">
        <f t="shared" si="279"/>
        <v>1715225.4992468618</v>
      </c>
      <c r="Q2195" s="272">
        <v>42809</v>
      </c>
      <c r="R2195" s="272">
        <v>42810</v>
      </c>
      <c r="S2195" s="321">
        <f t="shared" si="277"/>
        <v>23</v>
      </c>
    </row>
    <row r="2196" spans="1:19" s="3" customFormat="1" hidden="1" x14ac:dyDescent="0.25">
      <c r="A2196" s="13"/>
      <c r="B2196" s="204">
        <v>42781</v>
      </c>
      <c r="C2196" s="5">
        <v>114</v>
      </c>
      <c r="D2196" s="5">
        <v>3000038236</v>
      </c>
      <c r="E2196" s="5" t="s">
        <v>621</v>
      </c>
      <c r="F2196" s="5">
        <v>970</v>
      </c>
      <c r="G2196" s="204">
        <v>42772</v>
      </c>
      <c r="H2196" s="204"/>
      <c r="I2196" s="204">
        <v>42775</v>
      </c>
      <c r="J2196" s="1" t="s">
        <v>8</v>
      </c>
      <c r="K2196" s="5">
        <v>9.1300000000000008</v>
      </c>
      <c r="L2196" s="5">
        <v>9.1300000000000008</v>
      </c>
      <c r="M2196" s="5">
        <v>9.1300000000000008</v>
      </c>
      <c r="N2196" s="211">
        <f>+I2196+15-1</f>
        <v>42789</v>
      </c>
      <c r="O2196" s="5">
        <v>524975</v>
      </c>
      <c r="P2196" s="36">
        <f t="shared" si="279"/>
        <v>524975</v>
      </c>
      <c r="Q2196" s="272">
        <v>42809</v>
      </c>
      <c r="R2196" s="272">
        <v>42810</v>
      </c>
      <c r="S2196" s="321">
        <f t="shared" si="277"/>
        <v>21</v>
      </c>
    </row>
    <row r="2197" spans="1:19" s="3" customFormat="1" hidden="1" x14ac:dyDescent="0.25">
      <c r="A2197" s="13"/>
      <c r="B2197" s="204">
        <v>42781</v>
      </c>
      <c r="C2197" s="5">
        <v>114</v>
      </c>
      <c r="D2197" s="5">
        <v>3000038501</v>
      </c>
      <c r="E2197" s="5" t="s">
        <v>621</v>
      </c>
      <c r="F2197" s="5">
        <v>970</v>
      </c>
      <c r="G2197" s="204">
        <v>42772</v>
      </c>
      <c r="H2197" s="204"/>
      <c r="I2197" s="204">
        <v>42775</v>
      </c>
      <c r="J2197" s="1" t="s">
        <v>8</v>
      </c>
      <c r="K2197" s="5">
        <v>20</v>
      </c>
      <c r="L2197" s="5">
        <v>19.920000000000002</v>
      </c>
      <c r="M2197" s="5">
        <v>19.920000000000002</v>
      </c>
      <c r="N2197" s="211">
        <f>+I2197+15-1</f>
        <v>42789</v>
      </c>
      <c r="O2197" s="5">
        <v>1190000</v>
      </c>
      <c r="P2197" s="36">
        <f t="shared" si="279"/>
        <v>1185240</v>
      </c>
      <c r="Q2197" s="272">
        <v>42809</v>
      </c>
      <c r="R2197" s="272">
        <v>42810</v>
      </c>
      <c r="S2197" s="321">
        <f t="shared" si="277"/>
        <v>21</v>
      </c>
    </row>
    <row r="2198" spans="1:19" s="3" customFormat="1" hidden="1" x14ac:dyDescent="0.25">
      <c r="A2198" s="13">
        <v>1108</v>
      </c>
      <c r="B2198" s="204">
        <v>42774</v>
      </c>
      <c r="C2198" s="5">
        <v>103</v>
      </c>
      <c r="D2198" s="5">
        <v>3000038297</v>
      </c>
      <c r="E2198" s="5" t="s">
        <v>201</v>
      </c>
      <c r="F2198" s="5">
        <v>329</v>
      </c>
      <c r="G2198" s="204">
        <v>42766</v>
      </c>
      <c r="H2198" s="204"/>
      <c r="I2198" s="204">
        <v>42772</v>
      </c>
      <c r="J2198" s="1" t="s">
        <v>61</v>
      </c>
      <c r="K2198" s="5">
        <v>15.58</v>
      </c>
      <c r="L2198" s="5">
        <v>15.57</v>
      </c>
      <c r="M2198" s="5">
        <v>15.57</v>
      </c>
      <c r="N2198" s="66">
        <f>+I2198+20-1</f>
        <v>42791</v>
      </c>
      <c r="O2198" s="5">
        <v>1807669.5</v>
      </c>
      <c r="P2198" s="36">
        <f t="shared" si="279"/>
        <v>1806509.25</v>
      </c>
      <c r="Q2198" s="272">
        <v>42809</v>
      </c>
      <c r="R2198" s="272">
        <v>42810</v>
      </c>
      <c r="S2198" s="321">
        <f t="shared" si="277"/>
        <v>19</v>
      </c>
    </row>
    <row r="2199" spans="1:19" s="1" customFormat="1" hidden="1" x14ac:dyDescent="0.25">
      <c r="A2199" s="84"/>
      <c r="B2199" s="204">
        <v>42800</v>
      </c>
      <c r="C2199" s="1">
        <v>116</v>
      </c>
      <c r="D2199" s="1">
        <v>3000031985</v>
      </c>
      <c r="E2199" s="1" t="s">
        <v>25</v>
      </c>
      <c r="F2199" s="1" t="s">
        <v>743</v>
      </c>
      <c r="G2199" s="213">
        <v>42791</v>
      </c>
      <c r="H2199" s="1" t="s">
        <v>739</v>
      </c>
      <c r="I2199" s="204">
        <v>42791</v>
      </c>
      <c r="J2199" s="1" t="s">
        <v>16</v>
      </c>
      <c r="K2199" s="1">
        <v>19.36</v>
      </c>
      <c r="L2199" s="1">
        <v>19.36</v>
      </c>
      <c r="M2199" s="5">
        <f t="shared" ref="M2199:M2204" si="280">IF(L2199&gt;K2199,K2199,L2199)</f>
        <v>19.36</v>
      </c>
      <c r="N2199" s="211">
        <f>+I2199+10-1</f>
        <v>42800</v>
      </c>
      <c r="O2199" s="1">
        <v>1069761</v>
      </c>
      <c r="P2199" s="36">
        <f t="shared" si="279"/>
        <v>1069761</v>
      </c>
      <c r="Q2199" s="272">
        <v>42809</v>
      </c>
      <c r="R2199" s="272">
        <v>42810</v>
      </c>
      <c r="S2199" s="321">
        <f t="shared" si="277"/>
        <v>10</v>
      </c>
    </row>
    <row r="2200" spans="1:19" s="1" customFormat="1" hidden="1" x14ac:dyDescent="0.25">
      <c r="A2200" s="84"/>
      <c r="B2200" s="204">
        <v>42800</v>
      </c>
      <c r="C2200" s="1">
        <v>116</v>
      </c>
      <c r="D2200" s="1">
        <v>3000031985</v>
      </c>
      <c r="E2200" s="1" t="s">
        <v>25</v>
      </c>
      <c r="F2200" s="1" t="s">
        <v>744</v>
      </c>
      <c r="G2200" s="213">
        <v>42793</v>
      </c>
      <c r="H2200" s="1" t="s">
        <v>740</v>
      </c>
      <c r="I2200" s="204">
        <v>42793</v>
      </c>
      <c r="J2200" s="1" t="s">
        <v>16</v>
      </c>
      <c r="K2200" s="1">
        <v>19.93</v>
      </c>
      <c r="L2200" s="1">
        <v>19.93</v>
      </c>
      <c r="M2200" s="5">
        <f t="shared" si="280"/>
        <v>19.93</v>
      </c>
      <c r="N2200" s="211">
        <f>+I2200+10-1</f>
        <v>42802</v>
      </c>
      <c r="O2200" s="1">
        <v>1099426</v>
      </c>
      <c r="P2200" s="36">
        <f t="shared" si="279"/>
        <v>1099426</v>
      </c>
      <c r="Q2200" s="272">
        <v>42809</v>
      </c>
      <c r="R2200" s="272">
        <v>42810</v>
      </c>
      <c r="S2200" s="321">
        <f t="shared" si="277"/>
        <v>8</v>
      </c>
    </row>
    <row r="2201" spans="1:19" s="1" customFormat="1" hidden="1" x14ac:dyDescent="0.25">
      <c r="A2201" s="84"/>
      <c r="B2201" s="204">
        <v>42800</v>
      </c>
      <c r="C2201" s="1">
        <v>116</v>
      </c>
      <c r="D2201" s="1">
        <v>3000031985</v>
      </c>
      <c r="E2201" s="1" t="s">
        <v>25</v>
      </c>
      <c r="F2201" s="1" t="s">
        <v>745</v>
      </c>
      <c r="G2201" s="213">
        <v>42796</v>
      </c>
      <c r="H2201" s="1" t="s">
        <v>741</v>
      </c>
      <c r="I2201" s="204">
        <v>42796</v>
      </c>
      <c r="J2201" s="1" t="s">
        <v>16</v>
      </c>
      <c r="K2201" s="21">
        <v>19.690000000000001</v>
      </c>
      <c r="L2201" s="1">
        <v>19.690000000000001</v>
      </c>
      <c r="M2201" s="5">
        <f t="shared" si="280"/>
        <v>19.690000000000001</v>
      </c>
      <c r="N2201" s="211">
        <f>+I2201+10-1</f>
        <v>42805</v>
      </c>
      <c r="O2201" s="1">
        <v>1087220</v>
      </c>
      <c r="P2201" s="36">
        <f t="shared" si="279"/>
        <v>1087220</v>
      </c>
      <c r="Q2201" s="272">
        <v>42809</v>
      </c>
      <c r="R2201" s="272">
        <v>42810</v>
      </c>
      <c r="S2201" s="321">
        <f t="shared" si="277"/>
        <v>5</v>
      </c>
    </row>
    <row r="2202" spans="1:19" s="1" customFormat="1" hidden="1" x14ac:dyDescent="0.25">
      <c r="A2202" s="84"/>
      <c r="B2202" s="204">
        <v>42800</v>
      </c>
      <c r="C2202" s="1">
        <v>116</v>
      </c>
      <c r="D2202" s="1">
        <v>3000031985</v>
      </c>
      <c r="E2202" s="1" t="s">
        <v>25</v>
      </c>
      <c r="F2202" s="1" t="s">
        <v>747</v>
      </c>
      <c r="G2202" s="213">
        <v>42796</v>
      </c>
      <c r="H2202" s="1" t="s">
        <v>742</v>
      </c>
      <c r="I2202" s="204">
        <v>42796</v>
      </c>
      <c r="J2202" s="1" t="s">
        <v>16</v>
      </c>
      <c r="K2202" s="1">
        <v>19.899999999999999</v>
      </c>
      <c r="L2202" s="1">
        <v>19.899999999999999</v>
      </c>
      <c r="M2202" s="5">
        <f t="shared" si="280"/>
        <v>19.899999999999999</v>
      </c>
      <c r="N2202" s="211">
        <f>+I2202+10-1</f>
        <v>42805</v>
      </c>
      <c r="O2202" s="1">
        <v>1098356</v>
      </c>
      <c r="P2202" s="36">
        <f t="shared" si="279"/>
        <v>1098356</v>
      </c>
      <c r="Q2202" s="272">
        <v>42809</v>
      </c>
      <c r="R2202" s="272">
        <v>42810</v>
      </c>
      <c r="S2202" s="321">
        <f t="shared" si="277"/>
        <v>5</v>
      </c>
    </row>
    <row r="2203" spans="1:19" s="1" customFormat="1" hidden="1" x14ac:dyDescent="0.25">
      <c r="A2203" s="84"/>
      <c r="B2203" s="204">
        <v>42800</v>
      </c>
      <c r="C2203" s="1">
        <v>116</v>
      </c>
      <c r="D2203" s="1">
        <v>3000031985</v>
      </c>
      <c r="E2203" s="1" t="s">
        <v>25</v>
      </c>
      <c r="F2203" s="1" t="s">
        <v>746</v>
      </c>
      <c r="G2203" s="213">
        <v>42796</v>
      </c>
      <c r="H2203" s="1" t="s">
        <v>740</v>
      </c>
      <c r="I2203" s="204">
        <v>42796</v>
      </c>
      <c r="J2203" s="1" t="s">
        <v>16</v>
      </c>
      <c r="K2203" s="21">
        <v>19.91</v>
      </c>
      <c r="L2203" s="1">
        <v>19.91</v>
      </c>
      <c r="M2203" s="5">
        <f t="shared" si="280"/>
        <v>19.91</v>
      </c>
      <c r="N2203" s="211">
        <f>+I2203+10-1</f>
        <v>42805</v>
      </c>
      <c r="O2203" s="1">
        <v>1102766</v>
      </c>
      <c r="P2203" s="36">
        <f t="shared" si="279"/>
        <v>1102766</v>
      </c>
      <c r="Q2203" s="272">
        <v>42809</v>
      </c>
      <c r="R2203" s="272">
        <v>42810</v>
      </c>
      <c r="S2203" s="321">
        <f t="shared" si="277"/>
        <v>5</v>
      </c>
    </row>
    <row r="2204" spans="1:19" s="1" customFormat="1" hidden="1" x14ac:dyDescent="0.25">
      <c r="A2204" s="84"/>
      <c r="B2204" s="204">
        <v>42789</v>
      </c>
      <c r="C2204" s="1">
        <v>114</v>
      </c>
      <c r="E2204" s="1" t="s">
        <v>645</v>
      </c>
      <c r="F2204" s="1" t="s">
        <v>646</v>
      </c>
      <c r="G2204" s="213">
        <v>42767</v>
      </c>
      <c r="I2204" s="204">
        <v>42767</v>
      </c>
      <c r="J2204" s="1" t="s">
        <v>647</v>
      </c>
      <c r="M2204" s="5">
        <f t="shared" si="280"/>
        <v>0</v>
      </c>
      <c r="N2204" s="211">
        <f>+I2204+15-1</f>
        <v>42781</v>
      </c>
      <c r="O2204" s="1">
        <v>1770444</v>
      </c>
      <c r="P2204" s="38">
        <v>1770444</v>
      </c>
      <c r="Q2204" s="225"/>
      <c r="R2204" s="272">
        <v>42793</v>
      </c>
      <c r="S2204" s="321">
        <f t="shared" si="277"/>
        <v>12</v>
      </c>
    </row>
    <row r="2205" spans="1:19" s="1" customFormat="1" hidden="1" x14ac:dyDescent="0.25">
      <c r="A2205" s="1">
        <v>1053</v>
      </c>
      <c r="B2205" s="204">
        <v>42765</v>
      </c>
      <c r="C2205" s="1">
        <v>103</v>
      </c>
      <c r="D2205" s="1">
        <v>3000038259</v>
      </c>
      <c r="E2205" s="1" t="s">
        <v>371</v>
      </c>
      <c r="F2205" s="1">
        <v>1125</v>
      </c>
      <c r="G2205" s="204">
        <v>42757</v>
      </c>
      <c r="H2205" s="204"/>
      <c r="I2205" s="204">
        <v>42761</v>
      </c>
      <c r="J2205" s="1" t="s">
        <v>61</v>
      </c>
      <c r="K2205" s="1">
        <v>19.96</v>
      </c>
      <c r="L2205" s="1">
        <v>19.899999999999999</v>
      </c>
      <c r="M2205" s="1">
        <f>IF(L2205&gt;K2205,K2205,L2205)</f>
        <v>19.899999999999999</v>
      </c>
      <c r="N2205" s="66">
        <f t="shared" ref="N2205:N2215" si="281">+I2205+20-1</f>
        <v>42780</v>
      </c>
      <c r="O2205" s="1">
        <v>2355281</v>
      </c>
      <c r="P2205" s="36">
        <f>(+O2205/K2205*M2205)</f>
        <v>2348200.9969939878</v>
      </c>
      <c r="Q2205" s="272">
        <v>42810</v>
      </c>
      <c r="R2205" s="272">
        <v>42811</v>
      </c>
      <c r="S2205" s="321">
        <f t="shared" si="277"/>
        <v>31</v>
      </c>
    </row>
    <row r="2206" spans="1:19" s="1" customFormat="1" hidden="1" x14ac:dyDescent="0.25">
      <c r="A2206" s="84">
        <v>1076</v>
      </c>
      <c r="B2206" s="204">
        <v>42768</v>
      </c>
      <c r="C2206" s="1">
        <v>103</v>
      </c>
      <c r="D2206" s="1">
        <v>3000038259</v>
      </c>
      <c r="E2206" s="1" t="s">
        <v>371</v>
      </c>
      <c r="F2206" s="1">
        <v>1126</v>
      </c>
      <c r="G2206" s="204">
        <v>42758</v>
      </c>
      <c r="H2206" s="204"/>
      <c r="I2206" s="204">
        <v>42762</v>
      </c>
      <c r="J2206" s="1" t="s">
        <v>61</v>
      </c>
      <c r="K2206" s="1">
        <v>20.64</v>
      </c>
      <c r="L2206" s="1">
        <v>20.6</v>
      </c>
      <c r="M2206" s="1">
        <f>IF(L2206&gt;K2206,K2206,L2206)</f>
        <v>20.6</v>
      </c>
      <c r="N2206" s="66">
        <f t="shared" si="281"/>
        <v>42781</v>
      </c>
      <c r="O2206" s="1">
        <v>2435521</v>
      </c>
      <c r="P2206" s="36">
        <f>(+O2206/K2206*M2206)</f>
        <v>2430800.9980620155</v>
      </c>
      <c r="Q2206" s="272">
        <v>42810</v>
      </c>
      <c r="R2206" s="272">
        <v>42811</v>
      </c>
      <c r="S2206" s="321">
        <f t="shared" si="277"/>
        <v>30</v>
      </c>
    </row>
    <row r="2207" spans="1:19" s="1" customFormat="1" hidden="1" x14ac:dyDescent="0.25">
      <c r="A2207" s="84">
        <v>1054</v>
      </c>
      <c r="B2207" s="204">
        <v>42765</v>
      </c>
      <c r="C2207" s="1">
        <v>103</v>
      </c>
      <c r="D2207" s="1">
        <v>3000038259</v>
      </c>
      <c r="E2207" s="1" t="s">
        <v>371</v>
      </c>
      <c r="F2207" s="1">
        <v>1128</v>
      </c>
      <c r="G2207" s="204">
        <v>42758</v>
      </c>
      <c r="H2207" s="204"/>
      <c r="I2207" s="204">
        <v>42761</v>
      </c>
      <c r="J2207" s="1" t="s">
        <v>61</v>
      </c>
      <c r="K2207" s="1">
        <v>20.22</v>
      </c>
      <c r="L2207" s="1">
        <v>20.170000000000002</v>
      </c>
      <c r="M2207" s="1">
        <f>IF(L2207&gt;K2207,K2207,L2207)</f>
        <v>20.170000000000002</v>
      </c>
      <c r="N2207" s="66">
        <f t="shared" si="281"/>
        <v>42780</v>
      </c>
      <c r="O2207" s="1">
        <v>2385961</v>
      </c>
      <c r="P2207" s="36">
        <f>(+O2207/K2207*M2207)</f>
        <v>2380060.9975272012</v>
      </c>
      <c r="Q2207" s="272">
        <v>42810</v>
      </c>
      <c r="R2207" s="272">
        <v>42811</v>
      </c>
      <c r="S2207" s="321">
        <f t="shared" si="277"/>
        <v>31</v>
      </c>
    </row>
    <row r="2208" spans="1:19" s="3" customFormat="1" hidden="1" x14ac:dyDescent="0.25">
      <c r="A2208" s="1">
        <v>1075</v>
      </c>
      <c r="B2208" s="204">
        <v>42768</v>
      </c>
      <c r="C2208" s="1">
        <v>103</v>
      </c>
      <c r="D2208" s="1">
        <v>3000038372</v>
      </c>
      <c r="E2208" s="1" t="s">
        <v>202</v>
      </c>
      <c r="F2208" s="1">
        <v>250</v>
      </c>
      <c r="G2208" s="204">
        <v>42758</v>
      </c>
      <c r="H2208" s="204"/>
      <c r="I2208" s="204">
        <v>42763</v>
      </c>
      <c r="J2208" s="1" t="s">
        <v>61</v>
      </c>
      <c r="K2208" s="1">
        <v>20.28</v>
      </c>
      <c r="L2208" s="1">
        <v>20.25</v>
      </c>
      <c r="M2208" s="1">
        <f>IF(L2208&gt;K2208,K2208,L2208)</f>
        <v>20.25</v>
      </c>
      <c r="N2208" s="66">
        <f t="shared" si="281"/>
        <v>42782</v>
      </c>
      <c r="O2208" s="1">
        <v>2555280</v>
      </c>
      <c r="P2208" s="36">
        <f>(+O2208/K2208*M2208)</f>
        <v>2551500</v>
      </c>
      <c r="Q2208" s="272">
        <v>42810</v>
      </c>
      <c r="R2208" s="272">
        <v>42811</v>
      </c>
      <c r="S2208" s="321">
        <f t="shared" si="277"/>
        <v>29</v>
      </c>
    </row>
    <row r="2209" spans="1:19" s="3" customFormat="1" hidden="1" x14ac:dyDescent="0.25">
      <c r="A2209" s="84">
        <v>1080</v>
      </c>
      <c r="B2209" s="204">
        <v>42768</v>
      </c>
      <c r="C2209" s="1">
        <v>103</v>
      </c>
      <c r="D2209" s="1">
        <v>3000038618</v>
      </c>
      <c r="E2209" s="1" t="s">
        <v>361</v>
      </c>
      <c r="F2209" s="1">
        <v>285</v>
      </c>
      <c r="G2209" s="204">
        <v>42762</v>
      </c>
      <c r="H2209" s="204"/>
      <c r="I2209" s="204">
        <v>42767</v>
      </c>
      <c r="J2209" s="1" t="s">
        <v>61</v>
      </c>
      <c r="K2209" s="1">
        <v>20.05</v>
      </c>
      <c r="L2209" s="1">
        <v>20.059999999999999</v>
      </c>
      <c r="M2209" s="1">
        <f>IF(L2209&gt;K2209,K2209,L2209)</f>
        <v>20.05</v>
      </c>
      <c r="N2209" s="66">
        <f t="shared" si="281"/>
        <v>42786</v>
      </c>
      <c r="O2209" s="1">
        <v>1944890</v>
      </c>
      <c r="P2209" s="36">
        <f>(+O2209/K2209*M2209)</f>
        <v>1944889.9999999998</v>
      </c>
      <c r="Q2209" s="272">
        <v>42810</v>
      </c>
      <c r="R2209" s="272">
        <v>42811</v>
      </c>
      <c r="S2209" s="321">
        <f t="shared" si="277"/>
        <v>25</v>
      </c>
    </row>
    <row r="2210" spans="1:19" s="3" customFormat="1" hidden="1" x14ac:dyDescent="0.25">
      <c r="A2210" s="13"/>
      <c r="B2210" s="204">
        <v>42773</v>
      </c>
      <c r="C2210" s="5">
        <v>103</v>
      </c>
      <c r="D2210" s="5">
        <v>3000038374</v>
      </c>
      <c r="E2210" s="5" t="s">
        <v>456</v>
      </c>
      <c r="F2210" s="16" t="s">
        <v>610</v>
      </c>
      <c r="G2210" s="204"/>
      <c r="H2210" s="204"/>
      <c r="I2210" s="204">
        <v>42769</v>
      </c>
      <c r="J2210" s="1" t="s">
        <v>347</v>
      </c>
      <c r="K2210" s="5"/>
      <c r="L2210" s="5"/>
      <c r="M2210" s="5"/>
      <c r="N2210" s="66">
        <f t="shared" si="281"/>
        <v>42788</v>
      </c>
      <c r="O2210" s="5">
        <v>36862</v>
      </c>
      <c r="P2210" s="38"/>
      <c r="Q2210" s="272">
        <v>42810</v>
      </c>
      <c r="R2210" s="272">
        <v>42811</v>
      </c>
      <c r="S2210" s="321">
        <f t="shared" si="277"/>
        <v>23</v>
      </c>
    </row>
    <row r="2211" spans="1:19" s="3" customFormat="1" hidden="1" x14ac:dyDescent="0.25">
      <c r="A2211" s="13">
        <v>1104</v>
      </c>
      <c r="B2211" s="204">
        <v>42773</v>
      </c>
      <c r="C2211" s="5">
        <v>103</v>
      </c>
      <c r="D2211" s="5">
        <v>3000038374</v>
      </c>
      <c r="E2211" s="5" t="s">
        <v>456</v>
      </c>
      <c r="F2211" s="16">
        <v>99</v>
      </c>
      <c r="G2211" s="204">
        <v>42761</v>
      </c>
      <c r="H2211" s="204"/>
      <c r="I2211" s="204">
        <v>42769</v>
      </c>
      <c r="J2211" s="1" t="s">
        <v>61</v>
      </c>
      <c r="K2211" s="5">
        <v>20.605</v>
      </c>
      <c r="L2211" s="5">
        <v>20.62</v>
      </c>
      <c r="M2211" s="5">
        <v>20.605</v>
      </c>
      <c r="N2211" s="66">
        <f t="shared" si="281"/>
        <v>42788</v>
      </c>
      <c r="O2211" s="5">
        <v>2575646</v>
      </c>
      <c r="P2211" s="36">
        <f>(+O2211/K2211*M2211)-closed!O2210</f>
        <v>2538784</v>
      </c>
      <c r="Q2211" s="272">
        <v>42810</v>
      </c>
      <c r="R2211" s="272">
        <v>42811</v>
      </c>
      <c r="S2211" s="321">
        <f t="shared" si="277"/>
        <v>23</v>
      </c>
    </row>
    <row r="2212" spans="1:19" s="3" customFormat="1" hidden="1" x14ac:dyDescent="0.25">
      <c r="A2212" s="13"/>
      <c r="B2212" s="204"/>
      <c r="C2212" s="5">
        <v>103</v>
      </c>
      <c r="D2212" s="5">
        <v>3000038373</v>
      </c>
      <c r="E2212" s="5" t="s">
        <v>603</v>
      </c>
      <c r="F2212" s="16" t="s">
        <v>611</v>
      </c>
      <c r="G2212" s="204"/>
      <c r="H2212" s="204"/>
      <c r="I2212" s="204"/>
      <c r="J2212" s="1" t="s">
        <v>347</v>
      </c>
      <c r="K2212" s="5"/>
      <c r="L2212" s="5"/>
      <c r="M2212" s="5"/>
      <c r="N2212" s="66">
        <f t="shared" si="281"/>
        <v>19</v>
      </c>
      <c r="O2212" s="5">
        <v>21771</v>
      </c>
      <c r="P2212" s="38"/>
      <c r="Q2212" s="272">
        <v>42810</v>
      </c>
      <c r="R2212" s="272">
        <v>42811</v>
      </c>
      <c r="S2212" s="321">
        <f t="shared" si="277"/>
        <v>42792</v>
      </c>
    </row>
    <row r="2213" spans="1:19" s="3" customFormat="1" hidden="1" x14ac:dyDescent="0.25">
      <c r="A2213" s="13">
        <v>1106</v>
      </c>
      <c r="B2213" s="204">
        <v>42773</v>
      </c>
      <c r="C2213" s="5">
        <v>103</v>
      </c>
      <c r="D2213" s="5">
        <v>3000038373</v>
      </c>
      <c r="E2213" s="5" t="s">
        <v>603</v>
      </c>
      <c r="F2213" s="16">
        <v>242</v>
      </c>
      <c r="G2213" s="204">
        <v>42761</v>
      </c>
      <c r="H2213" s="204"/>
      <c r="I2213" s="204">
        <v>42769</v>
      </c>
      <c r="J2213" s="1" t="s">
        <v>61</v>
      </c>
      <c r="K2213" s="5">
        <v>19.739999999999998</v>
      </c>
      <c r="L2213" s="5">
        <v>19.72</v>
      </c>
      <c r="M2213" s="5">
        <v>19.72</v>
      </c>
      <c r="N2213" s="66">
        <f t="shared" si="281"/>
        <v>42788</v>
      </c>
      <c r="O2213" s="5">
        <v>2487252</v>
      </c>
      <c r="P2213" s="36">
        <f>(+O2213/K2213*M2213)-21771</f>
        <v>2462960.9878419451</v>
      </c>
      <c r="Q2213" s="272">
        <v>42810</v>
      </c>
      <c r="R2213" s="272">
        <v>42811</v>
      </c>
      <c r="S2213" s="321">
        <f t="shared" si="277"/>
        <v>23</v>
      </c>
    </row>
    <row r="2214" spans="1:19" s="3" customFormat="1" hidden="1" x14ac:dyDescent="0.25">
      <c r="A2214" s="13"/>
      <c r="B2214" s="204"/>
      <c r="C2214" s="5">
        <v>103</v>
      </c>
      <c r="D2214" s="5">
        <v>3000038371</v>
      </c>
      <c r="E2214" s="5" t="s">
        <v>158</v>
      </c>
      <c r="F2214" s="16" t="s">
        <v>609</v>
      </c>
      <c r="G2214" s="204"/>
      <c r="H2214" s="204"/>
      <c r="I2214" s="204"/>
      <c r="J2214" s="1" t="s">
        <v>347</v>
      </c>
      <c r="K2214" s="5"/>
      <c r="L2214" s="5"/>
      <c r="M2214" s="5"/>
      <c r="N2214" s="66">
        <f t="shared" si="281"/>
        <v>19</v>
      </c>
      <c r="O2214" s="5">
        <v>1954</v>
      </c>
      <c r="P2214" s="38"/>
      <c r="Q2214" s="272">
        <v>42810</v>
      </c>
      <c r="R2214" s="272">
        <v>42811</v>
      </c>
      <c r="S2214" s="321">
        <f t="shared" si="277"/>
        <v>42792</v>
      </c>
    </row>
    <row r="2215" spans="1:19" s="3" customFormat="1" hidden="1" x14ac:dyDescent="0.25">
      <c r="A2215" s="13">
        <v>1107</v>
      </c>
      <c r="B2215" s="204">
        <v>42773</v>
      </c>
      <c r="C2215" s="5">
        <v>103</v>
      </c>
      <c r="D2215" s="5">
        <v>3000038371</v>
      </c>
      <c r="E2215" s="5" t="s">
        <v>158</v>
      </c>
      <c r="F2215" s="16">
        <v>187</v>
      </c>
      <c r="G2215" s="204">
        <v>42761</v>
      </c>
      <c r="H2215" s="204"/>
      <c r="I2215" s="204">
        <v>42769</v>
      </c>
      <c r="J2215" s="1" t="s">
        <v>61</v>
      </c>
      <c r="K2215" s="5">
        <v>19.739999999999998</v>
      </c>
      <c r="L2215" s="5">
        <v>19.809999999999999</v>
      </c>
      <c r="M2215" s="5">
        <v>19.739999999999998</v>
      </c>
      <c r="N2215" s="66">
        <f t="shared" si="281"/>
        <v>42788</v>
      </c>
      <c r="O2215" s="5">
        <v>2487240</v>
      </c>
      <c r="P2215" s="36">
        <f>(+O2215/K2215*M2215)-1954</f>
        <v>2485286</v>
      </c>
      <c r="Q2215" s="272">
        <v>42810</v>
      </c>
      <c r="R2215" s="272">
        <v>42811</v>
      </c>
      <c r="S2215" s="321">
        <f t="shared" si="277"/>
        <v>23</v>
      </c>
    </row>
    <row r="2216" spans="1:19" s="3" customFormat="1" hidden="1" x14ac:dyDescent="0.25">
      <c r="A2216" s="13"/>
      <c r="B2216" s="204">
        <v>42781</v>
      </c>
      <c r="C2216" s="5">
        <v>114</v>
      </c>
      <c r="D2216" s="5">
        <v>3000038233</v>
      </c>
      <c r="E2216" s="5" t="s">
        <v>30</v>
      </c>
      <c r="F2216" s="5">
        <v>693</v>
      </c>
      <c r="G2216" s="204">
        <v>42773</v>
      </c>
      <c r="H2216" s="204"/>
      <c r="I2216" s="204">
        <v>42775</v>
      </c>
      <c r="J2216" s="1" t="s">
        <v>229</v>
      </c>
      <c r="K2216" s="5">
        <v>30.5</v>
      </c>
      <c r="L2216" s="5">
        <v>30.37</v>
      </c>
      <c r="M2216" s="5">
        <v>30.37</v>
      </c>
      <c r="N2216" s="211">
        <f t="shared" ref="N2216:N2221" si="282">+I2216+15-1</f>
        <v>42789</v>
      </c>
      <c r="O2216" s="5">
        <v>1570750</v>
      </c>
      <c r="P2216" s="36">
        <f t="shared" ref="P2216:P2230" si="283">(+O2216/K2216*M2216)</f>
        <v>1564055</v>
      </c>
      <c r="Q2216" s="272">
        <v>42810</v>
      </c>
      <c r="R2216" s="272">
        <v>42811</v>
      </c>
      <c r="S2216" s="321">
        <f t="shared" si="277"/>
        <v>22</v>
      </c>
    </row>
    <row r="2217" spans="1:19" s="3" customFormat="1" hidden="1" x14ac:dyDescent="0.25">
      <c r="A2217" s="13"/>
      <c r="B2217" s="204">
        <v>42781</v>
      </c>
      <c r="C2217" s="5">
        <v>114</v>
      </c>
      <c r="D2217" s="5">
        <v>3000038233</v>
      </c>
      <c r="E2217" s="5" t="s">
        <v>30</v>
      </c>
      <c r="F2217" s="5">
        <v>691</v>
      </c>
      <c r="G2217" s="204">
        <v>42773</v>
      </c>
      <c r="H2217" s="204"/>
      <c r="I2217" s="204">
        <v>42776</v>
      </c>
      <c r="J2217" s="1" t="s">
        <v>229</v>
      </c>
      <c r="K2217" s="5">
        <v>30.12</v>
      </c>
      <c r="L2217" s="5">
        <v>30.02</v>
      </c>
      <c r="M2217" s="5">
        <v>30.02</v>
      </c>
      <c r="N2217" s="211">
        <f t="shared" si="282"/>
        <v>42790</v>
      </c>
      <c r="O2217" s="5">
        <v>1551180</v>
      </c>
      <c r="P2217" s="36">
        <f t="shared" si="283"/>
        <v>1546030</v>
      </c>
      <c r="Q2217" s="272">
        <v>42810</v>
      </c>
      <c r="R2217" s="272">
        <v>42811</v>
      </c>
      <c r="S2217" s="321">
        <f t="shared" si="277"/>
        <v>21</v>
      </c>
    </row>
    <row r="2218" spans="1:19" s="3" customFormat="1" hidden="1" x14ac:dyDescent="0.25">
      <c r="A2218" s="13"/>
      <c r="B2218" s="204">
        <v>42781</v>
      </c>
      <c r="C2218" s="5">
        <v>114</v>
      </c>
      <c r="D2218" s="5">
        <v>3000038233</v>
      </c>
      <c r="E2218" s="5" t="s">
        <v>30</v>
      </c>
      <c r="F2218" s="5">
        <v>701</v>
      </c>
      <c r="G2218" s="204">
        <v>42775</v>
      </c>
      <c r="H2218" s="204"/>
      <c r="I2218" s="204">
        <v>42778</v>
      </c>
      <c r="J2218" s="1" t="s">
        <v>229</v>
      </c>
      <c r="K2218" s="5">
        <v>28.86</v>
      </c>
      <c r="L2218" s="5">
        <v>28.73</v>
      </c>
      <c r="M2218" s="5">
        <v>28.73</v>
      </c>
      <c r="N2218" s="211">
        <f t="shared" si="282"/>
        <v>42792</v>
      </c>
      <c r="O2218" s="5">
        <v>1486290</v>
      </c>
      <c r="P2218" s="36">
        <f t="shared" si="283"/>
        <v>1479595</v>
      </c>
      <c r="Q2218" s="272">
        <v>42810</v>
      </c>
      <c r="R2218" s="272">
        <v>42811</v>
      </c>
      <c r="S2218" s="321">
        <f t="shared" si="277"/>
        <v>19</v>
      </c>
    </row>
    <row r="2219" spans="1:19" s="3" customFormat="1" hidden="1" x14ac:dyDescent="0.25">
      <c r="A2219" s="13"/>
      <c r="B2219" s="204">
        <v>42781</v>
      </c>
      <c r="C2219" s="5">
        <v>114</v>
      </c>
      <c r="D2219" s="5">
        <v>3000038233</v>
      </c>
      <c r="E2219" s="5" t="s">
        <v>30</v>
      </c>
      <c r="F2219" s="5">
        <v>707</v>
      </c>
      <c r="G2219" s="204">
        <v>42776</v>
      </c>
      <c r="H2219" s="204"/>
      <c r="I2219" s="204">
        <v>42778</v>
      </c>
      <c r="J2219" s="1" t="s">
        <v>229</v>
      </c>
      <c r="K2219" s="5">
        <v>28.38</v>
      </c>
      <c r="L2219" s="5">
        <v>28.29</v>
      </c>
      <c r="M2219" s="5">
        <v>28.29</v>
      </c>
      <c r="N2219" s="211">
        <f t="shared" si="282"/>
        <v>42792</v>
      </c>
      <c r="O2219" s="5">
        <v>1461570</v>
      </c>
      <c r="P2219" s="36">
        <f t="shared" si="283"/>
        <v>1456935</v>
      </c>
      <c r="Q2219" s="272">
        <v>42810</v>
      </c>
      <c r="R2219" s="272">
        <v>42811</v>
      </c>
      <c r="S2219" s="321">
        <f t="shared" si="277"/>
        <v>19</v>
      </c>
    </row>
    <row r="2220" spans="1:19" s="3" customFormat="1" hidden="1" x14ac:dyDescent="0.25">
      <c r="A2220" s="13"/>
      <c r="B2220" s="204">
        <v>42781</v>
      </c>
      <c r="C2220" s="5">
        <v>114</v>
      </c>
      <c r="D2220" s="5">
        <v>3000038501</v>
      </c>
      <c r="E2220" s="5" t="s">
        <v>621</v>
      </c>
      <c r="F2220" s="5">
        <v>971</v>
      </c>
      <c r="G2220" s="204">
        <v>42773</v>
      </c>
      <c r="H2220" s="204"/>
      <c r="I2220" s="204">
        <v>42776</v>
      </c>
      <c r="J2220" s="1" t="s">
        <v>8</v>
      </c>
      <c r="K2220" s="5">
        <v>19.95</v>
      </c>
      <c r="L2220" s="5">
        <v>19.95</v>
      </c>
      <c r="M2220" s="5">
        <v>19.95</v>
      </c>
      <c r="N2220" s="211">
        <f t="shared" si="282"/>
        <v>42790</v>
      </c>
      <c r="O2220" s="5">
        <v>1187025</v>
      </c>
      <c r="P2220" s="266">
        <f t="shared" si="283"/>
        <v>1187025</v>
      </c>
      <c r="Q2220" s="272">
        <v>42810</v>
      </c>
      <c r="R2220" s="272">
        <v>42811</v>
      </c>
      <c r="S2220" s="321">
        <f t="shared" si="277"/>
        <v>21</v>
      </c>
    </row>
    <row r="2221" spans="1:19" s="3" customFormat="1" hidden="1" x14ac:dyDescent="0.25">
      <c r="A2221" s="13"/>
      <c r="B2221" s="204">
        <v>42781</v>
      </c>
      <c r="C2221" s="5">
        <v>114</v>
      </c>
      <c r="D2221" s="5">
        <v>3000038501</v>
      </c>
      <c r="E2221" s="5" t="s">
        <v>621</v>
      </c>
      <c r="F2221" s="5">
        <v>972</v>
      </c>
      <c r="G2221" s="204">
        <v>42773</v>
      </c>
      <c r="H2221" s="204"/>
      <c r="I2221" s="204">
        <v>42776</v>
      </c>
      <c r="J2221" s="1" t="s">
        <v>8</v>
      </c>
      <c r="K2221" s="5">
        <v>19.8</v>
      </c>
      <c r="L2221" s="5">
        <v>19.8</v>
      </c>
      <c r="M2221" s="5">
        <v>19.8</v>
      </c>
      <c r="N2221" s="211">
        <f t="shared" si="282"/>
        <v>42790</v>
      </c>
      <c r="O2221" s="5">
        <v>1178100</v>
      </c>
      <c r="P2221" s="266">
        <f t="shared" si="283"/>
        <v>1178100</v>
      </c>
      <c r="Q2221" s="272">
        <v>42810</v>
      </c>
      <c r="R2221" s="272">
        <v>42811</v>
      </c>
      <c r="S2221" s="321">
        <f t="shared" si="277"/>
        <v>21</v>
      </c>
    </row>
    <row r="2222" spans="1:19" s="3" customFormat="1" hidden="1" x14ac:dyDescent="0.25">
      <c r="A2222" s="13">
        <v>1109</v>
      </c>
      <c r="B2222" s="204">
        <v>42774</v>
      </c>
      <c r="C2222" s="1">
        <v>103</v>
      </c>
      <c r="D2222" s="1">
        <v>3000038697</v>
      </c>
      <c r="E2222" s="5" t="s">
        <v>592</v>
      </c>
      <c r="F2222" s="5">
        <v>235</v>
      </c>
      <c r="G2222" s="204">
        <v>42768</v>
      </c>
      <c r="H2222" s="204"/>
      <c r="I2222" s="204">
        <v>42773</v>
      </c>
      <c r="J2222" s="1" t="s">
        <v>61</v>
      </c>
      <c r="K2222" s="5">
        <v>20</v>
      </c>
      <c r="L2222" s="5">
        <v>19.98</v>
      </c>
      <c r="M2222" s="5">
        <v>19.98</v>
      </c>
      <c r="N2222" s="66">
        <f>+I2222+20-1</f>
        <v>42792</v>
      </c>
      <c r="O2222" s="5">
        <v>2600000</v>
      </c>
      <c r="P2222" s="36">
        <f t="shared" si="283"/>
        <v>2597400</v>
      </c>
      <c r="Q2222" s="272">
        <v>42810</v>
      </c>
      <c r="R2222" s="272">
        <v>42811</v>
      </c>
      <c r="S2222" s="321">
        <f t="shared" si="277"/>
        <v>19</v>
      </c>
    </row>
    <row r="2223" spans="1:19" s="3" customFormat="1" hidden="1" x14ac:dyDescent="0.25">
      <c r="A2223" s="13"/>
      <c r="B2223" s="204">
        <v>42779</v>
      </c>
      <c r="C2223" s="1">
        <v>103</v>
      </c>
      <c r="D2223" s="1">
        <v>3000038106</v>
      </c>
      <c r="E2223" s="1" t="s">
        <v>348</v>
      </c>
      <c r="F2223" s="1">
        <v>211</v>
      </c>
      <c r="G2223" s="204">
        <v>42769</v>
      </c>
      <c r="H2223" s="204"/>
      <c r="I2223" s="204">
        <v>42773</v>
      </c>
      <c r="J2223" s="1" t="s">
        <v>16</v>
      </c>
      <c r="K2223" s="1">
        <v>21.51</v>
      </c>
      <c r="L2223" s="1">
        <v>21.47</v>
      </c>
      <c r="M2223" s="1">
        <v>21.47</v>
      </c>
      <c r="N2223" s="66">
        <f>+I2223+20-1</f>
        <v>42792</v>
      </c>
      <c r="O2223" s="1">
        <v>1182512</v>
      </c>
      <c r="P2223" s="266">
        <f t="shared" si="283"/>
        <v>1180313.0004648999</v>
      </c>
      <c r="Q2223" s="272">
        <v>42810</v>
      </c>
      <c r="R2223" s="272">
        <v>42811</v>
      </c>
      <c r="S2223" s="321">
        <f t="shared" si="277"/>
        <v>19</v>
      </c>
    </row>
    <row r="2224" spans="1:19" s="1" customFormat="1" hidden="1" x14ac:dyDescent="0.25">
      <c r="A2224" s="84"/>
      <c r="B2224" s="204">
        <v>42789</v>
      </c>
      <c r="C2224" s="1">
        <v>114</v>
      </c>
      <c r="D2224" s="1">
        <v>3000037340</v>
      </c>
      <c r="E2224" s="1" t="s">
        <v>348</v>
      </c>
      <c r="F2224" s="1">
        <v>320</v>
      </c>
      <c r="G2224" s="213">
        <v>42780</v>
      </c>
      <c r="H2224" s="213" t="s">
        <v>638</v>
      </c>
      <c r="I2224" s="204">
        <v>42784</v>
      </c>
      <c r="J2224" s="1" t="s">
        <v>8</v>
      </c>
      <c r="K2224" s="1">
        <v>15.76</v>
      </c>
      <c r="L2224" s="1">
        <v>15.57</v>
      </c>
      <c r="M2224" s="5">
        <f>IF(L2224&gt;K2224,K2224,L2224)</f>
        <v>15.57</v>
      </c>
      <c r="N2224" s="211">
        <f>+I2224+15-1</f>
        <v>42798</v>
      </c>
      <c r="O2224" s="1">
        <v>929840</v>
      </c>
      <c r="P2224" s="36">
        <f t="shared" si="283"/>
        <v>918630</v>
      </c>
      <c r="Q2224" s="272">
        <v>42810</v>
      </c>
      <c r="R2224" s="272">
        <v>42811</v>
      </c>
      <c r="S2224" s="321">
        <f t="shared" si="277"/>
        <v>13</v>
      </c>
    </row>
    <row r="2225" spans="1:19" s="1" customFormat="1" hidden="1" x14ac:dyDescent="0.25">
      <c r="A2225" s="84"/>
      <c r="B2225" s="204">
        <v>42789</v>
      </c>
      <c r="C2225" s="1">
        <v>114</v>
      </c>
      <c r="D2225" s="1">
        <v>3000038235</v>
      </c>
      <c r="E2225" s="1" t="s">
        <v>348</v>
      </c>
      <c r="F2225" s="1">
        <v>321</v>
      </c>
      <c r="G2225" s="213">
        <v>42780</v>
      </c>
      <c r="H2225" s="213" t="s">
        <v>638</v>
      </c>
      <c r="I2225" s="204">
        <v>42784</v>
      </c>
      <c r="J2225" s="1" t="s">
        <v>8</v>
      </c>
      <c r="K2225" s="1">
        <v>8.25</v>
      </c>
      <c r="L2225" s="1">
        <v>8.25</v>
      </c>
      <c r="M2225" s="5">
        <f>IF(L2225&gt;K2225,K2225,L2225)</f>
        <v>8.25</v>
      </c>
      <c r="N2225" s="211">
        <f>+I2225+15-1</f>
        <v>42798</v>
      </c>
      <c r="O2225" s="1">
        <v>474375</v>
      </c>
      <c r="P2225" s="36">
        <f t="shared" si="283"/>
        <v>474375</v>
      </c>
      <c r="Q2225" s="272">
        <v>42810</v>
      </c>
      <c r="R2225" s="272">
        <v>42811</v>
      </c>
      <c r="S2225" s="321">
        <f t="shared" si="277"/>
        <v>13</v>
      </c>
    </row>
    <row r="2226" spans="1:19" s="1" customFormat="1" hidden="1" x14ac:dyDescent="0.25">
      <c r="A2226" s="84"/>
      <c r="B2226" s="204">
        <v>42789</v>
      </c>
      <c r="C2226" s="1">
        <v>114</v>
      </c>
      <c r="D2226" s="1">
        <v>3000038235</v>
      </c>
      <c r="E2226" s="1" t="s">
        <v>348</v>
      </c>
      <c r="F2226" s="1">
        <v>324</v>
      </c>
      <c r="G2226" s="213">
        <v>42782</v>
      </c>
      <c r="H2226" s="1" t="s">
        <v>639</v>
      </c>
      <c r="I2226" s="204">
        <v>42786</v>
      </c>
      <c r="J2226" s="1" t="s">
        <v>8</v>
      </c>
      <c r="K2226" s="1">
        <v>26.95</v>
      </c>
      <c r="L2226" s="1">
        <v>26.95</v>
      </c>
      <c r="M2226" s="5">
        <f>IF(L2226&gt;K2226,K2226,L2226)</f>
        <v>26.95</v>
      </c>
      <c r="N2226" s="211">
        <f>+I2226+15-1</f>
        <v>42800</v>
      </c>
      <c r="O2226" s="1">
        <v>1549625</v>
      </c>
      <c r="P2226" s="36">
        <f t="shared" si="283"/>
        <v>1549625</v>
      </c>
      <c r="Q2226" s="272">
        <v>42810</v>
      </c>
      <c r="R2226" s="272">
        <v>42811</v>
      </c>
      <c r="S2226" s="321">
        <f t="shared" si="277"/>
        <v>11</v>
      </c>
    </row>
    <row r="2227" spans="1:19" s="3" customFormat="1" hidden="1" x14ac:dyDescent="0.25">
      <c r="A2227" s="13">
        <v>1110</v>
      </c>
      <c r="B2227" s="204">
        <v>42779</v>
      </c>
      <c r="C2227" s="5">
        <v>103</v>
      </c>
      <c r="D2227" s="5">
        <v>3000038275</v>
      </c>
      <c r="E2227" s="5" t="s">
        <v>600</v>
      </c>
      <c r="F2227" s="5">
        <v>141</v>
      </c>
      <c r="G2227" s="204">
        <v>42770</v>
      </c>
      <c r="H2227" s="204"/>
      <c r="I2227" s="204">
        <v>42774</v>
      </c>
      <c r="J2227" s="1" t="s">
        <v>61</v>
      </c>
      <c r="K2227" s="5">
        <v>19.98</v>
      </c>
      <c r="L2227" s="5">
        <v>19.88</v>
      </c>
      <c r="M2227" s="5">
        <v>19.88</v>
      </c>
      <c r="N2227" s="66">
        <f>+I2227+20-1</f>
        <v>42793</v>
      </c>
      <c r="O2227" s="1">
        <v>2357640</v>
      </c>
      <c r="P2227" s="266">
        <f t="shared" si="283"/>
        <v>2345840</v>
      </c>
      <c r="Q2227" s="272">
        <v>42810</v>
      </c>
      <c r="R2227" s="272">
        <v>42811</v>
      </c>
      <c r="S2227" s="321">
        <f t="shared" si="277"/>
        <v>18</v>
      </c>
    </row>
    <row r="2228" spans="1:19" s="338" customFormat="1" hidden="1" x14ac:dyDescent="0.25">
      <c r="B2228" s="339">
        <v>42779</v>
      </c>
      <c r="C2228" s="340">
        <v>103</v>
      </c>
      <c r="D2228" s="340">
        <v>3000038694</v>
      </c>
      <c r="E2228" s="340" t="s">
        <v>201</v>
      </c>
      <c r="F2228" s="340">
        <v>331</v>
      </c>
      <c r="G2228" s="339">
        <v>42769</v>
      </c>
      <c r="H2228" s="339"/>
      <c r="I2228" s="339">
        <v>42774</v>
      </c>
      <c r="J2228" s="340" t="s">
        <v>61</v>
      </c>
      <c r="K2228" s="340">
        <v>23.6</v>
      </c>
      <c r="L2228" s="340">
        <v>23.54</v>
      </c>
      <c r="M2228" s="340">
        <v>23.54</v>
      </c>
      <c r="N2228" s="341">
        <f>+I2228+20-1</f>
        <v>42793</v>
      </c>
      <c r="O2228" s="340">
        <v>3069180</v>
      </c>
      <c r="P2228" s="342">
        <f t="shared" si="283"/>
        <v>3061376.9999999995</v>
      </c>
      <c r="Q2228" s="272">
        <v>42810</v>
      </c>
      <c r="R2228" s="272">
        <v>42811</v>
      </c>
      <c r="S2228" s="321">
        <f t="shared" si="277"/>
        <v>18</v>
      </c>
    </row>
    <row r="2229" spans="1:19" s="1" customFormat="1" hidden="1" x14ac:dyDescent="0.25">
      <c r="A2229" s="84"/>
      <c r="B2229" s="204">
        <v>42786</v>
      </c>
      <c r="C2229" s="5">
        <v>114</v>
      </c>
      <c r="D2229" s="1">
        <v>3000038500</v>
      </c>
      <c r="E2229" s="1" t="s">
        <v>138</v>
      </c>
      <c r="F2229" s="1">
        <v>9138</v>
      </c>
      <c r="G2229" s="204">
        <v>42776</v>
      </c>
      <c r="H2229" s="204"/>
      <c r="I2229" s="204">
        <v>42780</v>
      </c>
      <c r="J2229" s="1" t="s">
        <v>8</v>
      </c>
      <c r="K2229" s="1">
        <v>26.835000000000001</v>
      </c>
      <c r="L2229" s="1">
        <v>26.76</v>
      </c>
      <c r="M2229" s="5">
        <f t="shared" ref="M2229:M2247" si="284">IF(L2229&gt;K2229,K2229,L2229)</f>
        <v>26.76</v>
      </c>
      <c r="N2229" s="211">
        <f>+I2229+15-1</f>
        <v>42794</v>
      </c>
      <c r="O2229" s="1">
        <v>1596683</v>
      </c>
      <c r="P2229" s="36">
        <f t="shared" si="283"/>
        <v>1592220.4986025712</v>
      </c>
      <c r="Q2229" s="272">
        <v>42810</v>
      </c>
      <c r="R2229" s="272">
        <v>42811</v>
      </c>
      <c r="S2229" s="321">
        <f t="shared" si="277"/>
        <v>17</v>
      </c>
    </row>
    <row r="2230" spans="1:19" s="1" customFormat="1" hidden="1" x14ac:dyDescent="0.25">
      <c r="A2230" s="84"/>
      <c r="B2230" s="204">
        <v>42782</v>
      </c>
      <c r="C2230" s="5">
        <v>103</v>
      </c>
      <c r="D2230" s="1">
        <v>3000038740</v>
      </c>
      <c r="E2230" s="1" t="s">
        <v>624</v>
      </c>
      <c r="F2230" s="1">
        <v>1182</v>
      </c>
      <c r="G2230" s="204">
        <v>42772</v>
      </c>
      <c r="H2230" s="204"/>
      <c r="I2230" s="204">
        <v>42776</v>
      </c>
      <c r="J2230" s="1" t="s">
        <v>61</v>
      </c>
      <c r="K2230" s="1">
        <v>17.079999999999998</v>
      </c>
      <c r="L2230" s="1">
        <v>17.05</v>
      </c>
      <c r="M2230" s="5">
        <f t="shared" si="284"/>
        <v>17.05</v>
      </c>
      <c r="N2230" s="66">
        <f>+I2230+20-1</f>
        <v>42795</v>
      </c>
      <c r="O2230" s="1">
        <v>2254529</v>
      </c>
      <c r="P2230" s="36">
        <f t="shared" si="283"/>
        <v>2250569.0544496491</v>
      </c>
      <c r="Q2230" s="272">
        <v>42810</v>
      </c>
      <c r="R2230" s="272">
        <v>42811</v>
      </c>
      <c r="S2230" s="321">
        <f t="shared" si="277"/>
        <v>16</v>
      </c>
    </row>
    <row r="2231" spans="1:19" s="1" customFormat="1" hidden="1" x14ac:dyDescent="0.25">
      <c r="A2231" s="84"/>
      <c r="B2231" s="204">
        <v>42789</v>
      </c>
      <c r="C2231" s="1">
        <v>114</v>
      </c>
      <c r="D2231" s="1">
        <v>3000037338</v>
      </c>
      <c r="E2231" s="1" t="s">
        <v>599</v>
      </c>
      <c r="F2231" s="16" t="s">
        <v>653</v>
      </c>
      <c r="G2231" s="213">
        <v>42788</v>
      </c>
      <c r="H2231" s="1" t="s">
        <v>654</v>
      </c>
      <c r="I2231" s="204">
        <v>42783</v>
      </c>
      <c r="J2231" s="1" t="s">
        <v>8</v>
      </c>
      <c r="M2231" s="5">
        <f t="shared" si="284"/>
        <v>0</v>
      </c>
      <c r="N2231" s="211">
        <f t="shared" ref="N2231:N2243" si="285">+I2231+15-1</f>
        <v>42797</v>
      </c>
      <c r="O2231" s="1">
        <v>5004</v>
      </c>
      <c r="P2231" s="36"/>
      <c r="Q2231" s="272">
        <v>42810</v>
      </c>
      <c r="R2231" s="272">
        <v>42811</v>
      </c>
      <c r="S2231" s="321">
        <f t="shared" si="277"/>
        <v>14</v>
      </c>
    </row>
    <row r="2232" spans="1:19" s="1" customFormat="1" hidden="1" x14ac:dyDescent="0.25">
      <c r="A2232" s="84"/>
      <c r="B2232" s="204">
        <v>42789</v>
      </c>
      <c r="C2232" s="1">
        <v>114</v>
      </c>
      <c r="D2232" s="1">
        <v>3000037338</v>
      </c>
      <c r="E2232" s="1" t="s">
        <v>599</v>
      </c>
      <c r="F2232" s="16">
        <v>3351</v>
      </c>
      <c r="G2232" s="213">
        <v>42779</v>
      </c>
      <c r="H2232" s="1" t="s">
        <v>654</v>
      </c>
      <c r="I2232" s="204">
        <v>42783</v>
      </c>
      <c r="J2232" s="1" t="s">
        <v>8</v>
      </c>
      <c r="K2232" s="1">
        <v>27.8</v>
      </c>
      <c r="L2232" s="1">
        <v>27.8</v>
      </c>
      <c r="M2232" s="5">
        <f t="shared" si="284"/>
        <v>27.8</v>
      </c>
      <c r="N2232" s="211">
        <f t="shared" si="285"/>
        <v>42797</v>
      </c>
      <c r="O2232" s="1">
        <v>1640200</v>
      </c>
      <c r="P2232" s="36">
        <f>(+O2232/K2232*M2232)-5004</f>
        <v>1635196</v>
      </c>
      <c r="Q2232" s="272">
        <v>42810</v>
      </c>
      <c r="R2232" s="272">
        <v>42811</v>
      </c>
      <c r="S2232" s="321">
        <f t="shared" si="277"/>
        <v>14</v>
      </c>
    </row>
    <row r="2233" spans="1:19" s="1" customFormat="1" hidden="1" x14ac:dyDescent="0.25">
      <c r="A2233" s="84"/>
      <c r="B2233" s="204">
        <v>42789</v>
      </c>
      <c r="C2233" s="1">
        <v>114</v>
      </c>
      <c r="D2233" s="1" t="s">
        <v>655</v>
      </c>
      <c r="E2233" s="1" t="s">
        <v>599</v>
      </c>
      <c r="F2233" s="16" t="s">
        <v>656</v>
      </c>
      <c r="G2233" s="213">
        <v>42788</v>
      </c>
      <c r="H2233" s="1" t="s">
        <v>657</v>
      </c>
      <c r="I2233" s="204">
        <v>42783</v>
      </c>
      <c r="J2233" s="1" t="s">
        <v>8</v>
      </c>
      <c r="M2233" s="5">
        <f t="shared" si="284"/>
        <v>0</v>
      </c>
      <c r="N2233" s="211">
        <f t="shared" si="285"/>
        <v>42797</v>
      </c>
      <c r="O2233" s="1">
        <v>5695</v>
      </c>
      <c r="P2233" s="36"/>
      <c r="Q2233" s="272">
        <v>42810</v>
      </c>
      <c r="R2233" s="272">
        <v>42811</v>
      </c>
      <c r="S2233" s="321">
        <f t="shared" ref="S2233:S2247" si="286">R2233-N2233</f>
        <v>14</v>
      </c>
    </row>
    <row r="2234" spans="1:19" s="1" customFormat="1" hidden="1" x14ac:dyDescent="0.25">
      <c r="A2234" s="84"/>
      <c r="B2234" s="204">
        <v>42789</v>
      </c>
      <c r="C2234" s="1">
        <v>114</v>
      </c>
      <c r="D2234" s="1">
        <v>3000036563</v>
      </c>
      <c r="E2234" s="1" t="s">
        <v>599</v>
      </c>
      <c r="F2234" s="16">
        <v>3353</v>
      </c>
      <c r="G2234" s="213">
        <v>42780</v>
      </c>
      <c r="H2234" s="1" t="s">
        <v>657</v>
      </c>
      <c r="I2234" s="204">
        <v>42783</v>
      </c>
      <c r="J2234" s="1" t="s">
        <v>8</v>
      </c>
      <c r="K2234" s="1">
        <v>20</v>
      </c>
      <c r="L2234" s="1">
        <v>20</v>
      </c>
      <c r="M2234" s="5">
        <f t="shared" si="284"/>
        <v>20</v>
      </c>
      <c r="N2234" s="211">
        <f t="shared" si="285"/>
        <v>42797</v>
      </c>
      <c r="O2234" s="1">
        <v>1120000</v>
      </c>
      <c r="P2234" s="36">
        <f>(+O2234/K2234*M2234)-5695</f>
        <v>1114305</v>
      </c>
      <c r="Q2234" s="272">
        <v>42810</v>
      </c>
      <c r="R2234" s="272">
        <v>42811</v>
      </c>
      <c r="S2234" s="321">
        <f t="shared" si="286"/>
        <v>14</v>
      </c>
    </row>
    <row r="2235" spans="1:19" s="1" customFormat="1" hidden="1" x14ac:dyDescent="0.25">
      <c r="A2235" s="84"/>
      <c r="B2235" s="204">
        <v>42789</v>
      </c>
      <c r="C2235" s="1">
        <v>114</v>
      </c>
      <c r="D2235" s="1">
        <v>3000037338</v>
      </c>
      <c r="E2235" s="1" t="s">
        <v>599</v>
      </c>
      <c r="F2235" s="16">
        <v>3353</v>
      </c>
      <c r="G2235" s="213">
        <v>42780</v>
      </c>
      <c r="H2235" s="1" t="s">
        <v>657</v>
      </c>
      <c r="I2235" s="204">
        <v>42783</v>
      </c>
      <c r="J2235" s="1" t="s">
        <v>8</v>
      </c>
      <c r="K2235" s="1">
        <v>7.13</v>
      </c>
      <c r="L2235" s="1">
        <v>7.12</v>
      </c>
      <c r="M2235" s="5">
        <f t="shared" si="284"/>
        <v>7.12</v>
      </c>
      <c r="N2235" s="211">
        <f t="shared" si="285"/>
        <v>42797</v>
      </c>
      <c r="O2235" s="1">
        <v>420670</v>
      </c>
      <c r="P2235" s="36">
        <f>(+O2235/K2235*M2235)</f>
        <v>420080</v>
      </c>
      <c r="Q2235" s="272">
        <v>42810</v>
      </c>
      <c r="R2235" s="272">
        <v>42811</v>
      </c>
      <c r="S2235" s="321">
        <f t="shared" si="286"/>
        <v>14</v>
      </c>
    </row>
    <row r="2236" spans="1:19" s="1" customFormat="1" hidden="1" x14ac:dyDescent="0.25">
      <c r="A2236" s="84"/>
      <c r="B2236" s="204">
        <v>42793</v>
      </c>
      <c r="C2236" s="1">
        <v>114</v>
      </c>
      <c r="D2236" s="1">
        <v>3000038502</v>
      </c>
      <c r="E2236" s="1" t="s">
        <v>599</v>
      </c>
      <c r="F2236" s="1">
        <v>3355</v>
      </c>
      <c r="G2236" s="213">
        <v>42782</v>
      </c>
      <c r="H2236" s="1" t="s">
        <v>669</v>
      </c>
      <c r="I2236" s="204">
        <v>42782</v>
      </c>
      <c r="J2236" s="1" t="s">
        <v>8</v>
      </c>
      <c r="K2236" s="1">
        <v>27.22</v>
      </c>
      <c r="L2236" s="1">
        <v>26.99</v>
      </c>
      <c r="M2236" s="5">
        <f t="shared" si="284"/>
        <v>26.99</v>
      </c>
      <c r="N2236" s="211">
        <f t="shared" si="285"/>
        <v>42796</v>
      </c>
      <c r="O2236" s="1">
        <v>1619590</v>
      </c>
      <c r="P2236" s="36">
        <f>(+O2236/K2236*M2236)</f>
        <v>1605905</v>
      </c>
      <c r="Q2236" s="272">
        <v>42810</v>
      </c>
      <c r="R2236" s="272">
        <v>42811</v>
      </c>
      <c r="S2236" s="321">
        <f t="shared" si="286"/>
        <v>15</v>
      </c>
    </row>
    <row r="2237" spans="1:19" s="1" customFormat="1" hidden="1" x14ac:dyDescent="0.25">
      <c r="A2237" s="84"/>
      <c r="B2237" s="204">
        <v>42789</v>
      </c>
      <c r="C2237" s="1">
        <v>114</v>
      </c>
      <c r="D2237" s="1">
        <v>3000036794</v>
      </c>
      <c r="E2237" s="1" t="s">
        <v>49</v>
      </c>
      <c r="F2237" s="1">
        <v>47</v>
      </c>
      <c r="G2237" s="213">
        <v>42775</v>
      </c>
      <c r="H2237" s="213" t="s">
        <v>636</v>
      </c>
      <c r="I2237" s="204">
        <v>42783</v>
      </c>
      <c r="J2237" s="1" t="s">
        <v>8</v>
      </c>
      <c r="K2237" s="1">
        <v>27.54</v>
      </c>
      <c r="L2237" s="1">
        <v>27.45</v>
      </c>
      <c r="M2237" s="5">
        <f t="shared" si="284"/>
        <v>27.45</v>
      </c>
      <c r="N2237" s="211">
        <f t="shared" si="285"/>
        <v>42797</v>
      </c>
      <c r="O2237" s="1">
        <v>1522962</v>
      </c>
      <c r="P2237" s="36">
        <f>(+O2237/K2237*M2237)</f>
        <v>1517985</v>
      </c>
      <c r="Q2237" s="272">
        <v>42810</v>
      </c>
      <c r="R2237" s="272">
        <v>42811</v>
      </c>
      <c r="S2237" s="321">
        <f t="shared" si="286"/>
        <v>14</v>
      </c>
    </row>
    <row r="2238" spans="1:19" s="1" customFormat="1" hidden="1" x14ac:dyDescent="0.25">
      <c r="A2238" s="84"/>
      <c r="B2238" s="204">
        <v>42789</v>
      </c>
      <c r="C2238" s="1">
        <v>114</v>
      </c>
      <c r="D2238" s="1">
        <v>3000039112</v>
      </c>
      <c r="E2238" s="1" t="s">
        <v>49</v>
      </c>
      <c r="F2238" s="1">
        <v>48</v>
      </c>
      <c r="G2238" s="213">
        <v>42781</v>
      </c>
      <c r="H2238" s="213" t="s">
        <v>637</v>
      </c>
      <c r="I2238" s="204">
        <v>42784</v>
      </c>
      <c r="J2238" s="1" t="s">
        <v>16</v>
      </c>
      <c r="K2238" s="1">
        <v>26.91</v>
      </c>
      <c r="L2238" s="1">
        <v>26.79</v>
      </c>
      <c r="M2238" s="5">
        <f t="shared" si="284"/>
        <v>26.79</v>
      </c>
      <c r="N2238" s="211">
        <f t="shared" si="285"/>
        <v>42798</v>
      </c>
      <c r="O2238" s="1">
        <v>1563471</v>
      </c>
      <c r="P2238" s="36">
        <f>(+O2238/K2238*M2238)</f>
        <v>1556499</v>
      </c>
      <c r="Q2238" s="272">
        <v>42810</v>
      </c>
      <c r="R2238" s="272">
        <v>42811</v>
      </c>
      <c r="S2238" s="321">
        <f t="shared" si="286"/>
        <v>13</v>
      </c>
    </row>
    <row r="2239" spans="1:19" s="1" customFormat="1" hidden="1" x14ac:dyDescent="0.25">
      <c r="A2239" s="84"/>
      <c r="B2239" s="204">
        <v>42789</v>
      </c>
      <c r="C2239" s="1">
        <v>114</v>
      </c>
      <c r="D2239" s="1">
        <v>3000038505</v>
      </c>
      <c r="E2239" s="1" t="s">
        <v>18</v>
      </c>
      <c r="F2239" s="16" t="s">
        <v>648</v>
      </c>
      <c r="G2239" s="213">
        <v>42788</v>
      </c>
      <c r="H2239" s="1" t="s">
        <v>649</v>
      </c>
      <c r="I2239" s="204">
        <v>42783</v>
      </c>
      <c r="J2239" s="1" t="s">
        <v>8</v>
      </c>
      <c r="M2239" s="5">
        <f t="shared" si="284"/>
        <v>0</v>
      </c>
      <c r="N2239" s="211">
        <f t="shared" si="285"/>
        <v>42797</v>
      </c>
      <c r="O2239" s="1">
        <v>8352</v>
      </c>
      <c r="P2239" s="36"/>
      <c r="Q2239" s="272">
        <v>42810</v>
      </c>
      <c r="R2239" s="272">
        <v>42811</v>
      </c>
      <c r="S2239" s="321">
        <f t="shared" si="286"/>
        <v>14</v>
      </c>
    </row>
    <row r="2240" spans="1:19" s="1" customFormat="1" hidden="1" x14ac:dyDescent="0.25">
      <c r="A2240" s="84"/>
      <c r="B2240" s="204">
        <v>42789</v>
      </c>
      <c r="C2240" s="1">
        <v>114</v>
      </c>
      <c r="D2240" s="1">
        <v>3000038505</v>
      </c>
      <c r="E2240" s="1" t="s">
        <v>18</v>
      </c>
      <c r="F2240" s="16">
        <v>195</v>
      </c>
      <c r="G2240" s="213">
        <v>42780</v>
      </c>
      <c r="H2240" s="1" t="s">
        <v>649</v>
      </c>
      <c r="I2240" s="204">
        <v>42783</v>
      </c>
      <c r="J2240" s="1" t="s">
        <v>8</v>
      </c>
      <c r="K2240" s="1">
        <v>30.934999999999999</v>
      </c>
      <c r="L2240" s="1">
        <v>30.8</v>
      </c>
      <c r="M2240" s="5">
        <f t="shared" si="284"/>
        <v>30.8</v>
      </c>
      <c r="N2240" s="211">
        <f t="shared" si="285"/>
        <v>42797</v>
      </c>
      <c r="O2240" s="1">
        <v>1840633</v>
      </c>
      <c r="P2240" s="36">
        <f>(+O2240/K2240*M2240)-8352</f>
        <v>1824248.4978180055</v>
      </c>
      <c r="Q2240" s="272">
        <v>42810</v>
      </c>
      <c r="R2240" s="272">
        <v>42811</v>
      </c>
      <c r="S2240" s="321">
        <f t="shared" si="286"/>
        <v>14</v>
      </c>
    </row>
    <row r="2241" spans="1:19" s="1" customFormat="1" hidden="1" x14ac:dyDescent="0.25">
      <c r="A2241" s="84"/>
      <c r="B2241" s="204">
        <v>42789</v>
      </c>
      <c r="C2241" s="1">
        <v>114</v>
      </c>
      <c r="D2241" s="1" t="s">
        <v>650</v>
      </c>
      <c r="E2241" s="1" t="s">
        <v>18</v>
      </c>
      <c r="F2241" s="16" t="s">
        <v>651</v>
      </c>
      <c r="G2241" s="213">
        <v>42788</v>
      </c>
      <c r="H2241" s="1" t="s">
        <v>652</v>
      </c>
      <c r="I2241" s="204">
        <v>42783</v>
      </c>
      <c r="J2241" s="1" t="s">
        <v>8</v>
      </c>
      <c r="M2241" s="5">
        <f t="shared" si="284"/>
        <v>0</v>
      </c>
      <c r="N2241" s="211">
        <f t="shared" si="285"/>
        <v>42797</v>
      </c>
      <c r="O2241" s="1">
        <v>5596</v>
      </c>
      <c r="P2241" s="36"/>
      <c r="Q2241" s="272">
        <v>42810</v>
      </c>
      <c r="R2241" s="272">
        <v>42811</v>
      </c>
      <c r="S2241" s="321">
        <f t="shared" si="286"/>
        <v>14</v>
      </c>
    </row>
    <row r="2242" spans="1:19" s="1" customFormat="1" hidden="1" x14ac:dyDescent="0.25">
      <c r="A2242" s="84"/>
      <c r="B2242" s="204">
        <v>42789</v>
      </c>
      <c r="C2242" s="1">
        <v>114</v>
      </c>
      <c r="D2242" s="1">
        <v>3000038505</v>
      </c>
      <c r="E2242" s="1" t="s">
        <v>18</v>
      </c>
      <c r="F2242" s="16">
        <v>196</v>
      </c>
      <c r="G2242" s="213">
        <v>42780</v>
      </c>
      <c r="H2242" s="1" t="s">
        <v>652</v>
      </c>
      <c r="I2242" s="204">
        <v>42783</v>
      </c>
      <c r="J2242" s="1" t="s">
        <v>8</v>
      </c>
      <c r="K2242" s="1">
        <v>16.274999999999999</v>
      </c>
      <c r="L2242" s="1">
        <v>16.09</v>
      </c>
      <c r="M2242" s="5">
        <f t="shared" si="284"/>
        <v>16.09</v>
      </c>
      <c r="N2242" s="211">
        <f t="shared" si="285"/>
        <v>42797</v>
      </c>
      <c r="O2242" s="1">
        <v>968363</v>
      </c>
      <c r="P2242" s="36">
        <f>(+O2242/K2242*M2242)-5596</f>
        <v>951759.49431643635</v>
      </c>
      <c r="Q2242" s="272">
        <v>42810</v>
      </c>
      <c r="R2242" s="272">
        <v>42811</v>
      </c>
      <c r="S2242" s="321">
        <f t="shared" si="286"/>
        <v>14</v>
      </c>
    </row>
    <row r="2243" spans="1:19" s="1" customFormat="1" hidden="1" x14ac:dyDescent="0.25">
      <c r="A2243" s="84"/>
      <c r="B2243" s="204">
        <v>42789</v>
      </c>
      <c r="C2243" s="1">
        <v>114</v>
      </c>
      <c r="D2243" s="1">
        <v>3000038823</v>
      </c>
      <c r="E2243" s="1" t="s">
        <v>18</v>
      </c>
      <c r="F2243" s="16">
        <v>196</v>
      </c>
      <c r="G2243" s="213">
        <v>42780</v>
      </c>
      <c r="H2243" s="1" t="s">
        <v>652</v>
      </c>
      <c r="I2243" s="204">
        <v>42783</v>
      </c>
      <c r="J2243" s="1" t="s">
        <v>8</v>
      </c>
      <c r="K2243" s="1">
        <v>15</v>
      </c>
      <c r="L2243" s="1">
        <v>15</v>
      </c>
      <c r="M2243" s="5">
        <f t="shared" si="284"/>
        <v>15</v>
      </c>
      <c r="N2243" s="211">
        <f t="shared" si="285"/>
        <v>42797</v>
      </c>
      <c r="O2243" s="1">
        <v>877500</v>
      </c>
      <c r="P2243" s="36">
        <f t="shared" ref="P2243:P2248" si="287">(+O2243/K2243*M2243)</f>
        <v>877500</v>
      </c>
      <c r="Q2243" s="272">
        <v>42810</v>
      </c>
      <c r="R2243" s="272">
        <v>42811</v>
      </c>
      <c r="S2243" s="321">
        <f t="shared" si="286"/>
        <v>14</v>
      </c>
    </row>
    <row r="2244" spans="1:19" s="1" customFormat="1" hidden="1" x14ac:dyDescent="0.25">
      <c r="A2244" s="84"/>
      <c r="B2244" s="204">
        <v>42782</v>
      </c>
      <c r="C2244" s="5">
        <v>103</v>
      </c>
      <c r="D2244" s="1">
        <v>3000038645</v>
      </c>
      <c r="E2244" s="1" t="s">
        <v>433</v>
      </c>
      <c r="F2244" s="1">
        <v>382</v>
      </c>
      <c r="G2244" s="204">
        <v>42775</v>
      </c>
      <c r="H2244" s="204"/>
      <c r="I2244" s="204">
        <v>42780</v>
      </c>
      <c r="J2244" s="1" t="s">
        <v>61</v>
      </c>
      <c r="K2244" s="1">
        <v>20.36</v>
      </c>
      <c r="L2244" s="1">
        <v>20.28</v>
      </c>
      <c r="M2244" s="5">
        <f t="shared" si="284"/>
        <v>20.28</v>
      </c>
      <c r="N2244" s="66">
        <f>+I2244+20-1</f>
        <v>42799</v>
      </c>
      <c r="O2244" s="1">
        <v>2891120</v>
      </c>
      <c r="P2244" s="36">
        <f t="shared" si="287"/>
        <v>2879760</v>
      </c>
      <c r="Q2244" s="272">
        <v>42810</v>
      </c>
      <c r="R2244" s="272">
        <v>42811</v>
      </c>
      <c r="S2244" s="321">
        <f t="shared" si="286"/>
        <v>12</v>
      </c>
    </row>
    <row r="2245" spans="1:19" s="1" customFormat="1" hidden="1" x14ac:dyDescent="0.25">
      <c r="A2245" s="84"/>
      <c r="B2245" s="204">
        <v>42786</v>
      </c>
      <c r="C2245" s="1">
        <v>103</v>
      </c>
      <c r="D2245" s="1">
        <v>3000038799</v>
      </c>
      <c r="E2245" s="1" t="s">
        <v>530</v>
      </c>
      <c r="F2245" s="1">
        <v>1351</v>
      </c>
      <c r="G2245" s="204">
        <v>42779</v>
      </c>
      <c r="H2245" s="204"/>
      <c r="I2245" s="204">
        <v>42783</v>
      </c>
      <c r="J2245" s="1" t="s">
        <v>61</v>
      </c>
      <c r="K2245" s="1">
        <v>20.12</v>
      </c>
      <c r="L2245" s="1">
        <v>20.04</v>
      </c>
      <c r="M2245" s="5">
        <f t="shared" si="284"/>
        <v>20.04</v>
      </c>
      <c r="N2245" s="66">
        <f>+I2245+20-1</f>
        <v>42802</v>
      </c>
      <c r="O2245" s="1">
        <v>2675960</v>
      </c>
      <c r="P2245" s="36">
        <f t="shared" si="287"/>
        <v>2665320</v>
      </c>
      <c r="Q2245" s="272">
        <v>42810</v>
      </c>
      <c r="R2245" s="272">
        <v>42811</v>
      </c>
      <c r="S2245" s="321">
        <f t="shared" si="286"/>
        <v>9</v>
      </c>
    </row>
    <row r="2246" spans="1:19" s="1" customFormat="1" hidden="1" x14ac:dyDescent="0.25">
      <c r="A2246" s="84"/>
      <c r="B2246" s="204">
        <v>42787</v>
      </c>
      <c r="C2246" s="1">
        <v>103</v>
      </c>
      <c r="D2246" s="1">
        <v>3000038619</v>
      </c>
      <c r="E2246" s="1" t="s">
        <v>199</v>
      </c>
      <c r="F2246" s="1">
        <v>5955</v>
      </c>
      <c r="G2246" s="213">
        <v>42782</v>
      </c>
      <c r="H2246" s="213" t="s">
        <v>629</v>
      </c>
      <c r="I2246" s="204">
        <v>42784</v>
      </c>
      <c r="J2246" s="1" t="s">
        <v>61</v>
      </c>
      <c r="K2246" s="1">
        <v>19.795000000000002</v>
      </c>
      <c r="L2246" s="1">
        <v>19.8</v>
      </c>
      <c r="M2246" s="5">
        <f t="shared" si="284"/>
        <v>19.795000000000002</v>
      </c>
      <c r="N2246" s="66">
        <f>+I2246+20-1</f>
        <v>42803</v>
      </c>
      <c r="O2246" s="1">
        <v>2685786</v>
      </c>
      <c r="P2246" s="36">
        <f t="shared" si="287"/>
        <v>2685785.9999999995</v>
      </c>
      <c r="Q2246" s="272">
        <v>42810</v>
      </c>
      <c r="R2246" s="272">
        <v>42811</v>
      </c>
      <c r="S2246" s="321">
        <f t="shared" si="286"/>
        <v>8</v>
      </c>
    </row>
    <row r="2247" spans="1:19" s="1" customFormat="1" hidden="1" x14ac:dyDescent="0.25">
      <c r="A2247" s="84"/>
      <c r="B2247" s="204">
        <v>42786</v>
      </c>
      <c r="C2247" s="1">
        <v>103</v>
      </c>
      <c r="D2247" s="1">
        <v>3000038744</v>
      </c>
      <c r="E2247" s="1" t="s">
        <v>171</v>
      </c>
      <c r="F2247" s="1">
        <v>130</v>
      </c>
      <c r="G2247" s="204">
        <v>42775</v>
      </c>
      <c r="H2247" s="204"/>
      <c r="I2247" s="204">
        <v>42780</v>
      </c>
      <c r="J2247" s="1" t="s">
        <v>61</v>
      </c>
      <c r="K2247" s="1">
        <v>20.21</v>
      </c>
      <c r="L2247" s="1">
        <v>20.13</v>
      </c>
      <c r="M2247" s="5">
        <f t="shared" si="284"/>
        <v>20.13</v>
      </c>
      <c r="N2247" s="66">
        <f>+I2247+20-1</f>
        <v>42799</v>
      </c>
      <c r="O2247" s="1">
        <v>2667890</v>
      </c>
      <c r="P2247" s="38">
        <f t="shared" si="287"/>
        <v>2657329.3270658087</v>
      </c>
      <c r="Q2247" s="272">
        <v>42810</v>
      </c>
      <c r="R2247" s="272">
        <v>42811</v>
      </c>
      <c r="S2247" s="321">
        <f t="shared" si="286"/>
        <v>12</v>
      </c>
    </row>
    <row r="2248" spans="1:19" s="1" customFormat="1" hidden="1" x14ac:dyDescent="0.25">
      <c r="A2248" s="84"/>
      <c r="B2248" s="204">
        <v>42815</v>
      </c>
      <c r="C2248" s="1">
        <v>103</v>
      </c>
      <c r="D2248" s="1">
        <v>3000039670</v>
      </c>
      <c r="E2248" s="8" t="s">
        <v>882</v>
      </c>
      <c r="F2248" s="1">
        <v>5</v>
      </c>
      <c r="G2248" s="213">
        <v>42798</v>
      </c>
      <c r="H2248" s="1" t="s">
        <v>881</v>
      </c>
      <c r="I2248" s="204">
        <v>42798</v>
      </c>
      <c r="J2248" s="1" t="s">
        <v>61</v>
      </c>
      <c r="K2248" s="1">
        <v>20.53</v>
      </c>
      <c r="L2248" s="1">
        <v>20.49</v>
      </c>
      <c r="M2248" s="5">
        <f>IF(L2248&gt;K2248,K2248,L2248)</f>
        <v>20.49</v>
      </c>
      <c r="N2248" s="211">
        <f>+I2248+15-1</f>
        <v>42812</v>
      </c>
      <c r="O2248" s="1">
        <v>1884654</v>
      </c>
      <c r="P2248" s="38">
        <f t="shared" si="287"/>
        <v>1880981.9999999998</v>
      </c>
      <c r="Q2248" s="225"/>
    </row>
    <row r="2249" spans="1:19" s="1" customFormat="1" hidden="1" x14ac:dyDescent="0.25">
      <c r="A2249" s="84"/>
      <c r="B2249" s="204">
        <v>42815</v>
      </c>
      <c r="C2249" s="1">
        <v>103</v>
      </c>
      <c r="E2249" s="1" t="s">
        <v>645</v>
      </c>
      <c r="F2249" s="1" t="s">
        <v>883</v>
      </c>
      <c r="G2249" s="213">
        <v>42803</v>
      </c>
      <c r="I2249" s="204">
        <v>42803</v>
      </c>
      <c r="J2249" s="1" t="s">
        <v>647</v>
      </c>
      <c r="M2249" s="5">
        <f t="shared" ref="M2249" si="288">IF(L2249&gt;K2249,K2249,L2249)</f>
        <v>0</v>
      </c>
      <c r="N2249" s="211">
        <f>+I2249+15-1</f>
        <v>42817</v>
      </c>
      <c r="O2249" s="1">
        <v>1987744</v>
      </c>
      <c r="P2249" s="38">
        <v>1987744</v>
      </c>
      <c r="Q2249" s="272">
        <v>42810</v>
      </c>
      <c r="R2249" s="272">
        <v>42811</v>
      </c>
      <c r="S2249" s="321">
        <f t="shared" ref="S2249" si="289">R2249-N2249</f>
        <v>-6</v>
      </c>
    </row>
    <row r="2250" spans="1:19" s="21" customFormat="1" x14ac:dyDescent="0.25">
      <c r="A2250" s="21">
        <v>1077</v>
      </c>
      <c r="B2250" s="263">
        <v>42768</v>
      </c>
      <c r="C2250" s="21">
        <v>103</v>
      </c>
      <c r="D2250" s="21">
        <v>3000038259</v>
      </c>
      <c r="E2250" s="21" t="s">
        <v>371</v>
      </c>
      <c r="F2250" s="21">
        <v>1127</v>
      </c>
      <c r="G2250" s="263">
        <v>42758</v>
      </c>
      <c r="H2250" s="263"/>
      <c r="I2250" s="263">
        <v>42762</v>
      </c>
      <c r="J2250" s="21" t="s">
        <v>61</v>
      </c>
      <c r="K2250" s="21">
        <v>20.47</v>
      </c>
      <c r="L2250" s="21">
        <v>20.420000000000002</v>
      </c>
      <c r="M2250" s="21">
        <f>IF(L2250&gt;K2250,K2250,L2250)</f>
        <v>20.420000000000002</v>
      </c>
      <c r="N2250" s="47">
        <f t="shared" ref="N2250:N2261" si="290">+I2250+20-1</f>
        <v>42781</v>
      </c>
      <c r="O2250" s="21">
        <v>2415461</v>
      </c>
      <c r="P2250" s="36">
        <f>(+O2250/K2250*M2250)</f>
        <v>2409560.9975574017</v>
      </c>
      <c r="Q2250" s="258">
        <v>42814</v>
      </c>
      <c r="R2250" s="124"/>
    </row>
    <row r="2251" spans="1:19" s="3" customFormat="1" x14ac:dyDescent="0.25">
      <c r="A2251" s="84">
        <v>1078</v>
      </c>
      <c r="B2251" s="204">
        <v>42768</v>
      </c>
      <c r="C2251" s="1">
        <v>103</v>
      </c>
      <c r="D2251" s="1">
        <v>3000038259</v>
      </c>
      <c r="E2251" s="1" t="s">
        <v>371</v>
      </c>
      <c r="F2251" s="1">
        <v>1129</v>
      </c>
      <c r="G2251" s="204">
        <v>42758</v>
      </c>
      <c r="H2251" s="204"/>
      <c r="I2251" s="204">
        <v>42763</v>
      </c>
      <c r="J2251" s="1" t="s">
        <v>61</v>
      </c>
      <c r="K2251" s="1">
        <v>19.98</v>
      </c>
      <c r="L2251" s="1">
        <v>19.93</v>
      </c>
      <c r="M2251" s="1">
        <f>IF(L2251&gt;K2251,K2251,L2251)</f>
        <v>19.93</v>
      </c>
      <c r="N2251" s="66">
        <f t="shared" si="290"/>
        <v>42782</v>
      </c>
      <c r="O2251" s="1">
        <v>2357641</v>
      </c>
      <c r="P2251" s="36">
        <f>(+O2251/K2251*M2251)</f>
        <v>2351740.9974974976</v>
      </c>
      <c r="Q2251" s="258">
        <v>42814</v>
      </c>
      <c r="R2251" s="77"/>
    </row>
    <row r="2252" spans="1:19" s="3" customFormat="1" x14ac:dyDescent="0.25">
      <c r="A2252" s="84">
        <v>1088</v>
      </c>
      <c r="B2252" s="204">
        <v>42768</v>
      </c>
      <c r="C2252" s="1">
        <v>103</v>
      </c>
      <c r="D2252" s="1">
        <v>3000038372</v>
      </c>
      <c r="E2252" s="1" t="s">
        <v>202</v>
      </c>
      <c r="F2252" s="20" t="s">
        <v>591</v>
      </c>
      <c r="G2252" s="204">
        <v>42768</v>
      </c>
      <c r="H2252" s="204"/>
      <c r="I2252" s="204">
        <v>42767</v>
      </c>
      <c r="J2252" s="1" t="s">
        <v>61</v>
      </c>
      <c r="K2252" s="1"/>
      <c r="L2252" s="1"/>
      <c r="M2252" s="1">
        <f>IF(L2252&gt;K2252,K2252,L2252)</f>
        <v>0</v>
      </c>
      <c r="N2252" s="66">
        <f t="shared" si="290"/>
        <v>42786</v>
      </c>
      <c r="O2252" s="1">
        <v>7004</v>
      </c>
      <c r="P2252" s="38"/>
      <c r="Q2252" s="258">
        <v>42814</v>
      </c>
      <c r="R2252" s="77"/>
    </row>
    <row r="2253" spans="1:19" s="3" customFormat="1" x14ac:dyDescent="0.25">
      <c r="A2253" s="1">
        <v>1089</v>
      </c>
      <c r="B2253" s="204">
        <v>42768</v>
      </c>
      <c r="C2253" s="1">
        <v>103</v>
      </c>
      <c r="D2253" s="1">
        <v>3000038372</v>
      </c>
      <c r="E2253" s="1" t="s">
        <v>202</v>
      </c>
      <c r="F2253" s="16">
        <v>251</v>
      </c>
      <c r="G2253" s="204">
        <v>42758</v>
      </c>
      <c r="H2253" s="204"/>
      <c r="I2253" s="204">
        <v>42767</v>
      </c>
      <c r="J2253" s="1" t="s">
        <v>61</v>
      </c>
      <c r="K2253" s="1">
        <v>20.010000000000002</v>
      </c>
      <c r="L2253" s="1">
        <v>20.07</v>
      </c>
      <c r="M2253" s="1">
        <f>IF(L2253&gt;K2253,K2253,L2253)</f>
        <v>20.010000000000002</v>
      </c>
      <c r="N2253" s="66">
        <f t="shared" si="290"/>
        <v>42786</v>
      </c>
      <c r="O2253" s="1">
        <v>2521260</v>
      </c>
      <c r="P2253" s="36">
        <f>(+O2253/K2253*M2253)-7004</f>
        <v>2514256</v>
      </c>
      <c r="Q2253" s="258">
        <v>42814</v>
      </c>
      <c r="R2253" s="77"/>
    </row>
    <row r="2254" spans="1:19" s="3" customFormat="1" x14ac:dyDescent="0.25">
      <c r="A2254" s="13"/>
      <c r="B2254" s="204">
        <v>42779</v>
      </c>
      <c r="C2254" s="5">
        <v>103</v>
      </c>
      <c r="D2254" s="5">
        <v>3000038696</v>
      </c>
      <c r="E2254" s="5" t="s">
        <v>158</v>
      </c>
      <c r="F2254" s="16" t="s">
        <v>607</v>
      </c>
      <c r="G2254" s="204">
        <v>42776</v>
      </c>
      <c r="H2254" s="204"/>
      <c r="I2254" s="204"/>
      <c r="J2254" s="1" t="s">
        <v>347</v>
      </c>
      <c r="K2254" s="5"/>
      <c r="L2254" s="5"/>
      <c r="M2254" s="5"/>
      <c r="N2254" s="66">
        <f t="shared" si="290"/>
        <v>19</v>
      </c>
      <c r="O2254" s="5">
        <v>8539</v>
      </c>
      <c r="P2254" s="266"/>
      <c r="Q2254" s="258">
        <v>42814</v>
      </c>
      <c r="R2254" s="1"/>
    </row>
    <row r="2255" spans="1:19" s="3" customFormat="1" x14ac:dyDescent="0.25">
      <c r="A2255" s="13"/>
      <c r="B2255" s="204">
        <v>42779</v>
      </c>
      <c r="C2255" s="5">
        <v>103</v>
      </c>
      <c r="D2255" s="5">
        <v>3000038696</v>
      </c>
      <c r="E2255" s="5" t="s">
        <v>158</v>
      </c>
      <c r="F2255" s="16">
        <v>192</v>
      </c>
      <c r="G2255" s="204">
        <v>42769</v>
      </c>
      <c r="H2255" s="204"/>
      <c r="I2255" s="204">
        <v>42774</v>
      </c>
      <c r="J2255" s="1" t="s">
        <v>61</v>
      </c>
      <c r="K2255" s="5">
        <v>19.72</v>
      </c>
      <c r="L2255" s="5">
        <v>19.72</v>
      </c>
      <c r="M2255" s="5">
        <v>19.72</v>
      </c>
      <c r="N2255" s="66">
        <f t="shared" si="290"/>
        <v>42793</v>
      </c>
      <c r="O2255" s="5">
        <v>2563600</v>
      </c>
      <c r="P2255" s="36">
        <f>(+O2255/K2255*M2255)-8539</f>
        <v>2555061</v>
      </c>
      <c r="Q2255" s="258">
        <v>42814</v>
      </c>
      <c r="R2255" s="1"/>
    </row>
    <row r="2256" spans="1:19" s="3" customFormat="1" x14ac:dyDescent="0.25">
      <c r="A2256" s="13"/>
      <c r="B2256" s="204">
        <v>42779</v>
      </c>
      <c r="C2256" s="5">
        <v>103</v>
      </c>
      <c r="D2256" s="5">
        <v>3000038696</v>
      </c>
      <c r="E2256" s="5" t="s">
        <v>158</v>
      </c>
      <c r="F2256" s="16" t="s">
        <v>605</v>
      </c>
      <c r="G2256" s="204">
        <v>42776</v>
      </c>
      <c r="H2256" s="204"/>
      <c r="I2256" s="204"/>
      <c r="J2256" s="1" t="s">
        <v>347</v>
      </c>
      <c r="K2256" s="5"/>
      <c r="L2256" s="5"/>
      <c r="M2256" s="5"/>
      <c r="N2256" s="66">
        <f t="shared" si="290"/>
        <v>19</v>
      </c>
      <c r="O2256" s="5">
        <v>8414</v>
      </c>
      <c r="P2256" s="266"/>
      <c r="Q2256" s="258">
        <v>42814</v>
      </c>
      <c r="R2256" s="1"/>
    </row>
    <row r="2257" spans="1:19" s="3" customFormat="1" x14ac:dyDescent="0.25">
      <c r="A2257" s="13"/>
      <c r="B2257" s="204">
        <v>42779</v>
      </c>
      <c r="C2257" s="5">
        <v>103</v>
      </c>
      <c r="D2257" s="5">
        <v>3000038696</v>
      </c>
      <c r="E2257" s="5" t="s">
        <v>158</v>
      </c>
      <c r="F2257" s="16">
        <v>193</v>
      </c>
      <c r="G2257" s="204">
        <v>42770</v>
      </c>
      <c r="H2257" s="204"/>
      <c r="I2257" s="204">
        <v>42774</v>
      </c>
      <c r="J2257" s="1" t="s">
        <v>61</v>
      </c>
      <c r="K2257" s="5">
        <v>19.75</v>
      </c>
      <c r="L2257" s="5">
        <v>19.77</v>
      </c>
      <c r="M2257" s="5">
        <v>19.75</v>
      </c>
      <c r="N2257" s="66">
        <f t="shared" si="290"/>
        <v>42793</v>
      </c>
      <c r="O2257" s="5">
        <v>2567500</v>
      </c>
      <c r="P2257" s="36">
        <f>(+O2257/K2257*M2257)-8414</f>
        <v>2559086</v>
      </c>
      <c r="Q2257" s="258">
        <v>42814</v>
      </c>
      <c r="R2257" s="258">
        <v>42816</v>
      </c>
      <c r="S2257" s="230">
        <f t="shared" ref="S2257:S2277" si="291">R2257-N2257</f>
        <v>23</v>
      </c>
    </row>
    <row r="2258" spans="1:19" s="3" customFormat="1" x14ac:dyDescent="0.25">
      <c r="A2258" s="13"/>
      <c r="B2258" s="204">
        <v>42779</v>
      </c>
      <c r="C2258" s="5">
        <v>103</v>
      </c>
      <c r="D2258" s="5">
        <v>3000038696</v>
      </c>
      <c r="E2258" s="5" t="s">
        <v>158</v>
      </c>
      <c r="F2258" s="16" t="s">
        <v>606</v>
      </c>
      <c r="G2258" s="204">
        <v>42776</v>
      </c>
      <c r="H2258" s="204"/>
      <c r="I2258" s="204"/>
      <c r="J2258" s="1" t="s">
        <v>347</v>
      </c>
      <c r="K2258" s="5"/>
      <c r="L2258" s="5"/>
      <c r="M2258" s="5"/>
      <c r="N2258" s="66">
        <f t="shared" si="290"/>
        <v>19</v>
      </c>
      <c r="O2258" s="5">
        <v>11452</v>
      </c>
      <c r="P2258" s="266"/>
      <c r="Q2258" s="258">
        <v>42814</v>
      </c>
      <c r="R2258" s="258">
        <v>42816</v>
      </c>
      <c r="S2258" s="230"/>
    </row>
    <row r="2259" spans="1:19" s="3" customFormat="1" x14ac:dyDescent="0.25">
      <c r="A2259" s="13"/>
      <c r="B2259" s="204">
        <v>42779</v>
      </c>
      <c r="C2259" s="5">
        <v>103</v>
      </c>
      <c r="D2259" s="5">
        <v>3000038696</v>
      </c>
      <c r="E2259" s="5" t="s">
        <v>158</v>
      </c>
      <c r="F2259" s="16">
        <v>194</v>
      </c>
      <c r="G2259" s="204">
        <v>42771</v>
      </c>
      <c r="H2259" s="204"/>
      <c r="I2259" s="204">
        <v>42774</v>
      </c>
      <c r="J2259" s="1" t="s">
        <v>61</v>
      </c>
      <c r="K2259" s="5">
        <v>19.71</v>
      </c>
      <c r="L2259" s="5">
        <v>19.78</v>
      </c>
      <c r="M2259" s="5">
        <v>19.71</v>
      </c>
      <c r="N2259" s="66">
        <f t="shared" si="290"/>
        <v>42793</v>
      </c>
      <c r="O2259" s="5">
        <v>2562300</v>
      </c>
      <c r="P2259" s="36">
        <f>(+O2259/K2259*M2259)-11452</f>
        <v>2550848</v>
      </c>
      <c r="Q2259" s="258">
        <v>42814</v>
      </c>
      <c r="R2259" s="258">
        <v>42816</v>
      </c>
      <c r="S2259" s="230">
        <f t="shared" si="291"/>
        <v>23</v>
      </c>
    </row>
    <row r="2260" spans="1:19" s="1" customFormat="1" x14ac:dyDescent="0.25">
      <c r="A2260" s="84"/>
      <c r="B2260" s="204">
        <v>42782</v>
      </c>
      <c r="C2260" s="5">
        <v>103</v>
      </c>
      <c r="D2260" s="1">
        <v>3000038106</v>
      </c>
      <c r="E2260" s="1" t="s">
        <v>348</v>
      </c>
      <c r="F2260" s="1">
        <v>217</v>
      </c>
      <c r="G2260" s="204">
        <v>42774</v>
      </c>
      <c r="H2260" s="204"/>
      <c r="I2260" s="204">
        <v>42776</v>
      </c>
      <c r="J2260" s="1" t="s">
        <v>16</v>
      </c>
      <c r="K2260" s="1">
        <v>20.11</v>
      </c>
      <c r="L2260" s="1">
        <v>20.079999999999998</v>
      </c>
      <c r="M2260" s="5">
        <f t="shared" ref="M2260:M2277" si="292">IF(L2260&gt;K2260,K2260,L2260)</f>
        <v>20.079999999999998</v>
      </c>
      <c r="N2260" s="66">
        <f t="shared" si="290"/>
        <v>42795</v>
      </c>
      <c r="O2260" s="1">
        <v>1105547</v>
      </c>
      <c r="P2260" s="36">
        <f t="shared" ref="P2260:P2269" si="293">(+O2260/K2260*M2260)</f>
        <v>1103897.7503729488</v>
      </c>
      <c r="Q2260" s="258">
        <v>42814</v>
      </c>
      <c r="R2260" s="258">
        <v>42816</v>
      </c>
      <c r="S2260" s="230">
        <f t="shared" si="291"/>
        <v>21</v>
      </c>
    </row>
    <row r="2261" spans="1:19" s="1" customFormat="1" x14ac:dyDescent="0.25">
      <c r="A2261" s="84"/>
      <c r="B2261" s="204">
        <v>42782</v>
      </c>
      <c r="C2261" s="5">
        <v>103</v>
      </c>
      <c r="D2261" s="1">
        <v>3000038106</v>
      </c>
      <c r="E2261" s="1" t="s">
        <v>348</v>
      </c>
      <c r="F2261" s="1">
        <v>218</v>
      </c>
      <c r="G2261" s="204">
        <v>42774</v>
      </c>
      <c r="H2261" s="204"/>
      <c r="I2261" s="204">
        <v>42776</v>
      </c>
      <c r="J2261" s="1" t="s">
        <v>16</v>
      </c>
      <c r="K2261" s="1">
        <v>19.96</v>
      </c>
      <c r="L2261" s="1">
        <v>19.93</v>
      </c>
      <c r="M2261" s="5">
        <f t="shared" si="292"/>
        <v>19.93</v>
      </c>
      <c r="N2261" s="66">
        <f t="shared" si="290"/>
        <v>42795</v>
      </c>
      <c r="O2261" s="1">
        <v>1097301</v>
      </c>
      <c r="P2261" s="36">
        <f t="shared" si="293"/>
        <v>1095651.75</v>
      </c>
      <c r="Q2261" s="258">
        <v>42814</v>
      </c>
      <c r="R2261" s="258">
        <v>42816</v>
      </c>
      <c r="S2261" s="230">
        <f t="shared" si="291"/>
        <v>21</v>
      </c>
    </row>
    <row r="2262" spans="1:19" s="1" customFormat="1" x14ac:dyDescent="0.25">
      <c r="A2262" s="84"/>
      <c r="B2262" s="204">
        <v>42782</v>
      </c>
      <c r="C2262" s="5">
        <v>103</v>
      </c>
      <c r="D2262" s="1">
        <v>3000038857</v>
      </c>
      <c r="E2262" s="1" t="s">
        <v>161</v>
      </c>
      <c r="F2262" s="1">
        <v>9600531601</v>
      </c>
      <c r="G2262" s="204">
        <v>42776</v>
      </c>
      <c r="H2262" s="204"/>
      <c r="I2262" s="204">
        <v>42776</v>
      </c>
      <c r="J2262" s="1" t="s">
        <v>16</v>
      </c>
      <c r="K2262" s="1">
        <v>19.420000000000002</v>
      </c>
      <c r="L2262" s="1">
        <v>19.420000000000002</v>
      </c>
      <c r="M2262" s="5">
        <f>IF(L2262&gt;K2262,K2262,L2262)</f>
        <v>19.420000000000002</v>
      </c>
      <c r="N2262" s="66">
        <f>+I2262+10-'V V F India Out Standing'!O67225</f>
        <v>42786</v>
      </c>
      <c r="O2262" s="1">
        <v>1113917</v>
      </c>
      <c r="P2262" s="36">
        <f t="shared" si="293"/>
        <v>1113917</v>
      </c>
      <c r="Q2262" s="225"/>
    </row>
    <row r="2263" spans="1:19" s="1" customFormat="1" x14ac:dyDescent="0.25">
      <c r="A2263" s="84"/>
      <c r="B2263" s="204">
        <v>42782</v>
      </c>
      <c r="C2263" s="5">
        <v>103</v>
      </c>
      <c r="D2263" s="1">
        <v>3000038857</v>
      </c>
      <c r="E2263" s="1" t="s">
        <v>161</v>
      </c>
      <c r="F2263" s="1">
        <v>9600531602</v>
      </c>
      <c r="G2263" s="204">
        <v>42776</v>
      </c>
      <c r="H2263" s="204"/>
      <c r="I2263" s="204">
        <v>42776</v>
      </c>
      <c r="J2263" s="1" t="s">
        <v>16</v>
      </c>
      <c r="K2263" s="1">
        <v>19.71</v>
      </c>
      <c r="L2263" s="1">
        <v>19.71</v>
      </c>
      <c r="M2263" s="5">
        <f>IF(L2263&gt;K2263,K2263,L2263)</f>
        <v>19.71</v>
      </c>
      <c r="N2263" s="66">
        <f>+I2263+10-'V V F India Out Standing'!O67226</f>
        <v>42786</v>
      </c>
      <c r="O2263" s="1">
        <v>1130550</v>
      </c>
      <c r="P2263" s="36">
        <f t="shared" si="293"/>
        <v>1130550</v>
      </c>
      <c r="Q2263" s="225"/>
    </row>
    <row r="2264" spans="1:19" s="1" customFormat="1" x14ac:dyDescent="0.25">
      <c r="A2264" s="84"/>
      <c r="B2264" s="204">
        <v>42782</v>
      </c>
      <c r="C2264" s="5">
        <v>103</v>
      </c>
      <c r="D2264" s="1">
        <v>3000038857</v>
      </c>
      <c r="E2264" s="1" t="s">
        <v>161</v>
      </c>
      <c r="F2264" s="1">
        <v>9600531605</v>
      </c>
      <c r="G2264" s="204">
        <v>42777</v>
      </c>
      <c r="H2264" s="204"/>
      <c r="I2264" s="204">
        <v>42777</v>
      </c>
      <c r="J2264" s="1" t="s">
        <v>16</v>
      </c>
      <c r="K2264" s="1">
        <v>19.98</v>
      </c>
      <c r="L2264" s="1">
        <v>19.98</v>
      </c>
      <c r="M2264" s="5">
        <f>IF(L2264&gt;K2264,K2264,L2264)</f>
        <v>19.98</v>
      </c>
      <c r="N2264" s="66">
        <f>+I2264+10-'V V F India Out Standing'!O67227</f>
        <v>42787</v>
      </c>
      <c r="O2264" s="1">
        <v>1146038</v>
      </c>
      <c r="P2264" s="36">
        <f t="shared" si="293"/>
        <v>1146038</v>
      </c>
      <c r="Q2264" s="225"/>
    </row>
    <row r="2265" spans="1:19" s="1" customFormat="1" x14ac:dyDescent="0.25">
      <c r="A2265" s="84"/>
      <c r="B2265" s="204">
        <v>42782</v>
      </c>
      <c r="C2265" s="5">
        <v>103</v>
      </c>
      <c r="D2265" s="1">
        <v>3000038857</v>
      </c>
      <c r="E2265" s="1" t="s">
        <v>161</v>
      </c>
      <c r="F2265" s="1">
        <v>9600531598</v>
      </c>
      <c r="G2265" s="204">
        <v>42776</v>
      </c>
      <c r="H2265" s="204"/>
      <c r="I2265" s="204">
        <v>42776</v>
      </c>
      <c r="J2265" s="1" t="s">
        <v>16</v>
      </c>
      <c r="K2265" s="1">
        <v>23.02</v>
      </c>
      <c r="L2265" s="1">
        <v>23.02</v>
      </c>
      <c r="M2265" s="5">
        <f>IF(L2265&gt;K2265,K2265,L2265)</f>
        <v>23.02</v>
      </c>
      <c r="N2265" s="66">
        <f>+I2265+10-'V V F India Out Standing'!O67228</f>
        <v>42786</v>
      </c>
      <c r="O2265" s="1">
        <v>1320410</v>
      </c>
      <c r="P2265" s="36">
        <f t="shared" si="293"/>
        <v>1320410</v>
      </c>
      <c r="Q2265" s="225"/>
    </row>
    <row r="2266" spans="1:19" s="1" customFormat="1" x14ac:dyDescent="0.25">
      <c r="A2266" s="84"/>
      <c r="B2266" s="204">
        <v>42782</v>
      </c>
      <c r="C2266" s="5">
        <v>103</v>
      </c>
      <c r="D2266" s="1">
        <v>3000038857</v>
      </c>
      <c r="E2266" s="1" t="s">
        <v>161</v>
      </c>
      <c r="F2266" s="1">
        <v>9600531599</v>
      </c>
      <c r="G2266" s="204">
        <v>42776</v>
      </c>
      <c r="H2266" s="204"/>
      <c r="I2266" s="204">
        <v>42776</v>
      </c>
      <c r="J2266" s="1" t="s">
        <v>16</v>
      </c>
      <c r="K2266" s="1">
        <v>16.21</v>
      </c>
      <c r="L2266" s="1">
        <v>16.21</v>
      </c>
      <c r="M2266" s="5">
        <f>IF(L2266&gt;K2266,K2266,L2266)</f>
        <v>16.21</v>
      </c>
      <c r="N2266" s="66">
        <f>+I2266+10-'V V F India Out Standing'!O67229</f>
        <v>42786</v>
      </c>
      <c r="O2266" s="1">
        <v>929794</v>
      </c>
      <c r="P2266" s="36">
        <f t="shared" si="293"/>
        <v>929794</v>
      </c>
      <c r="Q2266" s="225"/>
    </row>
    <row r="2267" spans="1:19" s="1" customFormat="1" x14ac:dyDescent="0.25">
      <c r="A2267" s="84"/>
      <c r="B2267" s="204">
        <v>42786</v>
      </c>
      <c r="C2267" s="5">
        <v>114</v>
      </c>
      <c r="D2267" s="1">
        <v>3000038602</v>
      </c>
      <c r="E2267" s="1" t="s">
        <v>30</v>
      </c>
      <c r="F2267" s="1">
        <v>713</v>
      </c>
      <c r="G2267" s="204">
        <v>42778</v>
      </c>
      <c r="H2267" s="204"/>
      <c r="I2267" s="204">
        <v>42780</v>
      </c>
      <c r="J2267" s="1" t="s">
        <v>229</v>
      </c>
      <c r="K2267" s="1">
        <v>29.58</v>
      </c>
      <c r="L2267" s="1">
        <v>29.45</v>
      </c>
      <c r="M2267" s="5">
        <f t="shared" si="292"/>
        <v>29.45</v>
      </c>
      <c r="N2267" s="211">
        <f t="shared" ref="N2267:N2277" si="294">+I2267+15-1</f>
        <v>42794</v>
      </c>
      <c r="O2267" s="1">
        <v>1508580</v>
      </c>
      <c r="P2267" s="36">
        <f t="shared" si="293"/>
        <v>1501950</v>
      </c>
      <c r="Q2267" s="258">
        <v>42815</v>
      </c>
      <c r="R2267" s="258">
        <v>42816</v>
      </c>
      <c r="S2267" s="230">
        <f t="shared" si="291"/>
        <v>22</v>
      </c>
    </row>
    <row r="2268" spans="1:19" s="1" customFormat="1" x14ac:dyDescent="0.25">
      <c r="A2268" s="84"/>
      <c r="B2268" s="204">
        <v>42789</v>
      </c>
      <c r="C2268" s="1">
        <v>114</v>
      </c>
      <c r="D2268" s="1">
        <v>3000038602</v>
      </c>
      <c r="E2268" s="1" t="s">
        <v>30</v>
      </c>
      <c r="F2268" s="1">
        <v>722</v>
      </c>
      <c r="G2268" s="213">
        <v>42780</v>
      </c>
      <c r="H2268" s="1" t="s">
        <v>641</v>
      </c>
      <c r="I2268" s="204">
        <v>42784</v>
      </c>
      <c r="J2268" s="1" t="s">
        <v>229</v>
      </c>
      <c r="K2268" s="1">
        <v>29.56</v>
      </c>
      <c r="L2268" s="1">
        <v>29.43</v>
      </c>
      <c r="M2268" s="5">
        <f t="shared" si="292"/>
        <v>29.43</v>
      </c>
      <c r="N2268" s="211">
        <f t="shared" si="294"/>
        <v>42798</v>
      </c>
      <c r="O2268" s="1">
        <v>1507560</v>
      </c>
      <c r="P2268" s="36">
        <f t="shared" si="293"/>
        <v>1500930</v>
      </c>
      <c r="Q2268" s="258">
        <v>42815</v>
      </c>
      <c r="R2268" s="258">
        <v>42816</v>
      </c>
      <c r="S2268" s="230">
        <f t="shared" si="291"/>
        <v>18</v>
      </c>
    </row>
    <row r="2269" spans="1:19" s="1" customFormat="1" x14ac:dyDescent="0.25">
      <c r="A2269" s="84"/>
      <c r="B2269" s="204">
        <v>42789</v>
      </c>
      <c r="C2269" s="1">
        <v>114</v>
      </c>
      <c r="D2269" s="1">
        <v>3000038602</v>
      </c>
      <c r="E2269" s="1" t="s">
        <v>30</v>
      </c>
      <c r="F2269" s="1">
        <v>723</v>
      </c>
      <c r="G2269" s="213">
        <v>42780</v>
      </c>
      <c r="H2269" s="1" t="s">
        <v>642</v>
      </c>
      <c r="I2269" s="204">
        <v>42784</v>
      </c>
      <c r="J2269" s="1" t="s">
        <v>229</v>
      </c>
      <c r="K2269" s="1">
        <v>28.07</v>
      </c>
      <c r="L2269" s="1">
        <v>27.96</v>
      </c>
      <c r="M2269" s="5">
        <f t="shared" si="292"/>
        <v>27.96</v>
      </c>
      <c r="N2269" s="211">
        <f t="shared" si="294"/>
        <v>42798</v>
      </c>
      <c r="O2269" s="1">
        <v>1431570</v>
      </c>
      <c r="P2269" s="36">
        <f t="shared" si="293"/>
        <v>1425960</v>
      </c>
      <c r="Q2269" s="258">
        <v>42815</v>
      </c>
      <c r="R2269" s="258">
        <v>42816</v>
      </c>
      <c r="S2269" s="230">
        <f t="shared" si="291"/>
        <v>18</v>
      </c>
    </row>
    <row r="2270" spans="1:19" s="1" customFormat="1" x14ac:dyDescent="0.25">
      <c r="A2270" s="84"/>
      <c r="B2270" s="204">
        <v>42789</v>
      </c>
      <c r="C2270" s="1">
        <v>114</v>
      </c>
      <c r="D2270" s="1" t="s">
        <v>658</v>
      </c>
      <c r="E2270" s="1" t="s">
        <v>599</v>
      </c>
      <c r="F2270" s="16" t="s">
        <v>659</v>
      </c>
      <c r="G2270" s="213">
        <v>42788</v>
      </c>
      <c r="H2270" s="1" t="s">
        <v>660</v>
      </c>
      <c r="I2270" s="204">
        <v>42783</v>
      </c>
      <c r="J2270" s="1" t="s">
        <v>8</v>
      </c>
      <c r="M2270" s="5">
        <f t="shared" si="292"/>
        <v>0</v>
      </c>
      <c r="N2270" s="211">
        <f t="shared" si="294"/>
        <v>42797</v>
      </c>
      <c r="O2270" s="1">
        <v>7379</v>
      </c>
      <c r="P2270" s="36"/>
      <c r="Q2270" s="258">
        <v>42815</v>
      </c>
      <c r="R2270" s="258">
        <v>42816</v>
      </c>
      <c r="S2270" s="230">
        <f t="shared" si="291"/>
        <v>19</v>
      </c>
    </row>
    <row r="2271" spans="1:19" s="1" customFormat="1" x14ac:dyDescent="0.25">
      <c r="A2271" s="84"/>
      <c r="B2271" s="204">
        <v>42789</v>
      </c>
      <c r="C2271" s="1">
        <v>114</v>
      </c>
      <c r="D2271" s="1">
        <v>3000037388</v>
      </c>
      <c r="E2271" s="1" t="s">
        <v>599</v>
      </c>
      <c r="F2271" s="16">
        <v>3354</v>
      </c>
      <c r="G2271" s="213">
        <v>42780</v>
      </c>
      <c r="H2271" s="1" t="s">
        <v>660</v>
      </c>
      <c r="I2271" s="204">
        <v>42783</v>
      </c>
      <c r="J2271" s="1" t="s">
        <v>8</v>
      </c>
      <c r="K2271" s="1">
        <v>25</v>
      </c>
      <c r="L2271" s="1">
        <v>25</v>
      </c>
      <c r="M2271" s="5">
        <f t="shared" si="292"/>
        <v>25</v>
      </c>
      <c r="N2271" s="211">
        <f t="shared" si="294"/>
        <v>42797</v>
      </c>
      <c r="O2271" s="1">
        <v>1475000</v>
      </c>
      <c r="P2271" s="36">
        <f>(+O2271/K2271*M2271)-7379</f>
        <v>1467621</v>
      </c>
      <c r="Q2271" s="258">
        <v>42815</v>
      </c>
      <c r="R2271" s="258">
        <v>42816</v>
      </c>
      <c r="S2271" s="230">
        <f t="shared" si="291"/>
        <v>19</v>
      </c>
    </row>
    <row r="2272" spans="1:19" s="1" customFormat="1" x14ac:dyDescent="0.25">
      <c r="A2272" s="84"/>
      <c r="B2272" s="204">
        <v>42789</v>
      </c>
      <c r="C2272" s="1">
        <v>114</v>
      </c>
      <c r="D2272" s="1">
        <v>3000038822</v>
      </c>
      <c r="E2272" s="1" t="s">
        <v>599</v>
      </c>
      <c r="F2272" s="16">
        <v>3354</v>
      </c>
      <c r="G2272" s="213">
        <v>42780</v>
      </c>
      <c r="H2272" s="1" t="s">
        <v>660</v>
      </c>
      <c r="I2272" s="204">
        <v>42783</v>
      </c>
      <c r="J2272" s="1" t="s">
        <v>8</v>
      </c>
      <c r="K2272" s="1">
        <v>2.33</v>
      </c>
      <c r="L2272" s="1">
        <v>2.33</v>
      </c>
      <c r="M2272" s="5">
        <f t="shared" si="292"/>
        <v>2.33</v>
      </c>
      <c r="N2272" s="211">
        <f t="shared" si="294"/>
        <v>42797</v>
      </c>
      <c r="O2272" s="1">
        <v>136305</v>
      </c>
      <c r="P2272" s="36">
        <f t="shared" ref="P2272:P2277" si="295">(+O2272/K2272*M2272)</f>
        <v>136305</v>
      </c>
      <c r="Q2272" s="258">
        <v>42815</v>
      </c>
      <c r="R2272" s="258">
        <v>42816</v>
      </c>
      <c r="S2272" s="230">
        <f t="shared" si="291"/>
        <v>19</v>
      </c>
    </row>
    <row r="2273" spans="1:19" s="1" customFormat="1" x14ac:dyDescent="0.25">
      <c r="A2273" s="84"/>
      <c r="B2273" s="204">
        <v>42793</v>
      </c>
      <c r="C2273" s="1">
        <v>114</v>
      </c>
      <c r="D2273" s="1">
        <v>3000038502</v>
      </c>
      <c r="E2273" s="1" t="s">
        <v>599</v>
      </c>
      <c r="F2273" s="16">
        <v>3357</v>
      </c>
      <c r="G2273" s="213">
        <v>42782</v>
      </c>
      <c r="H2273" s="1" t="s">
        <v>668</v>
      </c>
      <c r="I2273" s="204">
        <v>42786</v>
      </c>
      <c r="J2273" s="1" t="s">
        <v>8</v>
      </c>
      <c r="K2273" s="1">
        <v>27</v>
      </c>
      <c r="L2273" s="1">
        <v>26.89</v>
      </c>
      <c r="M2273" s="5">
        <f t="shared" si="292"/>
        <v>26.89</v>
      </c>
      <c r="N2273" s="211">
        <f t="shared" si="294"/>
        <v>42800</v>
      </c>
      <c r="O2273" s="1">
        <v>1606500</v>
      </c>
      <c r="P2273" s="36">
        <f t="shared" si="295"/>
        <v>1599955</v>
      </c>
      <c r="Q2273" s="258">
        <v>42815</v>
      </c>
      <c r="R2273" s="258">
        <v>42816</v>
      </c>
      <c r="S2273" s="230">
        <f t="shared" si="291"/>
        <v>16</v>
      </c>
    </row>
    <row r="2274" spans="1:19" s="1" customFormat="1" x14ac:dyDescent="0.25">
      <c r="A2274" s="84"/>
      <c r="B2274" s="204">
        <v>42793</v>
      </c>
      <c r="C2274" s="1">
        <v>114</v>
      </c>
      <c r="D2274" s="1">
        <v>3000036341</v>
      </c>
      <c r="E2274" s="1" t="s">
        <v>599</v>
      </c>
      <c r="F2274" s="16">
        <v>3357</v>
      </c>
      <c r="G2274" s="213">
        <v>42782</v>
      </c>
      <c r="H2274" s="1" t="s">
        <v>668</v>
      </c>
      <c r="I2274" s="204">
        <v>42786</v>
      </c>
      <c r="J2274" s="1" t="s">
        <v>8</v>
      </c>
      <c r="K2274" s="1">
        <v>0.26</v>
      </c>
      <c r="L2274" s="1">
        <v>0.26</v>
      </c>
      <c r="M2274" s="5">
        <f t="shared" si="292"/>
        <v>0.26</v>
      </c>
      <c r="N2274" s="211">
        <f t="shared" si="294"/>
        <v>42800</v>
      </c>
      <c r="O2274" s="1">
        <v>14352</v>
      </c>
      <c r="P2274" s="36">
        <f t="shared" si="295"/>
        <v>14352</v>
      </c>
      <c r="Q2274" s="258">
        <v>42815</v>
      </c>
      <c r="R2274" s="258">
        <v>42816</v>
      </c>
      <c r="S2274" s="230">
        <f t="shared" si="291"/>
        <v>16</v>
      </c>
    </row>
    <row r="2275" spans="1:19" s="1" customFormat="1" x14ac:dyDescent="0.25">
      <c r="A2275" s="84"/>
      <c r="B2275" s="204">
        <v>42789</v>
      </c>
      <c r="C2275" s="1">
        <v>114</v>
      </c>
      <c r="D2275" s="1">
        <v>3000038822</v>
      </c>
      <c r="E2275" s="1" t="s">
        <v>599</v>
      </c>
      <c r="F2275" s="1">
        <v>3358</v>
      </c>
      <c r="G2275" s="213">
        <v>42782</v>
      </c>
      <c r="H2275" s="1" t="s">
        <v>640</v>
      </c>
      <c r="I2275" s="204">
        <v>42785</v>
      </c>
      <c r="J2275" s="1" t="s">
        <v>8</v>
      </c>
      <c r="K2275" s="1">
        <v>27.74</v>
      </c>
      <c r="L2275" s="1">
        <v>27.71</v>
      </c>
      <c r="M2275" s="5">
        <f t="shared" si="292"/>
        <v>27.71</v>
      </c>
      <c r="N2275" s="211">
        <f t="shared" si="294"/>
        <v>42799</v>
      </c>
      <c r="O2275" s="1">
        <v>1622790</v>
      </c>
      <c r="P2275" s="36">
        <f t="shared" si="295"/>
        <v>1621035</v>
      </c>
      <c r="Q2275" s="258">
        <v>42815</v>
      </c>
      <c r="R2275" s="258">
        <v>42816</v>
      </c>
      <c r="S2275" s="230">
        <f t="shared" si="291"/>
        <v>17</v>
      </c>
    </row>
    <row r="2276" spans="1:19" s="1" customFormat="1" x14ac:dyDescent="0.25">
      <c r="A2276" s="84"/>
      <c r="B2276" s="204">
        <v>42793</v>
      </c>
      <c r="C2276" s="1">
        <v>114</v>
      </c>
      <c r="D2276" s="1">
        <v>3000038932</v>
      </c>
      <c r="E2276" s="1" t="s">
        <v>138</v>
      </c>
      <c r="F2276" s="16">
        <v>9142</v>
      </c>
      <c r="G2276" s="213">
        <v>42785</v>
      </c>
      <c r="H2276" s="1" t="s">
        <v>682</v>
      </c>
      <c r="I2276" s="204">
        <v>42787</v>
      </c>
      <c r="J2276" s="1" t="s">
        <v>8</v>
      </c>
      <c r="K2276" s="1">
        <v>20</v>
      </c>
      <c r="L2276" s="1">
        <v>20</v>
      </c>
      <c r="M2276" s="5">
        <f t="shared" si="292"/>
        <v>20</v>
      </c>
      <c r="N2276" s="211">
        <f t="shared" si="294"/>
        <v>42801</v>
      </c>
      <c r="O2276" s="1">
        <v>1170000</v>
      </c>
      <c r="P2276" s="36">
        <f t="shared" si="295"/>
        <v>1170000</v>
      </c>
      <c r="Q2276" s="258">
        <v>42815</v>
      </c>
      <c r="R2276" s="258">
        <v>42816</v>
      </c>
      <c r="S2276" s="230">
        <f t="shared" si="291"/>
        <v>15</v>
      </c>
    </row>
    <row r="2277" spans="1:19" s="1" customFormat="1" x14ac:dyDescent="0.25">
      <c r="A2277" s="84"/>
      <c r="B2277" s="204">
        <v>42800</v>
      </c>
      <c r="C2277" s="1">
        <v>114</v>
      </c>
      <c r="D2277" s="1">
        <v>3000038823</v>
      </c>
      <c r="E2277" s="1" t="s">
        <v>18</v>
      </c>
      <c r="F2277" s="1">
        <v>205</v>
      </c>
      <c r="G2277" s="213">
        <v>42790</v>
      </c>
      <c r="H2277" s="1" t="s">
        <v>733</v>
      </c>
      <c r="I2277" s="204">
        <v>42797</v>
      </c>
      <c r="J2277" s="1" t="s">
        <v>8</v>
      </c>
      <c r="K2277" s="1">
        <v>25</v>
      </c>
      <c r="L2277" s="1">
        <v>25</v>
      </c>
      <c r="M2277" s="5">
        <f t="shared" si="292"/>
        <v>25</v>
      </c>
      <c r="N2277" s="211">
        <f t="shared" si="294"/>
        <v>42811</v>
      </c>
      <c r="O2277" s="1">
        <v>1462500</v>
      </c>
      <c r="P2277" s="38">
        <f t="shared" si="295"/>
        <v>1462500</v>
      </c>
      <c r="Q2277" s="258">
        <v>42815</v>
      </c>
      <c r="R2277" s="258">
        <v>42816</v>
      </c>
      <c r="S2277" s="230">
        <f t="shared" si="291"/>
        <v>5</v>
      </c>
    </row>
    <row r="2278" spans="1:19" s="1" customFormat="1" x14ac:dyDescent="0.25"/>
    <row r="2279" spans="1:19" s="1" customFormat="1" x14ac:dyDescent="0.25"/>
    <row r="2280" spans="1:19" s="1" customFormat="1" x14ac:dyDescent="0.25"/>
    <row r="2281" spans="1:19" s="1" customFormat="1" x14ac:dyDescent="0.25"/>
    <row r="2282" spans="1:19" s="3" customFormat="1" x14ac:dyDescent="0.25"/>
    <row r="2283" spans="1:19" s="3" customFormat="1" x14ac:dyDescent="0.25"/>
    <row r="2284" spans="1:19" s="3" customFormat="1" x14ac:dyDescent="0.25"/>
    <row r="2285" spans="1:19" s="3" customFormat="1" x14ac:dyDescent="0.25"/>
    <row r="2286" spans="1:19" s="3" customFormat="1" x14ac:dyDescent="0.25"/>
    <row r="2287" spans="1:19" s="3" customFormat="1" x14ac:dyDescent="0.25"/>
    <row r="2288" spans="1:19" s="3" customFormat="1" x14ac:dyDescent="0.25"/>
    <row r="2289" s="3" customFormat="1" x14ac:dyDescent="0.25"/>
    <row r="2290" s="3" customFormat="1" x14ac:dyDescent="0.25"/>
    <row r="2291" s="3" customFormat="1" x14ac:dyDescent="0.25"/>
    <row r="2292" s="3" customFormat="1" x14ac:dyDescent="0.25"/>
    <row r="2293" s="3" customFormat="1" x14ac:dyDescent="0.25"/>
    <row r="2294" s="3" customFormat="1" x14ac:dyDescent="0.25"/>
    <row r="2295" s="3" customFormat="1" x14ac:dyDescent="0.25"/>
    <row r="2296" s="3" customFormat="1" x14ac:dyDescent="0.25"/>
    <row r="2297" s="3" customFormat="1" x14ac:dyDescent="0.25"/>
    <row r="2298" s="3" customFormat="1" x14ac:dyDescent="0.25"/>
    <row r="2299" s="3" customFormat="1" x14ac:dyDescent="0.25"/>
    <row r="2300" s="3" customFormat="1" x14ac:dyDescent="0.25"/>
    <row r="2301" s="3" customFormat="1" x14ac:dyDescent="0.25"/>
    <row r="2302" s="3" customFormat="1" x14ac:dyDescent="0.25"/>
    <row r="2303" s="3" customFormat="1" x14ac:dyDescent="0.25"/>
    <row r="2304" s="3" customFormat="1" x14ac:dyDescent="0.25"/>
    <row r="2305" s="3" customFormat="1" x14ac:dyDescent="0.25"/>
    <row r="2306" s="3" customFormat="1" x14ac:dyDescent="0.25"/>
    <row r="2307" s="3" customFormat="1" x14ac:dyDescent="0.25"/>
    <row r="2308" s="3" customFormat="1" x14ac:dyDescent="0.25"/>
    <row r="2309" s="3" customFormat="1" x14ac:dyDescent="0.25"/>
    <row r="2310" s="3" customFormat="1" x14ac:dyDescent="0.25"/>
    <row r="2311" s="3" customFormat="1" x14ac:dyDescent="0.25"/>
    <row r="2312" s="3" customFormat="1" x14ac:dyDescent="0.25"/>
    <row r="2313" s="3" customFormat="1" x14ac:dyDescent="0.25"/>
    <row r="2314" s="3" customFormat="1" x14ac:dyDescent="0.25"/>
    <row r="2315" s="3" customFormat="1" x14ac:dyDescent="0.25"/>
    <row r="2316" s="3" customFormat="1" x14ac:dyDescent="0.25"/>
    <row r="2317" s="3" customFormat="1" x14ac:dyDescent="0.25"/>
    <row r="2318" s="3" customFormat="1" x14ac:dyDescent="0.25"/>
    <row r="2319" s="3" customFormat="1" x14ac:dyDescent="0.25"/>
    <row r="2320" s="3" customFormat="1" x14ac:dyDescent="0.25"/>
    <row r="2321" s="3" customFormat="1" x14ac:dyDescent="0.25"/>
    <row r="2322" s="3" customFormat="1" x14ac:dyDescent="0.25"/>
    <row r="2323" s="3" customFormat="1" x14ac:dyDescent="0.25"/>
    <row r="2324" s="3" customFormat="1" x14ac:dyDescent="0.25"/>
    <row r="2325" s="3" customFormat="1" x14ac:dyDescent="0.25"/>
    <row r="2326" s="3" customFormat="1" x14ac:dyDescent="0.25"/>
    <row r="2327" s="3" customFormat="1" x14ac:dyDescent="0.25"/>
    <row r="2328" s="3" customFormat="1" x14ac:dyDescent="0.25"/>
    <row r="2329" s="3" customFormat="1" x14ac:dyDescent="0.25"/>
    <row r="2330" s="3" customFormat="1" x14ac:dyDescent="0.25"/>
    <row r="2331" s="3" customFormat="1" x14ac:dyDescent="0.25"/>
    <row r="2332" s="3" customFormat="1" x14ac:dyDescent="0.25"/>
    <row r="2333" s="3" customFormat="1" x14ac:dyDescent="0.25"/>
    <row r="2334" s="3" customFormat="1" x14ac:dyDescent="0.25"/>
    <row r="2335" s="3" customFormat="1" x14ac:dyDescent="0.25"/>
    <row r="2336" s="3" customFormat="1" x14ac:dyDescent="0.25"/>
    <row r="2337" s="3" customFormat="1" x14ac:dyDescent="0.25"/>
    <row r="2338" s="3" customFormat="1" x14ac:dyDescent="0.25"/>
    <row r="2339" s="3" customFormat="1" x14ac:dyDescent="0.25"/>
    <row r="2340" s="3" customFormat="1" x14ac:dyDescent="0.25"/>
    <row r="2341" s="3" customFormat="1" x14ac:dyDescent="0.25"/>
    <row r="2342" s="3" customFormat="1" x14ac:dyDescent="0.25"/>
    <row r="2343" s="3" customFormat="1" x14ac:dyDescent="0.25"/>
    <row r="2344" s="3" customFormat="1" x14ac:dyDescent="0.25"/>
    <row r="2345" s="3" customFormat="1" x14ac:dyDescent="0.25"/>
    <row r="2346" s="3" customFormat="1" x14ac:dyDescent="0.25"/>
    <row r="2347" s="3" customFormat="1" x14ac:dyDescent="0.25"/>
    <row r="2348" s="3" customFormat="1" x14ac:dyDescent="0.25"/>
    <row r="2349" s="3" customFormat="1" x14ac:dyDescent="0.25"/>
    <row r="2350" s="3" customFormat="1" x14ac:dyDescent="0.25"/>
    <row r="2351" s="3" customFormat="1" x14ac:dyDescent="0.25"/>
    <row r="2352" s="3" customFormat="1" x14ac:dyDescent="0.25"/>
    <row r="2353" s="3" customFormat="1" x14ac:dyDescent="0.25"/>
    <row r="2354" s="3" customFormat="1" x14ac:dyDescent="0.25"/>
    <row r="2355" s="3" customFormat="1" x14ac:dyDescent="0.25"/>
    <row r="2356" s="3" customFormat="1" x14ac:dyDescent="0.25"/>
    <row r="2357" s="3" customFormat="1" x14ac:dyDescent="0.25"/>
    <row r="2358" s="3" customFormat="1" x14ac:dyDescent="0.25"/>
    <row r="2359" s="3" customFormat="1" x14ac:dyDescent="0.25"/>
    <row r="2360" s="3" customFormat="1" x14ac:dyDescent="0.25"/>
    <row r="2361" s="3" customFormat="1" x14ac:dyDescent="0.25"/>
    <row r="2362" s="3" customFormat="1" x14ac:dyDescent="0.25"/>
    <row r="2363" s="3" customFormat="1" x14ac:dyDescent="0.25"/>
    <row r="2364" s="3" customFormat="1" x14ac:dyDescent="0.25"/>
    <row r="2365" s="3" customFormat="1" x14ac:dyDescent="0.25"/>
    <row r="2366" s="3" customFormat="1" x14ac:dyDescent="0.25"/>
    <row r="2367" s="3" customFormat="1" x14ac:dyDescent="0.25"/>
    <row r="2368" s="3" customFormat="1" x14ac:dyDescent="0.25"/>
    <row r="2369" s="3" customFormat="1" x14ac:dyDescent="0.25"/>
    <row r="2370" s="3" customFormat="1" x14ac:dyDescent="0.25"/>
    <row r="2371" s="3" customFormat="1" x14ac:dyDescent="0.25"/>
    <row r="2372" s="3" customFormat="1" x14ac:dyDescent="0.25"/>
    <row r="2373" s="3" customFormat="1" x14ac:dyDescent="0.25"/>
    <row r="2374" s="3" customFormat="1" x14ac:dyDescent="0.25"/>
    <row r="2375" s="3" customFormat="1" x14ac:dyDescent="0.25"/>
    <row r="2376" s="3" customFormat="1" x14ac:dyDescent="0.25"/>
    <row r="2377" s="3" customFormat="1" x14ac:dyDescent="0.25"/>
    <row r="2378" s="3" customFormat="1" x14ac:dyDescent="0.25"/>
    <row r="2379" s="3" customFormat="1" x14ac:dyDescent="0.25"/>
    <row r="2380" s="3" customFormat="1" x14ac:dyDescent="0.25"/>
    <row r="2381" s="3" customFormat="1" x14ac:dyDescent="0.25"/>
    <row r="2382" s="3" customFormat="1" x14ac:dyDescent="0.25"/>
    <row r="2383" s="3" customFormat="1" x14ac:dyDescent="0.25"/>
    <row r="2384" s="3" customFormat="1" x14ac:dyDescent="0.25"/>
    <row r="2385" s="3" customFormat="1" x14ac:dyDescent="0.25"/>
    <row r="2386" s="3" customFormat="1" x14ac:dyDescent="0.25"/>
    <row r="2387" s="3" customFormat="1" x14ac:dyDescent="0.25"/>
    <row r="2388" s="3" customFormat="1" x14ac:dyDescent="0.25"/>
    <row r="2389" s="3" customFormat="1" x14ac:dyDescent="0.25"/>
    <row r="2390" s="3" customFormat="1" x14ac:dyDescent="0.25"/>
    <row r="2391" s="3" customFormat="1" x14ac:dyDescent="0.25"/>
    <row r="2392" s="3" customFormat="1" x14ac:dyDescent="0.25"/>
    <row r="2393" s="3" customFormat="1" x14ac:dyDescent="0.25"/>
    <row r="2394" s="3" customFormat="1" x14ac:dyDescent="0.25"/>
    <row r="2395" s="3" customFormat="1" x14ac:dyDescent="0.25"/>
    <row r="2396" s="3" customFormat="1" x14ac:dyDescent="0.25"/>
    <row r="2397" s="3" customFormat="1" x14ac:dyDescent="0.25"/>
    <row r="2398" s="3" customFormat="1" x14ac:dyDescent="0.25"/>
    <row r="2399" s="3" customFormat="1" x14ac:dyDescent="0.25"/>
    <row r="2400" s="3" customFormat="1" x14ac:dyDescent="0.25"/>
    <row r="2401" s="3" customFormat="1" x14ac:dyDescent="0.25"/>
    <row r="2402" s="3" customFormat="1" x14ac:dyDescent="0.25"/>
    <row r="2403" s="3" customFormat="1" x14ac:dyDescent="0.25"/>
    <row r="2404" s="3" customFormat="1" x14ac:dyDescent="0.25"/>
    <row r="2405" s="3" customFormat="1" x14ac:dyDescent="0.25"/>
    <row r="2406" s="3" customFormat="1" x14ac:dyDescent="0.25"/>
    <row r="2407" s="3" customFormat="1" x14ac:dyDescent="0.25"/>
    <row r="2408" s="3" customFormat="1" x14ac:dyDescent="0.25"/>
    <row r="2409" s="3" customFormat="1" x14ac:dyDescent="0.25"/>
    <row r="2410" s="3" customFormat="1" x14ac:dyDescent="0.25"/>
    <row r="2411" s="3" customFormat="1" x14ac:dyDescent="0.25"/>
    <row r="2412" s="3" customFormat="1" x14ac:dyDescent="0.25"/>
    <row r="2413" s="3" customFormat="1" x14ac:dyDescent="0.25"/>
    <row r="2414" s="3" customFormat="1" x14ac:dyDescent="0.25"/>
    <row r="2415" s="3" customFormat="1" x14ac:dyDescent="0.25"/>
    <row r="2416" s="3" customFormat="1" x14ac:dyDescent="0.25"/>
    <row r="2417" s="3" customFormat="1" x14ac:dyDescent="0.25"/>
    <row r="2418" s="3" customFormat="1" x14ac:dyDescent="0.25"/>
    <row r="2419" s="3" customFormat="1" x14ac:dyDescent="0.25"/>
    <row r="2420" s="3" customFormat="1" x14ac:dyDescent="0.25"/>
    <row r="2421" s="3" customFormat="1" x14ac:dyDescent="0.25"/>
    <row r="2422" s="3" customFormat="1" x14ac:dyDescent="0.25"/>
    <row r="2423" s="3" customFormat="1" x14ac:dyDescent="0.25"/>
    <row r="2424" s="3" customFormat="1" x14ac:dyDescent="0.25"/>
    <row r="2425" s="3" customFormat="1" x14ac:dyDescent="0.25"/>
    <row r="2426" s="3" customFormat="1" x14ac:dyDescent="0.25"/>
    <row r="2427" s="3" customFormat="1" x14ac:dyDescent="0.25"/>
    <row r="2428" s="3" customFormat="1" x14ac:dyDescent="0.25"/>
    <row r="2429" s="3" customFormat="1" x14ac:dyDescent="0.25"/>
    <row r="2430" s="3" customFormat="1" x14ac:dyDescent="0.25"/>
    <row r="2431" s="3" customFormat="1" x14ac:dyDescent="0.25"/>
    <row r="2432" s="3" customFormat="1" x14ac:dyDescent="0.25"/>
    <row r="2433" s="3" customFormat="1" x14ac:dyDescent="0.25"/>
    <row r="2434" s="3" customFormat="1" x14ac:dyDescent="0.25"/>
    <row r="2435" s="3" customFormat="1" x14ac:dyDescent="0.25"/>
    <row r="2436" s="3" customFormat="1" x14ac:dyDescent="0.25"/>
    <row r="2437" s="3" customFormat="1" x14ac:dyDescent="0.25"/>
    <row r="2438" s="3" customFormat="1" x14ac:dyDescent="0.25"/>
    <row r="2439" s="3" customFormat="1" x14ac:dyDescent="0.25"/>
    <row r="2440" s="3" customFormat="1" x14ac:dyDescent="0.25"/>
    <row r="2441" s="3" customFormat="1" x14ac:dyDescent="0.25"/>
    <row r="2442" s="3" customFormat="1" x14ac:dyDescent="0.25"/>
    <row r="2443" s="3" customFormat="1" x14ac:dyDescent="0.25"/>
    <row r="2444" s="3" customFormat="1" x14ac:dyDescent="0.25"/>
    <row r="2445" s="3" customFormat="1" x14ac:dyDescent="0.25"/>
    <row r="2446" s="3" customFormat="1" x14ac:dyDescent="0.25"/>
    <row r="2447" s="3" customFormat="1" x14ac:dyDescent="0.25"/>
    <row r="2448" s="3" customFormat="1" x14ac:dyDescent="0.25"/>
    <row r="2449" s="3" customFormat="1" x14ac:dyDescent="0.25"/>
    <row r="2450" s="3" customFormat="1" x14ac:dyDescent="0.25"/>
    <row r="2451" s="3" customFormat="1" x14ac:dyDescent="0.25"/>
    <row r="2452" s="3" customFormat="1" x14ac:dyDescent="0.25"/>
    <row r="2453" s="3" customFormat="1" x14ac:dyDescent="0.25"/>
    <row r="2454" s="3" customFormat="1" x14ac:dyDescent="0.25"/>
    <row r="2455" s="3" customFormat="1" x14ac:dyDescent="0.25"/>
    <row r="2456" s="3" customFormat="1" x14ac:dyDescent="0.25"/>
    <row r="2457" s="3" customFormat="1" x14ac:dyDescent="0.25"/>
    <row r="2458" s="3" customFormat="1" x14ac:dyDescent="0.25"/>
    <row r="2459" s="3" customFormat="1" x14ac:dyDescent="0.25"/>
    <row r="2460" s="3" customFormat="1" x14ac:dyDescent="0.25"/>
    <row r="2461" s="3" customFormat="1" x14ac:dyDescent="0.25"/>
    <row r="2462" s="3" customFormat="1" x14ac:dyDescent="0.25"/>
    <row r="2463" s="3" customFormat="1" x14ac:dyDescent="0.25"/>
    <row r="2464" s="3" customFormat="1" x14ac:dyDescent="0.25"/>
    <row r="2465" s="3" customFormat="1" x14ac:dyDescent="0.25"/>
    <row r="2466" s="3" customFormat="1" x14ac:dyDescent="0.25"/>
    <row r="2467" s="3" customFormat="1" x14ac:dyDescent="0.25"/>
    <row r="2468" s="3" customFormat="1" x14ac:dyDescent="0.25"/>
    <row r="2469" s="3" customFormat="1" x14ac:dyDescent="0.25"/>
    <row r="2470" s="3" customFormat="1" x14ac:dyDescent="0.25"/>
    <row r="2471" s="3" customFormat="1" x14ac:dyDescent="0.25"/>
    <row r="2472" s="3" customFormat="1" x14ac:dyDescent="0.25"/>
    <row r="2473" s="3" customFormat="1" x14ac:dyDescent="0.25"/>
    <row r="2474" s="3" customFormat="1" x14ac:dyDescent="0.25"/>
    <row r="2475" s="3" customFormat="1" x14ac:dyDescent="0.25"/>
    <row r="2476" s="3" customFormat="1" x14ac:dyDescent="0.25"/>
    <row r="2477" s="3" customFormat="1" x14ac:dyDescent="0.25"/>
    <row r="2478" s="3" customFormat="1" x14ac:dyDescent="0.25"/>
    <row r="2479" s="3" customFormat="1" x14ac:dyDescent="0.25"/>
    <row r="2480" s="3" customFormat="1" x14ac:dyDescent="0.25"/>
    <row r="2481" s="3" customFormat="1" x14ac:dyDescent="0.25"/>
    <row r="2482" s="3" customFormat="1" x14ac:dyDescent="0.25"/>
    <row r="2483" s="3" customFormat="1" x14ac:dyDescent="0.25"/>
    <row r="2484" s="3" customFormat="1" x14ac:dyDescent="0.25"/>
    <row r="2485" s="3" customFormat="1" x14ac:dyDescent="0.25"/>
    <row r="2486" s="3" customFormat="1" x14ac:dyDescent="0.25"/>
    <row r="2487" s="3" customFormat="1" x14ac:dyDescent="0.25"/>
    <row r="2488" s="3" customFormat="1" x14ac:dyDescent="0.25"/>
    <row r="2489" s="3" customFormat="1" x14ac:dyDescent="0.25"/>
    <row r="2490" s="3" customFormat="1" x14ac:dyDescent="0.25"/>
    <row r="2491" s="3" customFormat="1" x14ac:dyDescent="0.25"/>
    <row r="2492" s="3" customFormat="1" x14ac:dyDescent="0.25"/>
    <row r="2493" s="3" customFormat="1" x14ac:dyDescent="0.25"/>
    <row r="2494" s="3" customFormat="1" x14ac:dyDescent="0.25"/>
    <row r="2495" s="3" customFormat="1" x14ac:dyDescent="0.25"/>
    <row r="2496" s="3" customFormat="1" x14ac:dyDescent="0.25"/>
    <row r="2497" s="3" customFormat="1" x14ac:dyDescent="0.25"/>
    <row r="2498" s="3" customFormat="1" x14ac:dyDescent="0.25"/>
    <row r="2499" s="3" customFormat="1" x14ac:dyDescent="0.25"/>
    <row r="2500" s="3" customFormat="1" x14ac:dyDescent="0.25"/>
    <row r="2501" s="3" customFormat="1" x14ac:dyDescent="0.25"/>
    <row r="2502" s="3" customFormat="1" x14ac:dyDescent="0.25"/>
    <row r="2503" s="3" customFormat="1" x14ac:dyDescent="0.25"/>
    <row r="2504" s="3" customFormat="1" x14ac:dyDescent="0.25"/>
    <row r="2505" s="3" customFormat="1" x14ac:dyDescent="0.25"/>
    <row r="2506" s="3" customFormat="1" x14ac:dyDescent="0.25"/>
    <row r="2507" s="3" customFormat="1" x14ac:dyDescent="0.25"/>
    <row r="2508" s="3" customFormat="1" x14ac:dyDescent="0.25"/>
    <row r="2509" s="3" customFormat="1" x14ac:dyDescent="0.25"/>
    <row r="2510" s="3" customFormat="1" x14ac:dyDescent="0.25"/>
    <row r="2511" s="3" customFormat="1" x14ac:dyDescent="0.25"/>
    <row r="2512" s="3" customFormat="1" x14ac:dyDescent="0.25"/>
    <row r="2513" s="3" customFormat="1" x14ac:dyDescent="0.25"/>
    <row r="2514" s="3" customFormat="1" x14ac:dyDescent="0.25"/>
    <row r="2515" s="3" customFormat="1" x14ac:dyDescent="0.25"/>
    <row r="2516" s="3" customFormat="1" x14ac:dyDescent="0.25"/>
    <row r="2517" s="3" customFormat="1" x14ac:dyDescent="0.25"/>
    <row r="2518" s="3" customFormat="1" x14ac:dyDescent="0.25"/>
    <row r="2519" s="3" customFormat="1" x14ac:dyDescent="0.25"/>
    <row r="2520" s="3" customFormat="1" x14ac:dyDescent="0.25"/>
    <row r="2521" s="3" customFormat="1" x14ac:dyDescent="0.25"/>
  </sheetData>
  <autoFilter ref="A2:BL2249">
    <filterColumn colId="4">
      <filters>
        <filter val="Sri Jayasakthi Rice And Oil Mills"/>
      </filters>
    </filterColumn>
  </autoFilter>
  <mergeCells count="1">
    <mergeCell ref="Q2152:Q2158"/>
  </mergeCells>
  <conditionalFormatting sqref="N1323:N1342 P1670:P1686 N1679:N1685 N1721:N1726 P1761:P1762 P1727:P1742 N1740:N1742 N1744:N1749 P1744:P1749 P1751:P1759 N1751:N1759 P1814:P1816 M2078:N2080">
    <cfRule type="cellIs" dxfId="937" priority="1351" operator="lessThan">
      <formula>$N$1</formula>
    </cfRule>
  </conditionalFormatting>
  <conditionalFormatting sqref="P1343">
    <cfRule type="cellIs" dxfId="936" priority="1350" operator="lessThan">
      <formula>$N$1</formula>
    </cfRule>
  </conditionalFormatting>
  <conditionalFormatting sqref="N1343">
    <cfRule type="cellIs" dxfId="935" priority="1349" operator="lessThan">
      <formula>$N$1</formula>
    </cfRule>
  </conditionalFormatting>
  <conditionalFormatting sqref="N1670:N1674">
    <cfRule type="cellIs" dxfId="934" priority="965" operator="lessThan">
      <formula>$N$1</formula>
    </cfRule>
  </conditionalFormatting>
  <conditionalFormatting sqref="N1675:N1678">
    <cfRule type="cellIs" dxfId="933" priority="964" operator="lessThan">
      <formula>$N$1</formula>
    </cfRule>
  </conditionalFormatting>
  <conditionalFormatting sqref="N1686">
    <cfRule type="cellIs" dxfId="932" priority="963" operator="lessThan">
      <formula>$N$1</formula>
    </cfRule>
  </conditionalFormatting>
  <conditionalFormatting sqref="P1721:P1725">
    <cfRule type="cellIs" dxfId="931" priority="935" operator="lessThan">
      <formula>$N$1</formula>
    </cfRule>
  </conditionalFormatting>
  <conditionalFormatting sqref="P1726">
    <cfRule type="cellIs" dxfId="930" priority="934" operator="lessThan">
      <formula>$N$1</formula>
    </cfRule>
  </conditionalFormatting>
  <conditionalFormatting sqref="N1727:N1739">
    <cfRule type="cellIs" dxfId="929" priority="933" operator="lessThan">
      <formula>$N$1</formula>
    </cfRule>
  </conditionalFormatting>
  <conditionalFormatting sqref="N1761:N1762">
    <cfRule type="cellIs" dxfId="928" priority="930" operator="lessThan">
      <formula>$N$1</formula>
    </cfRule>
  </conditionalFormatting>
  <conditionalFormatting sqref="N1760">
    <cfRule type="cellIs" dxfId="927" priority="932" operator="lessThan">
      <formula>$N$1</formula>
    </cfRule>
  </conditionalFormatting>
  <conditionalFormatting sqref="P1760">
    <cfRule type="cellIs" dxfId="926" priority="931" operator="lessThan">
      <formula>$N$1</formula>
    </cfRule>
  </conditionalFormatting>
  <conditionalFormatting sqref="N1793">
    <cfRule type="cellIs" dxfId="925" priority="904" operator="lessThan">
      <formula>$N$1</formula>
    </cfRule>
  </conditionalFormatting>
  <conditionalFormatting sqref="P1793:P1795">
    <cfRule type="cellIs" dxfId="924" priority="903" operator="lessThan">
      <formula>$N$1</formula>
    </cfRule>
  </conditionalFormatting>
  <conditionalFormatting sqref="N1794:N1796">
    <cfRule type="cellIs" dxfId="923" priority="902" operator="lessThan">
      <formula>$N$1</formula>
    </cfRule>
  </conditionalFormatting>
  <conditionalFormatting sqref="N1797:N1813 P1797:P1813 P1817 N1818 P1820:P1822 N1823 N1826 P1828 P1824:P1826 N1832">
    <cfRule type="cellIs" dxfId="922" priority="901" operator="lessThan">
      <formula>$N$2</formula>
    </cfRule>
  </conditionalFormatting>
  <conditionalFormatting sqref="N1814:N1816">
    <cfRule type="cellIs" dxfId="921" priority="890" operator="lessThan">
      <formula>$N$1</formula>
    </cfRule>
  </conditionalFormatting>
  <conditionalFormatting sqref="N1817">
    <cfRule type="cellIs" dxfId="920" priority="889" operator="lessThan">
      <formula>$N$2</formula>
    </cfRule>
  </conditionalFormatting>
  <conditionalFormatting sqref="P1818">
    <cfRule type="cellIs" dxfId="919" priority="888" operator="lessThan">
      <formula>$N$2</formula>
    </cfRule>
  </conditionalFormatting>
  <conditionalFormatting sqref="N1819">
    <cfRule type="cellIs" dxfId="918" priority="887" operator="lessThan">
      <formula>$N$2</formula>
    </cfRule>
  </conditionalFormatting>
  <conditionalFormatting sqref="P1819">
    <cfRule type="cellIs" dxfId="917" priority="886" operator="lessThan">
      <formula>$N$2</formula>
    </cfRule>
  </conditionalFormatting>
  <conditionalFormatting sqref="N1820:N1822">
    <cfRule type="cellIs" dxfId="916" priority="885" operator="lessThan">
      <formula>$N$2</formula>
    </cfRule>
  </conditionalFormatting>
  <conditionalFormatting sqref="P1823">
    <cfRule type="cellIs" dxfId="915" priority="884" operator="lessThan">
      <formula>$N$2</formula>
    </cfRule>
  </conditionalFormatting>
  <conditionalFormatting sqref="N1831">
    <cfRule type="cellIs" dxfId="914" priority="883" operator="lessThan">
      <formula>$N$2</formula>
    </cfRule>
  </conditionalFormatting>
  <conditionalFormatting sqref="N1824:N1825">
    <cfRule type="cellIs" dxfId="913" priority="882" operator="lessThan">
      <formula>$N$2</formula>
    </cfRule>
  </conditionalFormatting>
  <conditionalFormatting sqref="N1827">
    <cfRule type="cellIs" dxfId="912" priority="881" operator="lessThan">
      <formula>$N$2</formula>
    </cfRule>
  </conditionalFormatting>
  <conditionalFormatting sqref="P1827">
    <cfRule type="cellIs" dxfId="911" priority="880" operator="lessThan">
      <formula>$N$2</formula>
    </cfRule>
  </conditionalFormatting>
  <conditionalFormatting sqref="N1828">
    <cfRule type="cellIs" dxfId="910" priority="879" operator="lessThan">
      <formula>$N$2</formula>
    </cfRule>
  </conditionalFormatting>
  <conditionalFormatting sqref="N1829">
    <cfRule type="cellIs" dxfId="909" priority="878" operator="lessThan">
      <formula>$N$2</formula>
    </cfRule>
  </conditionalFormatting>
  <conditionalFormatting sqref="P1829">
    <cfRule type="cellIs" dxfId="908" priority="877" operator="lessThan">
      <formula>$N$2</formula>
    </cfRule>
  </conditionalFormatting>
  <conditionalFormatting sqref="N1830">
    <cfRule type="cellIs" dxfId="907" priority="876" operator="lessThan">
      <formula>$N$2</formula>
    </cfRule>
  </conditionalFormatting>
  <conditionalFormatting sqref="P1830">
    <cfRule type="cellIs" dxfId="906" priority="875" operator="lessThan">
      <formula>$N$2</formula>
    </cfRule>
  </conditionalFormatting>
  <conditionalFormatting sqref="P1832">
    <cfRule type="cellIs" dxfId="905" priority="874" operator="lessThan">
      <formula>$N$2</formula>
    </cfRule>
  </conditionalFormatting>
  <conditionalFormatting sqref="P2025:P2032">
    <cfRule type="cellIs" dxfId="904" priority="466" operator="lessThan">
      <formula>#REF!</formula>
    </cfRule>
  </conditionalFormatting>
  <conditionalFormatting sqref="N2025:N2032">
    <cfRule type="cellIs" dxfId="903" priority="465" operator="lessThan">
      <formula>#REF!</formula>
    </cfRule>
  </conditionalFormatting>
  <conditionalFormatting sqref="N2025:N2032">
    <cfRule type="cellIs" dxfId="902" priority="464" operator="lessThan">
      <formula>$N$1</formula>
    </cfRule>
  </conditionalFormatting>
  <conditionalFormatting sqref="P2060:P2062">
    <cfRule type="cellIs" dxfId="901" priority="390" operator="lessThan">
      <formula>#REF!</formula>
    </cfRule>
  </conditionalFormatting>
  <conditionalFormatting sqref="M2060:N2062">
    <cfRule type="cellIs" dxfId="900" priority="389" operator="lessThan">
      <formula>#REF!</formula>
    </cfRule>
  </conditionalFormatting>
  <conditionalFormatting sqref="M2060:N2062">
    <cfRule type="cellIs" dxfId="899" priority="388" operator="lessThan">
      <formula>$N$1</formula>
    </cfRule>
  </conditionalFormatting>
  <conditionalFormatting sqref="P2063">
    <cfRule type="cellIs" dxfId="898" priority="386" operator="lessThan">
      <formula>#REF!</formula>
    </cfRule>
  </conditionalFormatting>
  <conditionalFormatting sqref="P1848 N1848">
    <cfRule type="cellIs" dxfId="897" priority="824" operator="lessThan">
      <formula>#REF!</formula>
    </cfRule>
  </conditionalFormatting>
  <conditionalFormatting sqref="N2073:N2074">
    <cfRule type="cellIs" dxfId="896" priority="383" operator="lessThan">
      <formula>$N$1</formula>
    </cfRule>
  </conditionalFormatting>
  <conditionalFormatting sqref="P2073:P2074">
    <cfRule type="cellIs" dxfId="895" priority="385" operator="lessThan">
      <formula>#REF!</formula>
    </cfRule>
  </conditionalFormatting>
  <conditionalFormatting sqref="N2073:N2074">
    <cfRule type="cellIs" dxfId="894" priority="384" operator="lessThan">
      <formula>#REF!</formula>
    </cfRule>
  </conditionalFormatting>
  <conditionalFormatting sqref="P2078:P2080 P2075:P2076">
    <cfRule type="cellIs" dxfId="893" priority="382" operator="lessThan">
      <formula>#REF!</formula>
    </cfRule>
  </conditionalFormatting>
  <conditionalFormatting sqref="N2075:N2076 M2078:N2080">
    <cfRule type="cellIs" dxfId="892" priority="381" operator="lessThan">
      <formula>#REF!</formula>
    </cfRule>
  </conditionalFormatting>
  <conditionalFormatting sqref="N2075:N2076">
    <cfRule type="cellIs" dxfId="891" priority="380" operator="lessThan">
      <formula>$N$1</formula>
    </cfRule>
  </conditionalFormatting>
  <conditionalFormatting sqref="P2077">
    <cfRule type="cellIs" dxfId="890" priority="379" operator="lessThan">
      <formula>#REF!</formula>
    </cfRule>
  </conditionalFormatting>
  <conditionalFormatting sqref="M2077:N2077">
    <cfRule type="cellIs" dxfId="889" priority="378" operator="lessThan">
      <formula>#REF!</formula>
    </cfRule>
  </conditionalFormatting>
  <conditionalFormatting sqref="M2077:N2077">
    <cfRule type="cellIs" dxfId="888" priority="377" operator="lessThan">
      <formula>$N$1</formula>
    </cfRule>
  </conditionalFormatting>
  <conditionalFormatting sqref="P2081">
    <cfRule type="cellIs" dxfId="887" priority="376" operator="lessThan">
      <formula>#REF!</formula>
    </cfRule>
  </conditionalFormatting>
  <conditionalFormatting sqref="M2081:N2081">
    <cfRule type="cellIs" dxfId="886" priority="375" operator="lessThan">
      <formula>#REF!</formula>
    </cfRule>
  </conditionalFormatting>
  <conditionalFormatting sqref="M2081:N2081">
    <cfRule type="cellIs" dxfId="885" priority="374" operator="lessThan">
      <formula>$N$1</formula>
    </cfRule>
  </conditionalFormatting>
  <conditionalFormatting sqref="P2082:P2083">
    <cfRule type="cellIs" dxfId="884" priority="373" operator="lessThan">
      <formula>#REF!</formula>
    </cfRule>
  </conditionalFormatting>
  <conditionalFormatting sqref="N2082:N2083">
    <cfRule type="cellIs" dxfId="883" priority="372" operator="lessThan">
      <formula>#REF!</formula>
    </cfRule>
  </conditionalFormatting>
  <conditionalFormatting sqref="N2082:N2083">
    <cfRule type="cellIs" dxfId="882" priority="371" operator="lessThan">
      <formula>$N$1</formula>
    </cfRule>
  </conditionalFormatting>
  <conditionalFormatting sqref="P2110:P2114">
    <cfRule type="cellIs" dxfId="881" priority="337" operator="lessThan">
      <formula>#REF!</formula>
    </cfRule>
  </conditionalFormatting>
  <conditionalFormatting sqref="P2115:P2119">
    <cfRule type="cellIs" dxfId="880" priority="336" operator="lessThan">
      <formula>#REF!</formula>
    </cfRule>
  </conditionalFormatting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10" operator="lessThan" id="{708E82D0-748E-4711-B665-D6FC2FC0E56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N3:N569 P1055 P1091:P1093 P1095 P1184 P1187 P1213:P1230 P1240 P1277:P1279 P1312 P1344 P1359:P1360 P1401:P1411 P1414:P1435 P1445 P1447:P1470 P1472:P1475 P1479:P1490 P1494 P1496 P1498:P1511 P1513:P1538 P1315:P1322 N577:N1322 P1540:P1622 P1624:P1669 N1344:N1669 P1687:P1698 P1700:P1720 N1687:N1720 P1763:P1784 P1786:P1792 N1763:N1792 N1743 P1743 P1750 N1750 N1833:N1846 P1833:P1847 N1849:N1853 P1849:P1853 P1860 P1862:P1873 N1862:N1873 N1885:N1886 P1885:P1886 P1888:P1939 N1888:N1939 N1855:N1860 P1855:P1858 N1876:N1882 P1876:P1882 P2058:P2059 P2064:P2065</xm:sqref>
        </x14:conditionalFormatting>
        <x14:conditionalFormatting xmlns:xm="http://schemas.microsoft.com/office/excel/2006/main">
          <x14:cfRule type="cellIs" priority="4954" operator="lessThan" id="{603ECE23-2BD2-486B-BBFF-BE94353579B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P1859 N1941:N1942</xm:sqref>
        </x14:conditionalFormatting>
        <x14:conditionalFormatting xmlns:xm="http://schemas.microsoft.com/office/excel/2006/main">
          <x14:cfRule type="cellIs" priority="632" operator="lessThan" id="{B2F8CB09-5AAE-4452-8D3A-A9F4E7C9CB4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N1940</xm:sqref>
        </x14:conditionalFormatting>
        <x14:conditionalFormatting xmlns:xm="http://schemas.microsoft.com/office/excel/2006/main">
          <x14:cfRule type="cellIs" priority="631" operator="lessThan" id="{235F2BD6-0194-46F6-A0A4-59A15420F0B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P1941</xm:sqref>
        </x14:conditionalFormatting>
        <x14:conditionalFormatting xmlns:xm="http://schemas.microsoft.com/office/excel/2006/main">
          <x14:cfRule type="cellIs" priority="630" operator="lessThan" id="{C2E2E59E-0917-48D3-AFBB-12E4608C9EE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P1942</xm:sqref>
        </x14:conditionalFormatting>
        <x14:conditionalFormatting xmlns:xm="http://schemas.microsoft.com/office/excel/2006/main">
          <x14:cfRule type="cellIs" priority="629" operator="lessThan" id="{B700B1D8-DFF8-4D20-A8BC-208459BCE1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P1940</xm:sqref>
        </x14:conditionalFormatting>
        <x14:conditionalFormatting xmlns:xm="http://schemas.microsoft.com/office/excel/2006/main">
          <x14:cfRule type="cellIs" priority="628" operator="lessThan" id="{26242DCF-2CE3-46DF-8E30-73B4694BD72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P1943:P1944 N1943:N1944</xm:sqref>
        </x14:conditionalFormatting>
        <x14:conditionalFormatting xmlns:xm="http://schemas.microsoft.com/office/excel/2006/main">
          <x14:cfRule type="cellIs" priority="627" operator="lessThan" id="{C8CE4CCF-A96A-4D4A-BB57-9D0C4DABB43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P1945 N1945</xm:sqref>
        </x14:conditionalFormatting>
        <x14:conditionalFormatting xmlns:xm="http://schemas.microsoft.com/office/excel/2006/main">
          <x14:cfRule type="cellIs" priority="626" operator="lessThan" id="{C69329C9-8633-4B6A-A575-3A8B4D56BDC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P1946:P1950 N1946:N1950</xm:sqref>
        </x14:conditionalFormatting>
        <x14:conditionalFormatting xmlns:xm="http://schemas.microsoft.com/office/excel/2006/main">
          <x14:cfRule type="cellIs" priority="625" operator="lessThan" id="{A9FB6C41-73D7-429D-B24B-A4CFEA51961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P1952</xm:sqref>
        </x14:conditionalFormatting>
        <x14:conditionalFormatting xmlns:xm="http://schemas.microsoft.com/office/excel/2006/main">
          <x14:cfRule type="cellIs" priority="624" operator="lessThan" id="{96106C54-A964-416A-8E84-B303AA9380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N1952</xm:sqref>
        </x14:conditionalFormatting>
        <x14:conditionalFormatting xmlns:xm="http://schemas.microsoft.com/office/excel/2006/main">
          <x14:cfRule type="cellIs" priority="623" operator="lessThan" id="{D29E7896-1EE2-43A7-BBBB-CAF453C8164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P1951</xm:sqref>
        </x14:conditionalFormatting>
        <x14:conditionalFormatting xmlns:xm="http://schemas.microsoft.com/office/excel/2006/main">
          <x14:cfRule type="cellIs" priority="622" operator="lessThan" id="{D4E97177-2F72-4F06-8FCC-963291A16CC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N1951</xm:sqref>
        </x14:conditionalFormatting>
        <x14:conditionalFormatting xmlns:xm="http://schemas.microsoft.com/office/excel/2006/main">
          <x14:cfRule type="cellIs" priority="621" operator="lessThan" id="{B813BC6F-585D-4F45-B64E-80583A607C9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P1953</xm:sqref>
        </x14:conditionalFormatting>
        <x14:conditionalFormatting xmlns:xm="http://schemas.microsoft.com/office/excel/2006/main">
          <x14:cfRule type="cellIs" priority="620" operator="lessThan" id="{02C2DCC4-4B56-430D-B535-F6DF40DB9C3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N1953</xm:sqref>
        </x14:conditionalFormatting>
        <x14:conditionalFormatting xmlns:xm="http://schemas.microsoft.com/office/excel/2006/main">
          <x14:cfRule type="cellIs" priority="619" operator="lessThan" id="{886259E5-456B-468D-B69C-CA2D0E8C358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P1954</xm:sqref>
        </x14:conditionalFormatting>
        <x14:conditionalFormatting xmlns:xm="http://schemas.microsoft.com/office/excel/2006/main">
          <x14:cfRule type="cellIs" priority="618" operator="lessThan" id="{1964001A-049B-4579-8213-4B0C1096DCA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N1954</xm:sqref>
        </x14:conditionalFormatting>
        <x14:conditionalFormatting xmlns:xm="http://schemas.microsoft.com/office/excel/2006/main">
          <x14:cfRule type="cellIs" priority="617" operator="lessThan" id="{E6E29BEB-7E90-4766-BEBC-3013E1CA85A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P1956</xm:sqref>
        </x14:conditionalFormatting>
        <x14:conditionalFormatting xmlns:xm="http://schemas.microsoft.com/office/excel/2006/main">
          <x14:cfRule type="cellIs" priority="616" operator="lessThan" id="{584B930B-754B-4893-9DF5-84ED1D59D46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N1956</xm:sqref>
        </x14:conditionalFormatting>
        <x14:conditionalFormatting xmlns:xm="http://schemas.microsoft.com/office/excel/2006/main">
          <x14:cfRule type="cellIs" priority="615" operator="lessThan" id="{150FA844-93C3-43AC-B88D-6B85B35E371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P1957</xm:sqref>
        </x14:conditionalFormatting>
        <x14:conditionalFormatting xmlns:xm="http://schemas.microsoft.com/office/excel/2006/main">
          <x14:cfRule type="cellIs" priority="614" operator="lessThan" id="{C84B4294-02D5-4BBD-89CB-6164FBB105C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N1957</xm:sqref>
        </x14:conditionalFormatting>
        <x14:conditionalFormatting xmlns:xm="http://schemas.microsoft.com/office/excel/2006/main">
          <x14:cfRule type="cellIs" priority="613" operator="lessThan" id="{653014F8-9BFF-4160-BA6E-9DD37EEF07B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P1955</xm:sqref>
        </x14:conditionalFormatting>
        <x14:conditionalFormatting xmlns:xm="http://schemas.microsoft.com/office/excel/2006/main">
          <x14:cfRule type="cellIs" priority="612" operator="lessThan" id="{E0513AA3-E5C7-42C6-A684-62F969304A7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N1955</xm:sqref>
        </x14:conditionalFormatting>
        <x14:conditionalFormatting xmlns:xm="http://schemas.microsoft.com/office/excel/2006/main">
          <x14:cfRule type="cellIs" priority="611" operator="lessThan" id="{D5E79E9E-B203-401C-AFB7-65930CBF8E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P1958</xm:sqref>
        </x14:conditionalFormatting>
        <x14:conditionalFormatting xmlns:xm="http://schemas.microsoft.com/office/excel/2006/main">
          <x14:cfRule type="cellIs" priority="610" operator="lessThan" id="{6E0B8BDC-54B3-47E5-A097-49F20BA0EC2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N1958</xm:sqref>
        </x14:conditionalFormatting>
        <x14:conditionalFormatting xmlns:xm="http://schemas.microsoft.com/office/excel/2006/main">
          <x14:cfRule type="cellIs" priority="609" operator="lessThan" id="{39254C25-154B-4ECE-9443-EDB6B3E53AA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P1959</xm:sqref>
        </x14:conditionalFormatting>
        <x14:conditionalFormatting xmlns:xm="http://schemas.microsoft.com/office/excel/2006/main">
          <x14:cfRule type="cellIs" priority="608" operator="lessThan" id="{9689837B-7AD7-4867-A7FA-F972F21D92C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N1959</xm:sqref>
        </x14:conditionalFormatting>
        <x14:conditionalFormatting xmlns:xm="http://schemas.microsoft.com/office/excel/2006/main">
          <x14:cfRule type="cellIs" priority="607" operator="lessThan" id="{4912F370-CBF8-4237-B1F5-51989587A3C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P1960</xm:sqref>
        </x14:conditionalFormatting>
        <x14:conditionalFormatting xmlns:xm="http://schemas.microsoft.com/office/excel/2006/main">
          <x14:cfRule type="cellIs" priority="606" operator="lessThan" id="{6BFA6BF0-49DC-4389-887E-C41038F547B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N1960</xm:sqref>
        </x14:conditionalFormatting>
        <x14:conditionalFormatting xmlns:xm="http://schemas.microsoft.com/office/excel/2006/main">
          <x14:cfRule type="cellIs" priority="605" operator="lessThan" id="{7F76AAA3-A7C7-4193-AC9B-A5C0FDCE2A8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P1961</xm:sqref>
        </x14:conditionalFormatting>
        <x14:conditionalFormatting xmlns:xm="http://schemas.microsoft.com/office/excel/2006/main">
          <x14:cfRule type="cellIs" priority="604" operator="lessThan" id="{F23FE772-D419-46D2-9990-FC872B6CF4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N1961</xm:sqref>
        </x14:conditionalFormatting>
        <x14:conditionalFormatting xmlns:xm="http://schemas.microsoft.com/office/excel/2006/main">
          <x14:cfRule type="cellIs" priority="603" operator="lessThan" id="{3619BF19-67DC-4832-97B2-CF47009500B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P1962</xm:sqref>
        </x14:conditionalFormatting>
        <x14:conditionalFormatting xmlns:xm="http://schemas.microsoft.com/office/excel/2006/main">
          <x14:cfRule type="cellIs" priority="602" operator="lessThan" id="{5C42B7B6-CA69-4900-9E5B-803C100C2EB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N1962</xm:sqref>
        </x14:conditionalFormatting>
        <x14:conditionalFormatting xmlns:xm="http://schemas.microsoft.com/office/excel/2006/main">
          <x14:cfRule type="cellIs" priority="601" operator="lessThan" id="{2437411E-3488-4050-A78E-06721273042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P1963</xm:sqref>
        </x14:conditionalFormatting>
        <x14:conditionalFormatting xmlns:xm="http://schemas.microsoft.com/office/excel/2006/main">
          <x14:cfRule type="cellIs" priority="600" operator="lessThan" id="{F26FA7B3-4180-43EA-8829-9BD4AB523D8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N1963</xm:sqref>
        </x14:conditionalFormatting>
        <x14:conditionalFormatting xmlns:xm="http://schemas.microsoft.com/office/excel/2006/main">
          <x14:cfRule type="cellIs" priority="599" operator="lessThan" id="{E241F052-27A1-42B9-8736-0CF2793571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P1964</xm:sqref>
        </x14:conditionalFormatting>
        <x14:conditionalFormatting xmlns:xm="http://schemas.microsoft.com/office/excel/2006/main">
          <x14:cfRule type="cellIs" priority="598" operator="lessThan" id="{11C2AA09-AA91-4894-B566-275A25D2287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N1964</xm:sqref>
        </x14:conditionalFormatting>
        <x14:conditionalFormatting xmlns:xm="http://schemas.microsoft.com/office/excel/2006/main">
          <x14:cfRule type="cellIs" priority="597" operator="lessThan" id="{EED1D098-501D-463A-9E72-BCABE886A20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P1965</xm:sqref>
        </x14:conditionalFormatting>
        <x14:conditionalFormatting xmlns:xm="http://schemas.microsoft.com/office/excel/2006/main">
          <x14:cfRule type="cellIs" priority="596" operator="lessThan" id="{5E4F2BAC-0053-4F06-937A-C89B136023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N1965</xm:sqref>
        </x14:conditionalFormatting>
        <x14:conditionalFormatting xmlns:xm="http://schemas.microsoft.com/office/excel/2006/main">
          <x14:cfRule type="cellIs" priority="595" operator="lessThan" id="{B4BE5B24-E407-4EC9-8C42-C6EF60FDB88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P1966</xm:sqref>
        </x14:conditionalFormatting>
        <x14:conditionalFormatting xmlns:xm="http://schemas.microsoft.com/office/excel/2006/main">
          <x14:cfRule type="cellIs" priority="594" operator="lessThan" id="{20BEAA40-C7F1-4412-B707-509835A66A6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N1966</xm:sqref>
        </x14:conditionalFormatting>
        <x14:conditionalFormatting xmlns:xm="http://schemas.microsoft.com/office/excel/2006/main">
          <x14:cfRule type="cellIs" priority="593" operator="lessThan" id="{BE2EEFBD-0DF1-4F96-83AE-7FDE5379EB2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P1967</xm:sqref>
        </x14:conditionalFormatting>
        <x14:conditionalFormatting xmlns:xm="http://schemas.microsoft.com/office/excel/2006/main">
          <x14:cfRule type="cellIs" priority="592" operator="lessThan" id="{B0DA5B97-3A69-4373-B763-EA245D74CF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N1967</xm:sqref>
        </x14:conditionalFormatting>
        <x14:conditionalFormatting xmlns:xm="http://schemas.microsoft.com/office/excel/2006/main">
          <x14:cfRule type="cellIs" priority="591" operator="lessThan" id="{8FA7A4AD-477E-4DE9-A5D2-4615194BB88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P1968</xm:sqref>
        </x14:conditionalFormatting>
        <x14:conditionalFormatting xmlns:xm="http://schemas.microsoft.com/office/excel/2006/main">
          <x14:cfRule type="cellIs" priority="590" operator="lessThan" id="{8CE6F6C1-B5D3-4125-9570-CF5E46C08F7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N1968</xm:sqref>
        </x14:conditionalFormatting>
        <x14:conditionalFormatting xmlns:xm="http://schemas.microsoft.com/office/excel/2006/main">
          <x14:cfRule type="cellIs" priority="589" operator="lessThan" id="{66869227-E0E5-4A98-B082-C68CF3BEE3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P1969</xm:sqref>
        </x14:conditionalFormatting>
        <x14:conditionalFormatting xmlns:xm="http://schemas.microsoft.com/office/excel/2006/main">
          <x14:cfRule type="cellIs" priority="588" operator="lessThan" id="{A48A12B9-E1A8-47E0-8558-F116361D931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N1969</xm:sqref>
        </x14:conditionalFormatting>
        <x14:conditionalFormatting xmlns:xm="http://schemas.microsoft.com/office/excel/2006/main">
          <x14:cfRule type="cellIs" priority="587" operator="lessThan" id="{CF381B5F-A06F-4727-B5C6-2F4B10A3DAD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N1969</xm:sqref>
        </x14:conditionalFormatting>
        <x14:conditionalFormatting xmlns:xm="http://schemas.microsoft.com/office/excel/2006/main">
          <x14:cfRule type="cellIs" priority="586" operator="lessThan" id="{17E684B3-A91B-4BBE-9752-9458253E9B7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P1970</xm:sqref>
        </x14:conditionalFormatting>
        <x14:conditionalFormatting xmlns:xm="http://schemas.microsoft.com/office/excel/2006/main">
          <x14:cfRule type="cellIs" priority="585" operator="lessThan" id="{BD597693-42F2-4046-B2DE-91C7A7B8B92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N1970</xm:sqref>
        </x14:conditionalFormatting>
        <x14:conditionalFormatting xmlns:xm="http://schemas.microsoft.com/office/excel/2006/main">
          <x14:cfRule type="cellIs" priority="584" operator="lessThan" id="{1DCA9F4A-8286-4ECF-97E1-99501AAE599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N1970</xm:sqref>
        </x14:conditionalFormatting>
        <x14:conditionalFormatting xmlns:xm="http://schemas.microsoft.com/office/excel/2006/main">
          <x14:cfRule type="cellIs" priority="583" operator="lessThan" id="{99B89B41-2767-4BE4-B10B-14382E5B1A0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P1971 N1971</xm:sqref>
        </x14:conditionalFormatting>
        <x14:conditionalFormatting xmlns:xm="http://schemas.microsoft.com/office/excel/2006/main">
          <x14:cfRule type="cellIs" priority="582" operator="lessThan" id="{E48D8BD8-E5AC-4BFF-97F9-6533F9819C7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N1972 P1972</xm:sqref>
        </x14:conditionalFormatting>
        <x14:conditionalFormatting xmlns:xm="http://schemas.microsoft.com/office/excel/2006/main">
          <x14:cfRule type="cellIs" priority="581" operator="lessThan" id="{D8E5BAE1-7A63-4E10-B28A-BDDFBD0020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P1973</xm:sqref>
        </x14:conditionalFormatting>
        <x14:conditionalFormatting xmlns:xm="http://schemas.microsoft.com/office/excel/2006/main">
          <x14:cfRule type="cellIs" priority="580" operator="lessThan" id="{F4917ED0-F317-4002-B026-F701D136AE3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N1973</xm:sqref>
        </x14:conditionalFormatting>
        <x14:conditionalFormatting xmlns:xm="http://schemas.microsoft.com/office/excel/2006/main">
          <x14:cfRule type="cellIs" priority="579" operator="lessThan" id="{FED17DF4-07DC-41D9-A278-4F92A7F4E48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P1974</xm:sqref>
        </x14:conditionalFormatting>
        <x14:conditionalFormatting xmlns:xm="http://schemas.microsoft.com/office/excel/2006/main">
          <x14:cfRule type="cellIs" priority="578" operator="lessThan" id="{464CDB86-39EA-4798-AF8C-AA3BEEA9D5C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N1974</xm:sqref>
        </x14:conditionalFormatting>
        <x14:conditionalFormatting xmlns:xm="http://schemas.microsoft.com/office/excel/2006/main">
          <x14:cfRule type="cellIs" priority="577" operator="lessThan" id="{B41100C9-ACF7-470C-9825-5D87C6CF35C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P1975</xm:sqref>
        </x14:conditionalFormatting>
        <x14:conditionalFormatting xmlns:xm="http://schemas.microsoft.com/office/excel/2006/main">
          <x14:cfRule type="cellIs" priority="576" operator="lessThan" id="{6D9F7DF2-DADB-4D00-ACC1-F85BACE67C8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N1975</xm:sqref>
        </x14:conditionalFormatting>
        <x14:conditionalFormatting xmlns:xm="http://schemas.microsoft.com/office/excel/2006/main">
          <x14:cfRule type="cellIs" priority="575" operator="lessThan" id="{76B6954A-BF56-4C3E-AFC7-92968B18098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P1976</xm:sqref>
        </x14:conditionalFormatting>
        <x14:conditionalFormatting xmlns:xm="http://schemas.microsoft.com/office/excel/2006/main">
          <x14:cfRule type="cellIs" priority="574" operator="lessThan" id="{EBBD853A-5DB7-4886-9DAF-6C4BED37C55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N1976</xm:sqref>
        </x14:conditionalFormatting>
        <x14:conditionalFormatting xmlns:xm="http://schemas.microsoft.com/office/excel/2006/main">
          <x14:cfRule type="cellIs" priority="573" operator="lessThan" id="{47DFB750-9F44-4CD7-AF7C-904B668F8C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P1977</xm:sqref>
        </x14:conditionalFormatting>
        <x14:conditionalFormatting xmlns:xm="http://schemas.microsoft.com/office/excel/2006/main">
          <x14:cfRule type="cellIs" priority="572" operator="lessThan" id="{D85DBDE4-8085-4A20-B059-F5F7F2BFC07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N1977</xm:sqref>
        </x14:conditionalFormatting>
        <x14:conditionalFormatting xmlns:xm="http://schemas.microsoft.com/office/excel/2006/main">
          <x14:cfRule type="cellIs" priority="571" operator="lessThan" id="{9576695C-051A-4A8E-AE2E-AEA236BF44D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N1977</xm:sqref>
        </x14:conditionalFormatting>
        <x14:conditionalFormatting xmlns:xm="http://schemas.microsoft.com/office/excel/2006/main">
          <x14:cfRule type="cellIs" priority="570" operator="lessThan" id="{35BF6BA3-2B95-4FDA-9684-79982177DD8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P1978</xm:sqref>
        </x14:conditionalFormatting>
        <x14:conditionalFormatting xmlns:xm="http://schemas.microsoft.com/office/excel/2006/main">
          <x14:cfRule type="cellIs" priority="569" operator="lessThan" id="{E39BD601-0E51-4235-B766-3FA1E84F2ED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N1978</xm:sqref>
        </x14:conditionalFormatting>
        <x14:conditionalFormatting xmlns:xm="http://schemas.microsoft.com/office/excel/2006/main">
          <x14:cfRule type="cellIs" priority="568" operator="lessThan" id="{8BE9C0B4-2F38-4874-95FD-9DEEDC2F08D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N1978</xm:sqref>
        </x14:conditionalFormatting>
        <x14:conditionalFormatting xmlns:xm="http://schemas.microsoft.com/office/excel/2006/main">
          <x14:cfRule type="cellIs" priority="567" operator="lessThan" id="{5461103B-A2AF-4CD5-BF01-CC4F788DBEE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P1979</xm:sqref>
        </x14:conditionalFormatting>
        <x14:conditionalFormatting xmlns:xm="http://schemas.microsoft.com/office/excel/2006/main">
          <x14:cfRule type="cellIs" priority="566" operator="lessThan" id="{3BFC7A24-6F9B-4D69-882E-5E0DA65C32C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N1979</xm:sqref>
        </x14:conditionalFormatting>
        <x14:conditionalFormatting xmlns:xm="http://schemas.microsoft.com/office/excel/2006/main">
          <x14:cfRule type="cellIs" priority="565" operator="lessThan" id="{F1BDA2DA-9900-4997-9069-D4A5ECAA5E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P1980</xm:sqref>
        </x14:conditionalFormatting>
        <x14:conditionalFormatting xmlns:xm="http://schemas.microsoft.com/office/excel/2006/main">
          <x14:cfRule type="cellIs" priority="564" operator="lessThan" id="{76D06956-2C06-4C05-83EC-1F78A2C992B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N1980</xm:sqref>
        </x14:conditionalFormatting>
        <x14:conditionalFormatting xmlns:xm="http://schemas.microsoft.com/office/excel/2006/main">
          <x14:cfRule type="cellIs" priority="563" operator="lessThan" id="{695300D9-BC86-4E34-B54D-43B37129677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P1981</xm:sqref>
        </x14:conditionalFormatting>
        <x14:conditionalFormatting xmlns:xm="http://schemas.microsoft.com/office/excel/2006/main">
          <x14:cfRule type="cellIs" priority="562" operator="lessThan" id="{935C48CE-2387-4D33-AE88-6430A629926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N1981</xm:sqref>
        </x14:conditionalFormatting>
        <x14:conditionalFormatting xmlns:xm="http://schemas.microsoft.com/office/excel/2006/main">
          <x14:cfRule type="cellIs" priority="561" operator="lessThan" id="{0CF45CAC-E704-4E20-8D4C-A9ECF21DD5D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P1982:P1983</xm:sqref>
        </x14:conditionalFormatting>
        <x14:conditionalFormatting xmlns:xm="http://schemas.microsoft.com/office/excel/2006/main">
          <x14:cfRule type="cellIs" priority="560" operator="lessThan" id="{96C3973D-7671-4048-8AC1-62629D8B44C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N1982:N1983</xm:sqref>
        </x14:conditionalFormatting>
        <x14:conditionalFormatting xmlns:xm="http://schemas.microsoft.com/office/excel/2006/main">
          <x14:cfRule type="cellIs" priority="559" operator="lessThan" id="{2512CEF6-E7DE-4B1A-9282-8358EE397C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P1984</xm:sqref>
        </x14:conditionalFormatting>
        <x14:conditionalFormatting xmlns:xm="http://schemas.microsoft.com/office/excel/2006/main">
          <x14:cfRule type="cellIs" priority="558" operator="lessThan" id="{B38D9DD2-D28A-4BAB-8D12-95499023B65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N1984</xm:sqref>
        </x14:conditionalFormatting>
        <x14:conditionalFormatting xmlns:xm="http://schemas.microsoft.com/office/excel/2006/main">
          <x14:cfRule type="cellIs" priority="557" operator="lessThan" id="{DF3B0AB5-6EEE-4D4A-BBDA-FC90E90307D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P1985:P1987</xm:sqref>
        </x14:conditionalFormatting>
        <x14:conditionalFormatting xmlns:xm="http://schemas.microsoft.com/office/excel/2006/main">
          <x14:cfRule type="cellIs" priority="556" operator="lessThan" id="{090837FB-49F4-4A32-A99F-0C936E9755D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N1985:N1987</xm:sqref>
        </x14:conditionalFormatting>
        <x14:conditionalFormatting xmlns:xm="http://schemas.microsoft.com/office/excel/2006/main">
          <x14:cfRule type="cellIs" priority="555" operator="lessThan" id="{56744D35-6055-4739-9152-94E07D59F3B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P1988</xm:sqref>
        </x14:conditionalFormatting>
        <x14:conditionalFormatting xmlns:xm="http://schemas.microsoft.com/office/excel/2006/main">
          <x14:cfRule type="cellIs" priority="554" operator="lessThan" id="{4B20B538-61A1-4F60-A163-C420B8E2477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N1988</xm:sqref>
        </x14:conditionalFormatting>
        <x14:conditionalFormatting xmlns:xm="http://schemas.microsoft.com/office/excel/2006/main">
          <x14:cfRule type="cellIs" priority="553" operator="lessThan" id="{242A3864-17FD-46BE-ABD6-877895B5BCB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P1989</xm:sqref>
        </x14:conditionalFormatting>
        <x14:conditionalFormatting xmlns:xm="http://schemas.microsoft.com/office/excel/2006/main">
          <x14:cfRule type="cellIs" priority="552" operator="lessThan" id="{5A04C19B-49A6-4C0C-8709-0C77A1682EB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N1989</xm:sqref>
        </x14:conditionalFormatting>
        <x14:conditionalFormatting xmlns:xm="http://schemas.microsoft.com/office/excel/2006/main">
          <x14:cfRule type="cellIs" priority="551" operator="lessThan" id="{263BD7AF-93E1-4961-BBFC-4B55AB43413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P1991</xm:sqref>
        </x14:conditionalFormatting>
        <x14:conditionalFormatting xmlns:xm="http://schemas.microsoft.com/office/excel/2006/main">
          <x14:cfRule type="cellIs" priority="550" operator="lessThan" id="{33784CF5-8D68-46EF-90B1-394E87469AE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N1991</xm:sqref>
        </x14:conditionalFormatting>
        <x14:conditionalFormatting xmlns:xm="http://schemas.microsoft.com/office/excel/2006/main">
          <x14:cfRule type="cellIs" priority="549" operator="lessThan" id="{5B7642C8-79CF-4E35-A77F-AD7ECB55BEC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N1991</xm:sqref>
        </x14:conditionalFormatting>
        <x14:conditionalFormatting xmlns:xm="http://schemas.microsoft.com/office/excel/2006/main">
          <x14:cfRule type="cellIs" priority="548" operator="lessThan" id="{F29F9437-5C4A-4A2B-A14D-4F7C88EFB74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P1993</xm:sqref>
        </x14:conditionalFormatting>
        <x14:conditionalFormatting xmlns:xm="http://schemas.microsoft.com/office/excel/2006/main">
          <x14:cfRule type="cellIs" priority="547" operator="lessThan" id="{528C4F69-E737-400A-928B-B7561630BA2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N1993</xm:sqref>
        </x14:conditionalFormatting>
        <x14:conditionalFormatting xmlns:xm="http://schemas.microsoft.com/office/excel/2006/main">
          <x14:cfRule type="cellIs" priority="546" operator="lessThan" id="{0E0D08C1-7EDE-44FC-9EBC-D3F9BDEF28F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N1993</xm:sqref>
        </x14:conditionalFormatting>
        <x14:conditionalFormatting xmlns:xm="http://schemas.microsoft.com/office/excel/2006/main">
          <x14:cfRule type="cellIs" priority="545" operator="lessThan" id="{918D4345-9ABC-4A22-B81E-A6736FE37E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P1990</xm:sqref>
        </x14:conditionalFormatting>
        <x14:conditionalFormatting xmlns:xm="http://schemas.microsoft.com/office/excel/2006/main">
          <x14:cfRule type="cellIs" priority="544" operator="lessThan" id="{F6B9100A-4273-4ACC-87F3-F78F85B3833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N1990</xm:sqref>
        </x14:conditionalFormatting>
        <x14:conditionalFormatting xmlns:xm="http://schemas.microsoft.com/office/excel/2006/main">
          <x14:cfRule type="cellIs" priority="543" operator="lessThan" id="{5A273DEA-18D2-45FA-98D0-96404460A32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N1990</xm:sqref>
        </x14:conditionalFormatting>
        <x14:conditionalFormatting xmlns:xm="http://schemas.microsoft.com/office/excel/2006/main">
          <x14:cfRule type="cellIs" priority="542" operator="lessThan" id="{B4BC85B1-5A7B-4CFE-99F1-65C7263B129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P1992</xm:sqref>
        </x14:conditionalFormatting>
        <x14:conditionalFormatting xmlns:xm="http://schemas.microsoft.com/office/excel/2006/main">
          <x14:cfRule type="cellIs" priority="541" operator="lessThan" id="{968D7653-CCB3-436B-ACCB-B2FA3DCB081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N1992</xm:sqref>
        </x14:conditionalFormatting>
        <x14:conditionalFormatting xmlns:xm="http://schemas.microsoft.com/office/excel/2006/main">
          <x14:cfRule type="cellIs" priority="540" operator="lessThan" id="{04AAB1A7-D01C-481C-A1D5-7FEF509DBA6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N1992</xm:sqref>
        </x14:conditionalFormatting>
        <x14:conditionalFormatting xmlns:xm="http://schemas.microsoft.com/office/excel/2006/main">
          <x14:cfRule type="cellIs" priority="539" operator="lessThan" id="{8F6D6C3E-0745-4133-ABD7-7F5EFA55915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P1994</xm:sqref>
        </x14:conditionalFormatting>
        <x14:conditionalFormatting xmlns:xm="http://schemas.microsoft.com/office/excel/2006/main">
          <x14:cfRule type="cellIs" priority="538" operator="lessThan" id="{CA247F60-71E8-4634-A095-E2EDBFDB94A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N1994</xm:sqref>
        </x14:conditionalFormatting>
        <x14:conditionalFormatting xmlns:xm="http://schemas.microsoft.com/office/excel/2006/main">
          <x14:cfRule type="cellIs" priority="537" operator="lessThan" id="{6D54780F-4817-46B1-A8AB-2A19044CE58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P1995:P1996</xm:sqref>
        </x14:conditionalFormatting>
        <x14:conditionalFormatting xmlns:xm="http://schemas.microsoft.com/office/excel/2006/main">
          <x14:cfRule type="cellIs" priority="536" operator="lessThan" id="{5768A458-2150-4B99-9928-ACE819C8CD5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N1995:N1996</xm:sqref>
        </x14:conditionalFormatting>
        <x14:conditionalFormatting xmlns:xm="http://schemas.microsoft.com/office/excel/2006/main">
          <x14:cfRule type="cellIs" priority="535" operator="lessThan" id="{54B798EC-107F-4DC9-B7CC-4059BEE64A5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P1997:P1998</xm:sqref>
        </x14:conditionalFormatting>
        <x14:conditionalFormatting xmlns:xm="http://schemas.microsoft.com/office/excel/2006/main">
          <x14:cfRule type="cellIs" priority="534" operator="lessThan" id="{013A647D-F59B-47D7-979F-180E45CB6CD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N1997:N1998</xm:sqref>
        </x14:conditionalFormatting>
        <x14:conditionalFormatting xmlns:xm="http://schemas.microsoft.com/office/excel/2006/main">
          <x14:cfRule type="cellIs" priority="533" operator="lessThan" id="{D9B0C9E3-58AC-443A-B3A1-30B2A4FB81C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P1999:P2000</xm:sqref>
        </x14:conditionalFormatting>
        <x14:conditionalFormatting xmlns:xm="http://schemas.microsoft.com/office/excel/2006/main">
          <x14:cfRule type="cellIs" priority="532" operator="lessThan" id="{2158B87D-57EC-479C-9AE7-1FCBB4476C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N1999:N2000</xm:sqref>
        </x14:conditionalFormatting>
        <x14:conditionalFormatting xmlns:xm="http://schemas.microsoft.com/office/excel/2006/main">
          <x14:cfRule type="cellIs" priority="531" operator="lessThan" id="{35C4C0E3-42B3-413B-BC75-EB03C161531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N1999:N2000</xm:sqref>
        </x14:conditionalFormatting>
        <x14:conditionalFormatting xmlns:xm="http://schemas.microsoft.com/office/excel/2006/main">
          <x14:cfRule type="cellIs" priority="530" operator="lessThan" id="{0E31B446-E6D1-4B49-941C-BFCAEF5F5A1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P2001</xm:sqref>
        </x14:conditionalFormatting>
        <x14:conditionalFormatting xmlns:xm="http://schemas.microsoft.com/office/excel/2006/main">
          <x14:cfRule type="cellIs" priority="529" operator="lessThan" id="{6BFF5387-B2FB-4390-946A-270723755F9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N2001</xm:sqref>
        </x14:conditionalFormatting>
        <x14:conditionalFormatting xmlns:xm="http://schemas.microsoft.com/office/excel/2006/main">
          <x14:cfRule type="cellIs" priority="528" operator="lessThan" id="{13E7C429-457D-4C93-92AB-7842A918461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P2002</xm:sqref>
        </x14:conditionalFormatting>
        <x14:conditionalFormatting xmlns:xm="http://schemas.microsoft.com/office/excel/2006/main">
          <x14:cfRule type="cellIs" priority="527" operator="lessThan" id="{4058A8C7-609B-4BCD-B83D-684705EDDA8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N2002</xm:sqref>
        </x14:conditionalFormatting>
        <x14:conditionalFormatting xmlns:xm="http://schemas.microsoft.com/office/excel/2006/main">
          <x14:cfRule type="cellIs" priority="526" operator="lessThan" id="{D97E1884-C3B4-49D5-B773-50B85681212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N2002</xm:sqref>
        </x14:conditionalFormatting>
        <x14:conditionalFormatting xmlns:xm="http://schemas.microsoft.com/office/excel/2006/main">
          <x14:cfRule type="cellIs" priority="525" operator="lessThan" id="{08A92E45-05EF-40C7-8DCB-98CC8A372B5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P2003</xm:sqref>
        </x14:conditionalFormatting>
        <x14:conditionalFormatting xmlns:xm="http://schemas.microsoft.com/office/excel/2006/main">
          <x14:cfRule type="cellIs" priority="524" operator="lessThan" id="{6CC8BB80-3BF3-42ED-8802-E7A72BBB03C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N2003</xm:sqref>
        </x14:conditionalFormatting>
        <x14:conditionalFormatting xmlns:xm="http://schemas.microsoft.com/office/excel/2006/main">
          <x14:cfRule type="cellIs" priority="523" operator="lessThan" id="{D52ECDFD-893A-4123-A0F0-D543AE2F2D0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N2003</xm:sqref>
        </x14:conditionalFormatting>
        <x14:conditionalFormatting xmlns:xm="http://schemas.microsoft.com/office/excel/2006/main">
          <x14:cfRule type="cellIs" priority="522" operator="lessThan" id="{CCF831DE-2D98-47D4-A67C-69121B0FEE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N2004</xm:sqref>
        </x14:conditionalFormatting>
        <x14:conditionalFormatting xmlns:xm="http://schemas.microsoft.com/office/excel/2006/main">
          <x14:cfRule type="cellIs" priority="521" operator="lessThan" id="{DC7DE4BF-24B8-4C54-AEE6-07E0CB3E31B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N2004</xm:sqref>
        </x14:conditionalFormatting>
        <x14:conditionalFormatting xmlns:xm="http://schemas.microsoft.com/office/excel/2006/main">
          <x14:cfRule type="cellIs" priority="520" operator="lessThan" id="{8475315A-134B-4EB0-B450-DE7634020AD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P2004</xm:sqref>
        </x14:conditionalFormatting>
        <x14:conditionalFormatting xmlns:xm="http://schemas.microsoft.com/office/excel/2006/main">
          <x14:cfRule type="cellIs" priority="519" operator="lessThan" id="{EC4C2FC2-C1DA-4593-ABFC-FBF9583022A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N2005</xm:sqref>
        </x14:conditionalFormatting>
        <x14:conditionalFormatting xmlns:xm="http://schemas.microsoft.com/office/excel/2006/main">
          <x14:cfRule type="cellIs" priority="518" operator="lessThan" id="{7D251118-D2D6-486F-A53D-438724FCF5B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N2005</xm:sqref>
        </x14:conditionalFormatting>
        <x14:conditionalFormatting xmlns:xm="http://schemas.microsoft.com/office/excel/2006/main">
          <x14:cfRule type="cellIs" priority="517" operator="lessThan" id="{7246CE87-14EC-4AD1-B3CD-CD352A73D6B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P2005</xm:sqref>
        </x14:conditionalFormatting>
        <x14:conditionalFormatting xmlns:xm="http://schemas.microsoft.com/office/excel/2006/main">
          <x14:cfRule type="cellIs" priority="516" operator="lessThan" id="{02CD6B32-9F44-405A-99D7-D91ABEF0604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N2006</xm:sqref>
        </x14:conditionalFormatting>
        <x14:conditionalFormatting xmlns:xm="http://schemas.microsoft.com/office/excel/2006/main">
          <x14:cfRule type="cellIs" priority="515" operator="lessThan" id="{264E7EE6-8B2A-4F42-84EB-6E7B47E94F0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N2006</xm:sqref>
        </x14:conditionalFormatting>
        <x14:conditionalFormatting xmlns:xm="http://schemas.microsoft.com/office/excel/2006/main">
          <x14:cfRule type="cellIs" priority="514" operator="lessThan" id="{4F78480E-FA4F-4D46-B2FE-9E00619A95A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P2006</xm:sqref>
        </x14:conditionalFormatting>
        <x14:conditionalFormatting xmlns:xm="http://schemas.microsoft.com/office/excel/2006/main">
          <x14:cfRule type="cellIs" priority="513" operator="lessThan" id="{807D8EE5-7CA0-44E0-86F9-15FC2BD7C93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P2007</xm:sqref>
        </x14:conditionalFormatting>
        <x14:conditionalFormatting xmlns:xm="http://schemas.microsoft.com/office/excel/2006/main">
          <x14:cfRule type="cellIs" priority="512" operator="lessThan" id="{D26D925C-C0B5-4D8C-A62E-C7565573096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N2007</xm:sqref>
        </x14:conditionalFormatting>
        <x14:conditionalFormatting xmlns:xm="http://schemas.microsoft.com/office/excel/2006/main">
          <x14:cfRule type="cellIs" priority="511" operator="lessThan" id="{7DEA0B76-E36D-4637-9440-DA625668E40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P2008</xm:sqref>
        </x14:conditionalFormatting>
        <x14:conditionalFormatting xmlns:xm="http://schemas.microsoft.com/office/excel/2006/main">
          <x14:cfRule type="cellIs" priority="510" operator="lessThan" id="{C8C882A9-FA1F-47FC-BBF1-DFEA024E38E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N2008</xm:sqref>
        </x14:conditionalFormatting>
        <x14:conditionalFormatting xmlns:xm="http://schemas.microsoft.com/office/excel/2006/main">
          <x14:cfRule type="cellIs" priority="509" operator="lessThan" id="{1BC93AF0-4C02-44F2-A7AD-7F635FEC937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N2008</xm:sqref>
        </x14:conditionalFormatting>
        <x14:conditionalFormatting xmlns:xm="http://schemas.microsoft.com/office/excel/2006/main">
          <x14:cfRule type="cellIs" priority="508" operator="lessThan" id="{03D61244-DBB2-45C6-A83F-0E0F9657DD7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P2009</xm:sqref>
        </x14:conditionalFormatting>
        <x14:conditionalFormatting xmlns:xm="http://schemas.microsoft.com/office/excel/2006/main">
          <x14:cfRule type="cellIs" priority="507" operator="lessThan" id="{75998CF7-5254-49D4-A843-240D013985E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N2009</xm:sqref>
        </x14:conditionalFormatting>
        <x14:conditionalFormatting xmlns:xm="http://schemas.microsoft.com/office/excel/2006/main">
          <x14:cfRule type="cellIs" priority="506" operator="lessThan" id="{9CB9B557-490C-4F84-B212-1F2178AD78C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P2010</xm:sqref>
        </x14:conditionalFormatting>
        <x14:conditionalFormatting xmlns:xm="http://schemas.microsoft.com/office/excel/2006/main">
          <x14:cfRule type="cellIs" priority="505" operator="lessThan" id="{D2CC0BA1-2200-4A48-B0E8-DB54027F9DC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N2010</xm:sqref>
        </x14:conditionalFormatting>
        <x14:conditionalFormatting xmlns:xm="http://schemas.microsoft.com/office/excel/2006/main">
          <x14:cfRule type="cellIs" priority="504" operator="lessThan" id="{65AA5FBF-B74F-42E1-A316-6D4709A304D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N2010</xm:sqref>
        </x14:conditionalFormatting>
        <x14:conditionalFormatting xmlns:xm="http://schemas.microsoft.com/office/excel/2006/main">
          <x14:cfRule type="cellIs" priority="503" operator="lessThan" id="{7A2568FF-9E16-4E2F-BAE0-ABDB32E918F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P2011</xm:sqref>
        </x14:conditionalFormatting>
        <x14:conditionalFormatting xmlns:xm="http://schemas.microsoft.com/office/excel/2006/main">
          <x14:cfRule type="cellIs" priority="502" operator="lessThan" id="{C4938811-6DE7-4A3D-8DD3-3D1C2646C7E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N2011</xm:sqref>
        </x14:conditionalFormatting>
        <x14:conditionalFormatting xmlns:xm="http://schemas.microsoft.com/office/excel/2006/main">
          <x14:cfRule type="cellIs" priority="501" operator="lessThan" id="{C3ED8105-F1A2-4BD5-AC82-231DED7A5E8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N2011</xm:sqref>
        </x14:conditionalFormatting>
        <x14:conditionalFormatting xmlns:xm="http://schemas.microsoft.com/office/excel/2006/main">
          <x14:cfRule type="cellIs" priority="500" operator="lessThan" id="{6B5B03E7-7E77-4B91-9CBD-618A25995CE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P2012</xm:sqref>
        </x14:conditionalFormatting>
        <x14:conditionalFormatting xmlns:xm="http://schemas.microsoft.com/office/excel/2006/main">
          <x14:cfRule type="cellIs" priority="499" operator="lessThan" id="{D14FB943-5A1F-4BAD-AD4E-35642209604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N2012</xm:sqref>
        </x14:conditionalFormatting>
        <x14:conditionalFormatting xmlns:xm="http://schemas.microsoft.com/office/excel/2006/main">
          <x14:cfRule type="cellIs" priority="498" operator="lessThan" id="{E5F4662F-4DF1-447C-B547-E65BFCB109B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N2012</xm:sqref>
        </x14:conditionalFormatting>
        <x14:conditionalFormatting xmlns:xm="http://schemas.microsoft.com/office/excel/2006/main">
          <x14:cfRule type="cellIs" priority="497" operator="lessThan" id="{7AF43734-DF7F-479E-972F-2F6AB327EE8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P2013</xm:sqref>
        </x14:conditionalFormatting>
        <x14:conditionalFormatting xmlns:xm="http://schemas.microsoft.com/office/excel/2006/main">
          <x14:cfRule type="cellIs" priority="496" operator="lessThan" id="{72EF663E-F255-4121-ACF3-7EE121FE155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N2013</xm:sqref>
        </x14:conditionalFormatting>
        <x14:conditionalFormatting xmlns:xm="http://schemas.microsoft.com/office/excel/2006/main">
          <x14:cfRule type="cellIs" priority="495" operator="lessThan" id="{97BDC135-1974-49D6-94A4-C3E71CC00EB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N2013</xm:sqref>
        </x14:conditionalFormatting>
        <x14:conditionalFormatting xmlns:xm="http://schemas.microsoft.com/office/excel/2006/main">
          <x14:cfRule type="cellIs" priority="494" operator="lessThan" id="{ECCAA395-1C88-461D-B07F-A1B74496FA9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P2014:X2015 P2016</xm:sqref>
        </x14:conditionalFormatting>
        <x14:conditionalFormatting xmlns:xm="http://schemas.microsoft.com/office/excel/2006/main">
          <x14:cfRule type="cellIs" priority="493" operator="lessThan" id="{B4681AFE-8145-46A8-B785-A2333854B85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N2014:N2016</xm:sqref>
        </x14:conditionalFormatting>
        <x14:conditionalFormatting xmlns:xm="http://schemas.microsoft.com/office/excel/2006/main">
          <x14:cfRule type="cellIs" priority="492" operator="lessThan" id="{766DBF06-96B2-40E8-8C23-4A534C7FE67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N2014:N2016</xm:sqref>
        </x14:conditionalFormatting>
        <x14:conditionalFormatting xmlns:xm="http://schemas.microsoft.com/office/excel/2006/main">
          <x14:cfRule type="cellIs" priority="491" operator="lessThan" id="{23732CCB-3D91-4B94-BB14-64403BE6509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P2017:P2018</xm:sqref>
        </x14:conditionalFormatting>
        <x14:conditionalFormatting xmlns:xm="http://schemas.microsoft.com/office/excel/2006/main">
          <x14:cfRule type="cellIs" priority="490" operator="lessThan" id="{69E97D23-CEC7-46AA-A7C1-F04ECA787CF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N2017:N2018</xm:sqref>
        </x14:conditionalFormatting>
        <x14:conditionalFormatting xmlns:xm="http://schemas.microsoft.com/office/excel/2006/main">
          <x14:cfRule type="cellIs" priority="489" operator="lessThan" id="{B8DEF0AB-79B1-46FB-A01D-F916615A502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N2017:N2018</xm:sqref>
        </x14:conditionalFormatting>
        <x14:conditionalFormatting xmlns:xm="http://schemas.microsoft.com/office/excel/2006/main">
          <x14:cfRule type="cellIs" priority="488" operator="lessThan" id="{425CFAF0-9847-4C6E-A3A4-35D060E9368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P1874 N1874</xm:sqref>
        </x14:conditionalFormatting>
        <x14:conditionalFormatting xmlns:xm="http://schemas.microsoft.com/office/excel/2006/main">
          <x14:cfRule type="cellIs" priority="487" operator="lessThan" id="{E0435EA1-FC41-4A19-823C-91B9F8E7D64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P1875</xm:sqref>
        </x14:conditionalFormatting>
        <x14:conditionalFormatting xmlns:xm="http://schemas.microsoft.com/office/excel/2006/main">
          <x14:cfRule type="cellIs" priority="486" operator="lessThan" id="{0FDE5C3F-A61F-4354-9B8A-7AA1C2B4C7B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N1875</xm:sqref>
        </x14:conditionalFormatting>
        <x14:conditionalFormatting xmlns:xm="http://schemas.microsoft.com/office/excel/2006/main">
          <x14:cfRule type="cellIs" priority="485" operator="lessThan" id="{205DCF5F-9CB7-4AB0-8DD4-5018955F4EA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N1875</xm:sqref>
        </x14:conditionalFormatting>
        <x14:conditionalFormatting xmlns:xm="http://schemas.microsoft.com/office/excel/2006/main">
          <x14:cfRule type="cellIs" priority="484" operator="lessThan" id="{7290A544-5084-46F2-99DB-AAE215406A8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P2019</xm:sqref>
        </x14:conditionalFormatting>
        <x14:conditionalFormatting xmlns:xm="http://schemas.microsoft.com/office/excel/2006/main">
          <x14:cfRule type="cellIs" priority="483" operator="lessThan" id="{DDFD77B3-583B-4906-93BE-92E5FEB2DA5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N2019</xm:sqref>
        </x14:conditionalFormatting>
        <x14:conditionalFormatting xmlns:xm="http://schemas.microsoft.com/office/excel/2006/main">
          <x14:cfRule type="cellIs" priority="482" operator="lessThan" id="{8382A798-1245-4E63-91C6-019671A046B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N2019</xm:sqref>
        </x14:conditionalFormatting>
        <x14:conditionalFormatting xmlns:xm="http://schemas.microsoft.com/office/excel/2006/main">
          <x14:cfRule type="cellIs" priority="481" operator="lessThan" id="{4C7F727A-11D6-4D95-859A-3AE4D045BD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P2020</xm:sqref>
        </x14:conditionalFormatting>
        <x14:conditionalFormatting xmlns:xm="http://schemas.microsoft.com/office/excel/2006/main">
          <x14:cfRule type="cellIs" priority="480" operator="lessThan" id="{139670EF-0569-4F65-AD30-B186A5EE936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N2020</xm:sqref>
        </x14:conditionalFormatting>
        <x14:conditionalFormatting xmlns:xm="http://schemas.microsoft.com/office/excel/2006/main">
          <x14:cfRule type="cellIs" priority="479" operator="lessThan" id="{AAF4F4CC-CF5A-4D0F-9607-DE6D4AEBC5B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N2020</xm:sqref>
        </x14:conditionalFormatting>
        <x14:conditionalFormatting xmlns:xm="http://schemas.microsoft.com/office/excel/2006/main">
          <x14:cfRule type="cellIs" priority="478" operator="lessThan" id="{1B106203-8D3C-4B0A-B5E1-32EE2584E1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P2021</xm:sqref>
        </x14:conditionalFormatting>
        <x14:conditionalFormatting xmlns:xm="http://schemas.microsoft.com/office/excel/2006/main">
          <x14:cfRule type="cellIs" priority="477" operator="lessThan" id="{7E15FF02-BAF5-413F-A692-E9E10594573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N2021</xm:sqref>
        </x14:conditionalFormatting>
        <x14:conditionalFormatting xmlns:xm="http://schemas.microsoft.com/office/excel/2006/main">
          <x14:cfRule type="cellIs" priority="476" operator="lessThan" id="{B41630B1-0F17-4A7A-981D-EAF00502EF8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N2021</xm:sqref>
        </x14:conditionalFormatting>
        <x14:conditionalFormatting xmlns:xm="http://schemas.microsoft.com/office/excel/2006/main">
          <x14:cfRule type="cellIs" priority="475" operator="lessThan" id="{EB04321B-42FB-4618-A705-6DC4D066A38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P2022</xm:sqref>
        </x14:conditionalFormatting>
        <x14:conditionalFormatting xmlns:xm="http://schemas.microsoft.com/office/excel/2006/main">
          <x14:cfRule type="cellIs" priority="474" operator="lessThan" id="{CB4F451B-20BE-480C-B4CF-1FC6B790392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N2022</xm:sqref>
        </x14:conditionalFormatting>
        <x14:conditionalFormatting xmlns:xm="http://schemas.microsoft.com/office/excel/2006/main">
          <x14:cfRule type="cellIs" priority="473" operator="lessThan" id="{FBAD9AE9-9D34-4525-8F24-6E3E9188B46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N2022</xm:sqref>
        </x14:conditionalFormatting>
        <x14:conditionalFormatting xmlns:xm="http://schemas.microsoft.com/office/excel/2006/main">
          <x14:cfRule type="cellIs" priority="472" operator="lessThan" id="{26CD2D98-F7A3-488D-A401-4409F6035ED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P2024</xm:sqref>
        </x14:conditionalFormatting>
        <x14:conditionalFormatting xmlns:xm="http://schemas.microsoft.com/office/excel/2006/main">
          <x14:cfRule type="cellIs" priority="471" operator="lessThan" id="{71FAB855-929E-4ABE-A48D-3BF374BECE4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N2024</xm:sqref>
        </x14:conditionalFormatting>
        <x14:conditionalFormatting xmlns:xm="http://schemas.microsoft.com/office/excel/2006/main">
          <x14:cfRule type="cellIs" priority="470" operator="lessThan" id="{CE329A04-CE09-459D-B968-B5AAA21C087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N2024</xm:sqref>
        </x14:conditionalFormatting>
        <x14:conditionalFormatting xmlns:xm="http://schemas.microsoft.com/office/excel/2006/main">
          <x14:cfRule type="cellIs" priority="469" operator="lessThan" id="{6A74F459-49E1-4BB6-9228-B54192A4786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P2023</xm:sqref>
        </x14:conditionalFormatting>
        <x14:conditionalFormatting xmlns:xm="http://schemas.microsoft.com/office/excel/2006/main">
          <x14:cfRule type="cellIs" priority="468" operator="lessThan" id="{599935CF-4864-4BD4-B3F3-6D2605361B1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N2023</xm:sqref>
        </x14:conditionalFormatting>
        <x14:conditionalFormatting xmlns:xm="http://schemas.microsoft.com/office/excel/2006/main">
          <x14:cfRule type="cellIs" priority="467" operator="lessThan" id="{F75DAC4B-5235-4F38-AA1C-88CBA16B747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N2023</xm:sqref>
        </x14:conditionalFormatting>
        <x14:conditionalFormatting xmlns:xm="http://schemas.microsoft.com/office/excel/2006/main">
          <x14:cfRule type="cellIs" priority="463" operator="lessThan" id="{FAE20913-74D7-4633-A8B1-17548EDA3FB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P2036</xm:sqref>
        </x14:conditionalFormatting>
        <x14:conditionalFormatting xmlns:xm="http://schemas.microsoft.com/office/excel/2006/main">
          <x14:cfRule type="cellIs" priority="462" operator="lessThan" id="{BAA47267-65FE-4F23-837D-FD9B1E74DE3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N2036</xm:sqref>
        </x14:conditionalFormatting>
        <x14:conditionalFormatting xmlns:xm="http://schemas.microsoft.com/office/excel/2006/main">
          <x14:cfRule type="cellIs" priority="461" operator="lessThan" id="{643DBE62-CFCD-48E2-A6C1-38851F45C7B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N2036</xm:sqref>
        </x14:conditionalFormatting>
        <x14:conditionalFormatting xmlns:xm="http://schemas.microsoft.com/office/excel/2006/main">
          <x14:cfRule type="cellIs" priority="460" operator="lessThan" id="{66B63C0C-B56F-4CC3-9484-A636A5B3951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P2037</xm:sqref>
        </x14:conditionalFormatting>
        <x14:conditionalFormatting xmlns:xm="http://schemas.microsoft.com/office/excel/2006/main">
          <x14:cfRule type="cellIs" priority="459" operator="lessThan" id="{DACC4CA7-F2D4-4160-B8E8-51175165917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N2037</xm:sqref>
        </x14:conditionalFormatting>
        <x14:conditionalFormatting xmlns:xm="http://schemas.microsoft.com/office/excel/2006/main">
          <x14:cfRule type="cellIs" priority="458" operator="lessThan" id="{699CE217-61A0-4D22-8C07-0F7078166F1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N2037</xm:sqref>
        </x14:conditionalFormatting>
        <x14:conditionalFormatting xmlns:xm="http://schemas.microsoft.com/office/excel/2006/main">
          <x14:cfRule type="cellIs" priority="457" operator="lessThan" id="{CBD1AA8B-0F95-4A9F-8691-197DDABE2CC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P2033</xm:sqref>
        </x14:conditionalFormatting>
        <x14:conditionalFormatting xmlns:xm="http://schemas.microsoft.com/office/excel/2006/main">
          <x14:cfRule type="cellIs" priority="456" operator="lessThan" id="{6D81503A-C258-4AED-93B2-59FE63F10CA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N2033</xm:sqref>
        </x14:conditionalFormatting>
        <x14:conditionalFormatting xmlns:xm="http://schemas.microsoft.com/office/excel/2006/main">
          <x14:cfRule type="cellIs" priority="455" operator="lessThan" id="{DD212108-746A-4D5D-8066-2CB59E9112A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N2033</xm:sqref>
        </x14:conditionalFormatting>
        <x14:conditionalFormatting xmlns:xm="http://schemas.microsoft.com/office/excel/2006/main">
          <x14:cfRule type="cellIs" priority="454" operator="lessThan" id="{36444FC2-3634-432F-B8BE-3D7BD9C3ED9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P2034</xm:sqref>
        </x14:conditionalFormatting>
        <x14:conditionalFormatting xmlns:xm="http://schemas.microsoft.com/office/excel/2006/main">
          <x14:cfRule type="cellIs" priority="453" operator="lessThan" id="{42FF6682-08D0-4BEC-95C2-C3354DDF37B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N2034</xm:sqref>
        </x14:conditionalFormatting>
        <x14:conditionalFormatting xmlns:xm="http://schemas.microsoft.com/office/excel/2006/main">
          <x14:cfRule type="cellIs" priority="452" operator="lessThan" id="{F9E5F6E3-6F3B-4FE6-8B4D-D6CBC2D3F83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N2034</xm:sqref>
        </x14:conditionalFormatting>
        <x14:conditionalFormatting xmlns:xm="http://schemas.microsoft.com/office/excel/2006/main">
          <x14:cfRule type="cellIs" priority="451" operator="lessThan" id="{83D86246-52C4-46AD-B1B7-E33359076E9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P2035</xm:sqref>
        </x14:conditionalFormatting>
        <x14:conditionalFormatting xmlns:xm="http://schemas.microsoft.com/office/excel/2006/main">
          <x14:cfRule type="cellIs" priority="450" operator="lessThan" id="{C9BC48B3-00EA-4C3E-9A77-837D1C020A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N2035</xm:sqref>
        </x14:conditionalFormatting>
        <x14:conditionalFormatting xmlns:xm="http://schemas.microsoft.com/office/excel/2006/main">
          <x14:cfRule type="cellIs" priority="449" operator="lessThan" id="{8C5E750B-2CE2-4FD7-B362-9F509B7791B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N2035</xm:sqref>
        </x14:conditionalFormatting>
        <x14:conditionalFormatting xmlns:xm="http://schemas.microsoft.com/office/excel/2006/main">
          <x14:cfRule type="cellIs" priority="448" operator="lessThan" id="{049617CD-08D9-4E96-A4D1-85894D54E53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P2038</xm:sqref>
        </x14:conditionalFormatting>
        <x14:conditionalFormatting xmlns:xm="http://schemas.microsoft.com/office/excel/2006/main">
          <x14:cfRule type="cellIs" priority="447" operator="lessThan" id="{F0F4A9CD-6806-4094-86D4-089705DA000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N2038</xm:sqref>
        </x14:conditionalFormatting>
        <x14:conditionalFormatting xmlns:xm="http://schemas.microsoft.com/office/excel/2006/main">
          <x14:cfRule type="cellIs" priority="446" operator="lessThan" id="{9744E076-C58E-46FA-90C3-54DC3622189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N2038</xm:sqref>
        </x14:conditionalFormatting>
        <x14:conditionalFormatting xmlns:xm="http://schemas.microsoft.com/office/excel/2006/main">
          <x14:cfRule type="cellIs" priority="445" operator="lessThan" id="{C1AFEF4A-678A-49E1-823A-7C38F96DDFD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P2039</xm:sqref>
        </x14:conditionalFormatting>
        <x14:conditionalFormatting xmlns:xm="http://schemas.microsoft.com/office/excel/2006/main">
          <x14:cfRule type="cellIs" priority="444" operator="lessThan" id="{707216DC-D087-4D57-B880-0B3BE497BD7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N2039</xm:sqref>
        </x14:conditionalFormatting>
        <x14:conditionalFormatting xmlns:xm="http://schemas.microsoft.com/office/excel/2006/main">
          <x14:cfRule type="cellIs" priority="443" operator="lessThan" id="{0281623D-C8F9-4AE2-B308-6A1EC645C18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N2039</xm:sqref>
        </x14:conditionalFormatting>
        <x14:conditionalFormatting xmlns:xm="http://schemas.microsoft.com/office/excel/2006/main">
          <x14:cfRule type="cellIs" priority="442" operator="lessThan" id="{FE7E650D-866C-4E50-B237-6A308A2657D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P2040</xm:sqref>
        </x14:conditionalFormatting>
        <x14:conditionalFormatting xmlns:xm="http://schemas.microsoft.com/office/excel/2006/main">
          <x14:cfRule type="cellIs" priority="441" operator="lessThan" id="{5A4D58AB-1C3D-4D49-BD73-54722264875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N2040</xm:sqref>
        </x14:conditionalFormatting>
        <x14:conditionalFormatting xmlns:xm="http://schemas.microsoft.com/office/excel/2006/main">
          <x14:cfRule type="cellIs" priority="440" operator="lessThan" id="{EC931B90-09D7-4AF1-9D8A-19F5542A904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N2040</xm:sqref>
        </x14:conditionalFormatting>
        <x14:conditionalFormatting xmlns:xm="http://schemas.microsoft.com/office/excel/2006/main">
          <x14:cfRule type="cellIs" priority="439" operator="lessThan" id="{B5BCCEFC-E4C9-4631-A4BF-EE8A08DCFB2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P2041</xm:sqref>
        </x14:conditionalFormatting>
        <x14:conditionalFormatting xmlns:xm="http://schemas.microsoft.com/office/excel/2006/main">
          <x14:cfRule type="cellIs" priority="438" operator="lessThan" id="{A3074508-0659-4689-8FFE-388B859D59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N2041</xm:sqref>
        </x14:conditionalFormatting>
        <x14:conditionalFormatting xmlns:xm="http://schemas.microsoft.com/office/excel/2006/main">
          <x14:cfRule type="cellIs" priority="437" operator="lessThan" id="{ED633F90-37F4-4DF3-99F5-D5C45A40D5A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N2041</xm:sqref>
        </x14:conditionalFormatting>
        <x14:conditionalFormatting xmlns:xm="http://schemas.microsoft.com/office/excel/2006/main">
          <x14:cfRule type="cellIs" priority="436" operator="lessThan" id="{C76217B9-FBF7-41EF-A05D-8F8593713F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N2042</xm:sqref>
        </x14:conditionalFormatting>
        <x14:conditionalFormatting xmlns:xm="http://schemas.microsoft.com/office/excel/2006/main">
          <x14:cfRule type="cellIs" priority="435" operator="lessThan" id="{20EA4AB1-C855-44D7-990B-953C1A986C6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N2042</xm:sqref>
        </x14:conditionalFormatting>
        <x14:conditionalFormatting xmlns:xm="http://schemas.microsoft.com/office/excel/2006/main">
          <x14:cfRule type="cellIs" priority="434" operator="lessThan" id="{A91F3B89-627B-47BA-AA23-2FBD676354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P2043</xm:sqref>
        </x14:conditionalFormatting>
        <x14:conditionalFormatting xmlns:xm="http://schemas.microsoft.com/office/excel/2006/main">
          <x14:cfRule type="cellIs" priority="433" operator="lessThan" id="{30424A28-7D4E-44AC-8AEB-51004B35A39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N2043</xm:sqref>
        </x14:conditionalFormatting>
        <x14:conditionalFormatting xmlns:xm="http://schemas.microsoft.com/office/excel/2006/main">
          <x14:cfRule type="cellIs" priority="432" operator="lessThan" id="{454D1AD9-B56D-4822-91E1-4D03412111C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N2043</xm:sqref>
        </x14:conditionalFormatting>
        <x14:conditionalFormatting xmlns:xm="http://schemas.microsoft.com/office/excel/2006/main">
          <x14:cfRule type="cellIs" priority="431" operator="lessThan" id="{5959955A-7B31-45C8-96BD-F24C76F3CA2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P2044</xm:sqref>
        </x14:conditionalFormatting>
        <x14:conditionalFormatting xmlns:xm="http://schemas.microsoft.com/office/excel/2006/main">
          <x14:cfRule type="cellIs" priority="430" operator="lessThan" id="{FC0774B8-677F-4814-AFDA-191F069EAC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N2044</xm:sqref>
        </x14:conditionalFormatting>
        <x14:conditionalFormatting xmlns:xm="http://schemas.microsoft.com/office/excel/2006/main">
          <x14:cfRule type="cellIs" priority="429" operator="lessThan" id="{FDD3CB2D-2937-4C5E-B271-39841923101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N2044</xm:sqref>
        </x14:conditionalFormatting>
        <x14:conditionalFormatting xmlns:xm="http://schemas.microsoft.com/office/excel/2006/main">
          <x14:cfRule type="cellIs" priority="428" operator="lessThan" id="{4E53FFC6-EBE4-4E1F-9D94-C451630178D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P2042</xm:sqref>
        </x14:conditionalFormatting>
        <x14:conditionalFormatting xmlns:xm="http://schemas.microsoft.com/office/excel/2006/main">
          <x14:cfRule type="cellIs" priority="427" operator="lessThan" id="{9C01CD86-113F-457F-903B-EA0B684740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P2045</xm:sqref>
        </x14:conditionalFormatting>
        <x14:conditionalFormatting xmlns:xm="http://schemas.microsoft.com/office/excel/2006/main">
          <x14:cfRule type="cellIs" priority="426" operator="lessThan" id="{8EC3D167-D2DE-4431-986C-700017ACD6B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N2045</xm:sqref>
        </x14:conditionalFormatting>
        <x14:conditionalFormatting xmlns:xm="http://schemas.microsoft.com/office/excel/2006/main">
          <x14:cfRule type="cellIs" priority="425" operator="lessThan" id="{11386FBA-B606-440A-870A-13C2B0351E8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P2046</xm:sqref>
        </x14:conditionalFormatting>
        <x14:conditionalFormatting xmlns:xm="http://schemas.microsoft.com/office/excel/2006/main">
          <x14:cfRule type="cellIs" priority="424" operator="lessThan" id="{A9E5B6AD-3091-4A3C-AC67-9101DA2661B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N2046</xm:sqref>
        </x14:conditionalFormatting>
        <x14:conditionalFormatting xmlns:xm="http://schemas.microsoft.com/office/excel/2006/main">
          <x14:cfRule type="cellIs" priority="423" operator="lessThan" id="{86C75FF4-810E-4EAF-9838-4D3B2572144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P2047</xm:sqref>
        </x14:conditionalFormatting>
        <x14:conditionalFormatting xmlns:xm="http://schemas.microsoft.com/office/excel/2006/main">
          <x14:cfRule type="cellIs" priority="422" operator="lessThan" id="{E3D27661-A3FF-49F6-BE57-2878AC258ED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N2047</xm:sqref>
        </x14:conditionalFormatting>
        <x14:conditionalFormatting xmlns:xm="http://schemas.microsoft.com/office/excel/2006/main">
          <x14:cfRule type="cellIs" priority="421" operator="lessThan" id="{A39D9064-DAC2-4FE7-AE89-51506C199A5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N2047</xm:sqref>
        </x14:conditionalFormatting>
        <x14:conditionalFormatting xmlns:xm="http://schemas.microsoft.com/office/excel/2006/main">
          <x14:cfRule type="cellIs" priority="420" operator="lessThan" id="{2456B8FF-09EB-41D3-9EC8-96DEA704451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P2048</xm:sqref>
        </x14:conditionalFormatting>
        <x14:conditionalFormatting xmlns:xm="http://schemas.microsoft.com/office/excel/2006/main">
          <x14:cfRule type="cellIs" priority="419" operator="lessThan" id="{7A86E59A-63F6-40D7-9F98-AE8FBDAB4B3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N2048</xm:sqref>
        </x14:conditionalFormatting>
        <x14:conditionalFormatting xmlns:xm="http://schemas.microsoft.com/office/excel/2006/main">
          <x14:cfRule type="cellIs" priority="418" operator="lessThan" id="{2FE17FB3-2521-43E4-96FE-48616A1EF72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N2048</xm:sqref>
        </x14:conditionalFormatting>
        <x14:conditionalFormatting xmlns:xm="http://schemas.microsoft.com/office/excel/2006/main">
          <x14:cfRule type="cellIs" priority="417" operator="lessThan" id="{B6B2B1EA-CCB7-44BE-8AA7-89E39F2BF7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P2049</xm:sqref>
        </x14:conditionalFormatting>
        <x14:conditionalFormatting xmlns:xm="http://schemas.microsoft.com/office/excel/2006/main">
          <x14:cfRule type="cellIs" priority="416" operator="lessThan" id="{77E28952-D4A8-4A94-8712-4642CAFBFE5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N2049</xm:sqref>
        </x14:conditionalFormatting>
        <x14:conditionalFormatting xmlns:xm="http://schemas.microsoft.com/office/excel/2006/main">
          <x14:cfRule type="cellIs" priority="415" operator="lessThan" id="{C1956887-219F-442C-9E4B-4DCE4DFD61C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N2049</xm:sqref>
        </x14:conditionalFormatting>
        <x14:conditionalFormatting xmlns:xm="http://schemas.microsoft.com/office/excel/2006/main">
          <x14:cfRule type="cellIs" priority="414" operator="lessThan" id="{2646544D-A4A3-4A79-B40F-5F5838BD58A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M2050:N2050</xm:sqref>
        </x14:conditionalFormatting>
        <x14:conditionalFormatting xmlns:xm="http://schemas.microsoft.com/office/excel/2006/main">
          <x14:cfRule type="cellIs" priority="413" operator="lessThan" id="{179522A2-76FB-4701-B8F3-553A419FDDC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M2050:N2050</xm:sqref>
        </x14:conditionalFormatting>
        <x14:conditionalFormatting xmlns:xm="http://schemas.microsoft.com/office/excel/2006/main">
          <x14:cfRule type="cellIs" priority="412" operator="lessThan" id="{E4087F79-CC47-41A7-A48C-E09007EA3C4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P2050</xm:sqref>
        </x14:conditionalFormatting>
        <x14:conditionalFormatting xmlns:xm="http://schemas.microsoft.com/office/excel/2006/main">
          <x14:cfRule type="cellIs" priority="411" operator="lessThan" id="{C415546A-ADC6-4AF3-AF1F-06ADDA5B4F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P2051</xm:sqref>
        </x14:conditionalFormatting>
        <x14:conditionalFormatting xmlns:xm="http://schemas.microsoft.com/office/excel/2006/main">
          <x14:cfRule type="cellIs" priority="410" operator="lessThan" id="{5E125669-1E74-4BB1-B497-3E66C087AE5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N2051</xm:sqref>
        </x14:conditionalFormatting>
        <x14:conditionalFormatting xmlns:xm="http://schemas.microsoft.com/office/excel/2006/main">
          <x14:cfRule type="cellIs" priority="409" operator="lessThan" id="{1F8CFCFC-C485-4A69-B093-59621F97C17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N2051</xm:sqref>
        </x14:conditionalFormatting>
        <x14:conditionalFormatting xmlns:xm="http://schemas.microsoft.com/office/excel/2006/main">
          <x14:cfRule type="cellIs" priority="408" operator="lessThan" id="{941FC019-43E0-425A-BE8E-1B60CBFB2F3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P2052</xm:sqref>
        </x14:conditionalFormatting>
        <x14:conditionalFormatting xmlns:xm="http://schemas.microsoft.com/office/excel/2006/main">
          <x14:cfRule type="cellIs" priority="407" operator="lessThan" id="{99908C15-ADC1-4E08-ABE2-5F6F35F9FA9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N2052</xm:sqref>
        </x14:conditionalFormatting>
        <x14:conditionalFormatting xmlns:xm="http://schemas.microsoft.com/office/excel/2006/main">
          <x14:cfRule type="cellIs" priority="406" operator="lessThan" id="{0E24430D-9AAB-4FFE-994B-DDC73D5AF02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N2052</xm:sqref>
        </x14:conditionalFormatting>
        <x14:conditionalFormatting xmlns:xm="http://schemas.microsoft.com/office/excel/2006/main">
          <x14:cfRule type="cellIs" priority="405" operator="lessThan" id="{89F9ED19-C904-4856-9E52-3B034543084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P2053</xm:sqref>
        </x14:conditionalFormatting>
        <x14:conditionalFormatting xmlns:xm="http://schemas.microsoft.com/office/excel/2006/main">
          <x14:cfRule type="cellIs" priority="404" operator="lessThan" id="{8CE9C760-04FE-415E-8CA5-90ED0F6BCE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N2053</xm:sqref>
        </x14:conditionalFormatting>
        <x14:conditionalFormatting xmlns:xm="http://schemas.microsoft.com/office/excel/2006/main">
          <x14:cfRule type="cellIs" priority="403" operator="lessThan" id="{B7154283-8B95-4091-AB5A-5302381C50C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N2053</xm:sqref>
        </x14:conditionalFormatting>
        <x14:conditionalFormatting xmlns:xm="http://schemas.microsoft.com/office/excel/2006/main">
          <x14:cfRule type="cellIs" priority="402" operator="lessThan" id="{B4C00A6F-76F2-4920-95C3-B99D4AA1BD8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P2054</xm:sqref>
        </x14:conditionalFormatting>
        <x14:conditionalFormatting xmlns:xm="http://schemas.microsoft.com/office/excel/2006/main">
          <x14:cfRule type="cellIs" priority="401" operator="lessThan" id="{78816D93-541E-4E15-8A32-A70C3B0E179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N2054</xm:sqref>
        </x14:conditionalFormatting>
        <x14:conditionalFormatting xmlns:xm="http://schemas.microsoft.com/office/excel/2006/main">
          <x14:cfRule type="cellIs" priority="400" operator="lessThan" id="{53447EF6-3054-47DC-B698-FB559F0707A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N2054</xm:sqref>
        </x14:conditionalFormatting>
        <x14:conditionalFormatting xmlns:xm="http://schemas.microsoft.com/office/excel/2006/main">
          <x14:cfRule type="cellIs" priority="399" operator="lessThan" id="{3C067339-D0D7-4B74-88D1-726A5FF8D33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P2055</xm:sqref>
        </x14:conditionalFormatting>
        <x14:conditionalFormatting xmlns:xm="http://schemas.microsoft.com/office/excel/2006/main">
          <x14:cfRule type="cellIs" priority="398" operator="lessThan" id="{2CB1A0A1-1F44-41D0-8366-FB202BB8731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N2056</xm:sqref>
        </x14:conditionalFormatting>
        <x14:conditionalFormatting xmlns:xm="http://schemas.microsoft.com/office/excel/2006/main">
          <x14:cfRule type="cellIs" priority="397" operator="lessThan" id="{FFE2CF56-7ACC-43E0-823C-3E229E2A0B6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N2056</xm:sqref>
        </x14:conditionalFormatting>
        <x14:conditionalFormatting xmlns:xm="http://schemas.microsoft.com/office/excel/2006/main">
          <x14:cfRule type="cellIs" priority="396" operator="lessThan" id="{F5BED1AC-3A15-4DAB-96F0-DDB17C4228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P2056</xm:sqref>
        </x14:conditionalFormatting>
        <x14:conditionalFormatting xmlns:xm="http://schemas.microsoft.com/office/excel/2006/main">
          <x14:cfRule type="cellIs" priority="395" operator="lessThan" id="{56CA4AC5-D2D6-44B3-81FB-D8F8E28108B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P2057</xm:sqref>
        </x14:conditionalFormatting>
        <x14:conditionalFormatting xmlns:xm="http://schemas.microsoft.com/office/excel/2006/main">
          <x14:cfRule type="cellIs" priority="394" operator="lessThan" id="{FD651B25-6BBE-465F-997C-46F16DDDC89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N2057</xm:sqref>
        </x14:conditionalFormatting>
        <x14:conditionalFormatting xmlns:xm="http://schemas.microsoft.com/office/excel/2006/main">
          <x14:cfRule type="cellIs" priority="393" operator="lessThan" id="{4B78610E-4604-4ADB-8B93-7D45200C2D8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N2057</xm:sqref>
        </x14:conditionalFormatting>
        <x14:conditionalFormatting xmlns:xm="http://schemas.microsoft.com/office/excel/2006/main">
          <x14:cfRule type="cellIs" priority="392" operator="lessThan" id="{ABCD6017-3B33-4FCF-ADBD-CC1354A623F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P2057</xm:sqref>
        </x14:conditionalFormatting>
        <x14:conditionalFormatting xmlns:xm="http://schemas.microsoft.com/office/excel/2006/main">
          <x14:cfRule type="cellIs" priority="391" operator="lessThan" id="{8FA9E581-C74D-4B3E-85CC-E18BD3DEE35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P2057</xm:sqref>
        </x14:conditionalFormatting>
        <x14:conditionalFormatting xmlns:xm="http://schemas.microsoft.com/office/excel/2006/main">
          <x14:cfRule type="cellIs" priority="370" operator="lessThan" id="{4C8D82EC-9389-4CDB-A9DC-0B101CB94E9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P2084</xm:sqref>
        </x14:conditionalFormatting>
        <x14:conditionalFormatting xmlns:xm="http://schemas.microsoft.com/office/excel/2006/main">
          <x14:cfRule type="cellIs" priority="369" operator="lessThan" id="{2C036A9E-4839-491B-8E43-B7F967CCAAB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M2084:N2084</xm:sqref>
        </x14:conditionalFormatting>
        <x14:conditionalFormatting xmlns:xm="http://schemas.microsoft.com/office/excel/2006/main">
          <x14:cfRule type="cellIs" priority="368" operator="lessThan" id="{26D600F3-6923-403B-9ABF-C715E985762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M2084:N2084</xm:sqref>
        </x14:conditionalFormatting>
        <x14:conditionalFormatting xmlns:xm="http://schemas.microsoft.com/office/excel/2006/main">
          <x14:cfRule type="cellIs" priority="367" operator="lessThan" id="{8C8E933B-E742-4040-9A17-475902CF02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P2085</xm:sqref>
        </x14:conditionalFormatting>
        <x14:conditionalFormatting xmlns:xm="http://schemas.microsoft.com/office/excel/2006/main">
          <x14:cfRule type="cellIs" priority="366" operator="lessThan" id="{C7C6941A-EB13-45A6-A9C5-5D5D83C7FAF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M2085:N2085</xm:sqref>
        </x14:conditionalFormatting>
        <x14:conditionalFormatting xmlns:xm="http://schemas.microsoft.com/office/excel/2006/main">
          <x14:cfRule type="cellIs" priority="365" operator="lessThan" id="{027DD72B-1769-4EBE-8FD2-B78157696DC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M2085:N2085</xm:sqref>
        </x14:conditionalFormatting>
        <x14:conditionalFormatting xmlns:xm="http://schemas.microsoft.com/office/excel/2006/main">
          <x14:cfRule type="cellIs" priority="364" operator="lessThan" id="{3F4479C5-D868-4377-BD4A-5452509A4C6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P2086:P2088</xm:sqref>
        </x14:conditionalFormatting>
        <x14:conditionalFormatting xmlns:xm="http://schemas.microsoft.com/office/excel/2006/main">
          <x14:cfRule type="cellIs" priority="363" operator="lessThan" id="{1058F8DE-64E7-4E1E-A007-14B70196658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N2086:N2088</xm:sqref>
        </x14:conditionalFormatting>
        <x14:conditionalFormatting xmlns:xm="http://schemas.microsoft.com/office/excel/2006/main">
          <x14:cfRule type="cellIs" priority="362" operator="lessThan" id="{FA0FC98B-EE07-48EE-8D94-25B5F215DA6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N2086:N2088</xm:sqref>
        </x14:conditionalFormatting>
        <x14:conditionalFormatting xmlns:xm="http://schemas.microsoft.com/office/excel/2006/main">
          <x14:cfRule type="cellIs" priority="361" operator="lessThan" id="{D7F0E2F0-8F40-488F-993C-697F2E5CD98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P2089:P2090</xm:sqref>
        </x14:conditionalFormatting>
        <x14:conditionalFormatting xmlns:xm="http://schemas.microsoft.com/office/excel/2006/main">
          <x14:cfRule type="cellIs" priority="360" operator="lessThan" id="{2DEBD1F7-4E60-4053-829A-83B8F9D054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N2089:N2090</xm:sqref>
        </x14:conditionalFormatting>
        <x14:conditionalFormatting xmlns:xm="http://schemas.microsoft.com/office/excel/2006/main">
          <x14:cfRule type="cellIs" priority="359" operator="lessThan" id="{3E224D85-67B9-45B1-BCEE-1FD4F504294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N2089:N2090</xm:sqref>
        </x14:conditionalFormatting>
        <x14:conditionalFormatting xmlns:xm="http://schemas.microsoft.com/office/excel/2006/main">
          <x14:cfRule type="cellIs" priority="358" operator="lessThan" id="{F9B17A96-C053-4564-9633-AB617E083D3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P2091:P2093</xm:sqref>
        </x14:conditionalFormatting>
        <x14:conditionalFormatting xmlns:xm="http://schemas.microsoft.com/office/excel/2006/main">
          <x14:cfRule type="cellIs" priority="357" operator="lessThan" id="{6AA95663-8789-4432-AFC2-1725CAE6024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N2091:N2093</xm:sqref>
        </x14:conditionalFormatting>
        <x14:conditionalFormatting xmlns:xm="http://schemas.microsoft.com/office/excel/2006/main">
          <x14:cfRule type="cellIs" priority="356" operator="lessThan" id="{BC5725B6-7765-4378-963F-D41CEE35E1F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N2091:N2093</xm:sqref>
        </x14:conditionalFormatting>
        <x14:conditionalFormatting xmlns:xm="http://schemas.microsoft.com/office/excel/2006/main">
          <x14:cfRule type="cellIs" priority="355" operator="lessThan" id="{510C61F6-10CB-4198-83C1-0AF991626A5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P2094:P2102</xm:sqref>
        </x14:conditionalFormatting>
        <x14:conditionalFormatting xmlns:xm="http://schemas.microsoft.com/office/excel/2006/main">
          <x14:cfRule type="cellIs" priority="354" operator="lessThan" id="{A56846D2-0DB6-454A-AF0D-507C7E87FEB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N2094:N2101</xm:sqref>
        </x14:conditionalFormatting>
        <x14:conditionalFormatting xmlns:xm="http://schemas.microsoft.com/office/excel/2006/main">
          <x14:cfRule type="cellIs" priority="353" operator="lessThan" id="{5DF312F9-2FCF-441F-BE32-589C6262EB0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N2094:N2101</xm:sqref>
        </x14:conditionalFormatting>
        <x14:conditionalFormatting xmlns:xm="http://schemas.microsoft.com/office/excel/2006/main">
          <x14:cfRule type="cellIs" priority="352" operator="lessThan" id="{FBC23F75-EE1C-4733-9CAA-C5168D0917E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N2102</xm:sqref>
        </x14:conditionalFormatting>
        <x14:conditionalFormatting xmlns:xm="http://schemas.microsoft.com/office/excel/2006/main">
          <x14:cfRule type="cellIs" priority="351" operator="lessThan" id="{9ABD7D3C-13ED-44FB-BDB3-A1FD1DF04D4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N2102</xm:sqref>
        </x14:conditionalFormatting>
        <x14:conditionalFormatting xmlns:xm="http://schemas.microsoft.com/office/excel/2006/main">
          <x14:cfRule type="cellIs" priority="350" operator="lessThan" id="{1BFF5938-2D9B-40D5-8EC7-25924525A9B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P2103</xm:sqref>
        </x14:conditionalFormatting>
        <x14:conditionalFormatting xmlns:xm="http://schemas.microsoft.com/office/excel/2006/main">
          <x14:cfRule type="cellIs" priority="349" operator="lessThan" id="{954A9E9A-223D-46E8-8F7A-95FCA9BE0C5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N2103</xm:sqref>
        </x14:conditionalFormatting>
        <x14:conditionalFormatting xmlns:xm="http://schemas.microsoft.com/office/excel/2006/main">
          <x14:cfRule type="cellIs" priority="348" operator="lessThan" id="{1D4DCC45-2256-4719-A7EB-3BCA2F1EBC5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N2103</xm:sqref>
        </x14:conditionalFormatting>
        <x14:conditionalFormatting xmlns:xm="http://schemas.microsoft.com/office/excel/2006/main">
          <x14:cfRule type="cellIs" priority="347" operator="lessThan" id="{B57D3663-4B74-4A68-A5A7-7784AAC1B0E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P2103</xm:sqref>
        </x14:conditionalFormatting>
        <x14:conditionalFormatting xmlns:xm="http://schemas.microsoft.com/office/excel/2006/main">
          <x14:cfRule type="cellIs" priority="346" operator="lessThan" id="{BCED1088-20E1-4761-BD62-FE3C8D68FE9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P2103</xm:sqref>
        </x14:conditionalFormatting>
        <x14:conditionalFormatting xmlns:xm="http://schemas.microsoft.com/office/excel/2006/main">
          <x14:cfRule type="cellIs" priority="345" operator="lessThan" id="{DEC3D074-F6B3-4D68-8020-8873B9807BA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P2104:P2108</xm:sqref>
        </x14:conditionalFormatting>
        <x14:conditionalFormatting xmlns:xm="http://schemas.microsoft.com/office/excel/2006/main">
          <x14:cfRule type="cellIs" priority="344" operator="lessThan" id="{9F435F86-0360-42C5-BFD1-9A02A0AE65D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N2104:N2108</xm:sqref>
        </x14:conditionalFormatting>
        <x14:conditionalFormatting xmlns:xm="http://schemas.microsoft.com/office/excel/2006/main">
          <x14:cfRule type="cellIs" priority="343" operator="lessThan" id="{7CF86486-3597-4B42-B288-E7C42909764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N2104:N2108</xm:sqref>
        </x14:conditionalFormatting>
        <x14:conditionalFormatting xmlns:xm="http://schemas.microsoft.com/office/excel/2006/main">
          <x14:cfRule type="cellIs" priority="342" operator="lessThan" id="{6F7975A1-7C00-4B97-BF35-DAB5CAA78FA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P2104:P2108</xm:sqref>
        </x14:conditionalFormatting>
        <x14:conditionalFormatting xmlns:xm="http://schemas.microsoft.com/office/excel/2006/main">
          <x14:cfRule type="cellIs" priority="341" operator="lessThan" id="{6586DD53-D6F8-4E3C-98CD-96A0BA5F443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P2104:P2108</xm:sqref>
        </x14:conditionalFormatting>
        <x14:conditionalFormatting xmlns:xm="http://schemas.microsoft.com/office/excel/2006/main">
          <x14:cfRule type="cellIs" priority="340" operator="lessThan" id="{4F33503C-FD7C-4BEA-816C-32765E56A92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P2109</xm:sqref>
        </x14:conditionalFormatting>
        <x14:conditionalFormatting xmlns:xm="http://schemas.microsoft.com/office/excel/2006/main">
          <x14:cfRule type="cellIs" priority="339" operator="lessThan" id="{33F8CA0C-F947-4B81-87BA-D04090135DF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N2109</xm:sqref>
        </x14:conditionalFormatting>
        <x14:conditionalFormatting xmlns:xm="http://schemas.microsoft.com/office/excel/2006/main">
          <x14:cfRule type="cellIs" priority="338" operator="lessThan" id="{6DC80962-8166-44E8-ADA2-34E3C6D78E8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N2109</xm:sqref>
        </x14:conditionalFormatting>
        <x14:conditionalFormatting xmlns:xm="http://schemas.microsoft.com/office/excel/2006/main">
          <x14:cfRule type="cellIs" priority="335" operator="lessThan" id="{CCF0DFA5-000B-49FE-A87D-E4A9D48D99B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P2121</xm:sqref>
        </x14:conditionalFormatting>
        <x14:conditionalFormatting xmlns:xm="http://schemas.microsoft.com/office/excel/2006/main">
          <x14:cfRule type="cellIs" priority="334" operator="lessThan" id="{82AA5093-2ACB-4D94-8899-0A4870996FB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N2121</xm:sqref>
        </x14:conditionalFormatting>
        <x14:conditionalFormatting xmlns:xm="http://schemas.microsoft.com/office/excel/2006/main">
          <x14:cfRule type="cellIs" priority="333" operator="lessThan" id="{87F6DF08-E6A3-4EEE-8D8E-3B40B7DB285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N2121</xm:sqref>
        </x14:conditionalFormatting>
        <x14:conditionalFormatting xmlns:xm="http://schemas.microsoft.com/office/excel/2006/main">
          <x14:cfRule type="cellIs" priority="332" operator="lessThan" id="{F397C339-EDB9-4AE5-8DDF-1612FA6D9D5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P2120</xm:sqref>
        </x14:conditionalFormatting>
        <x14:conditionalFormatting xmlns:xm="http://schemas.microsoft.com/office/excel/2006/main">
          <x14:cfRule type="cellIs" priority="331" operator="lessThan" id="{8BA19265-F488-483B-A2D4-D927305372A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N2120</xm:sqref>
        </x14:conditionalFormatting>
        <x14:conditionalFormatting xmlns:xm="http://schemas.microsoft.com/office/excel/2006/main">
          <x14:cfRule type="cellIs" priority="330" operator="lessThan" id="{FE08478B-567E-4672-AE93-4A7C435D2D2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N2120</xm:sqref>
        </x14:conditionalFormatting>
        <x14:conditionalFormatting xmlns:xm="http://schemas.microsoft.com/office/excel/2006/main">
          <x14:cfRule type="cellIs" priority="329" operator="lessThan" id="{498439E6-9F51-4B89-AAF2-3C0C7336F0A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P2122</xm:sqref>
        </x14:conditionalFormatting>
        <x14:conditionalFormatting xmlns:xm="http://schemas.microsoft.com/office/excel/2006/main">
          <x14:cfRule type="cellIs" priority="328" operator="lessThan" id="{EF94A431-39CF-4DA1-A9A3-D58026F79B6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N2122</xm:sqref>
        </x14:conditionalFormatting>
        <x14:conditionalFormatting xmlns:xm="http://schemas.microsoft.com/office/excel/2006/main">
          <x14:cfRule type="cellIs" priority="327" operator="lessThan" id="{F30C71CC-2992-41F4-9A1D-48D33AD7CCA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N2122 P2122</xm:sqref>
        </x14:conditionalFormatting>
        <x14:conditionalFormatting xmlns:xm="http://schemas.microsoft.com/office/excel/2006/main">
          <x14:cfRule type="cellIs" priority="326" operator="lessThan" id="{5A823FA6-C1CC-42A5-86CD-B4E0AE60A7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P2122</xm:sqref>
        </x14:conditionalFormatting>
        <x14:conditionalFormatting xmlns:xm="http://schemas.microsoft.com/office/excel/2006/main">
          <x14:cfRule type="cellIs" priority="325" operator="lessThan" id="{ED6F5B48-1D04-4E7B-8760-D75067B8439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N2123</xm:sqref>
        </x14:conditionalFormatting>
        <x14:conditionalFormatting xmlns:xm="http://schemas.microsoft.com/office/excel/2006/main">
          <x14:cfRule type="cellIs" priority="324" operator="lessThan" id="{44D81D96-B30A-4010-A673-3278952B3A3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N2123</xm:sqref>
        </x14:conditionalFormatting>
        <x14:conditionalFormatting xmlns:xm="http://schemas.microsoft.com/office/excel/2006/main">
          <x14:cfRule type="cellIs" priority="323" operator="lessThan" id="{38A69352-6371-4F18-9327-1BF35454CDB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P2124</xm:sqref>
        </x14:conditionalFormatting>
        <x14:conditionalFormatting xmlns:xm="http://schemas.microsoft.com/office/excel/2006/main">
          <x14:cfRule type="cellIs" priority="322" operator="lessThan" id="{FE77CDE6-8585-4DB7-9936-A75788DE99D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N2124</xm:sqref>
        </x14:conditionalFormatting>
        <x14:conditionalFormatting xmlns:xm="http://schemas.microsoft.com/office/excel/2006/main">
          <x14:cfRule type="cellIs" priority="321" operator="lessThan" id="{25704F81-831F-4AB6-813E-0C530894212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P2124 N2124</xm:sqref>
        </x14:conditionalFormatting>
        <x14:conditionalFormatting xmlns:xm="http://schemas.microsoft.com/office/excel/2006/main">
          <x14:cfRule type="cellIs" priority="320" operator="lessThan" id="{A48F420B-B521-4FE0-8C71-5159FB43F5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P2124</xm:sqref>
        </x14:conditionalFormatting>
        <x14:conditionalFormatting xmlns:xm="http://schemas.microsoft.com/office/excel/2006/main">
          <x14:cfRule type="cellIs" priority="319" operator="lessThan" id="{8E824249-9B08-4AA9-A552-F90F2A6D93A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P2125</xm:sqref>
        </x14:conditionalFormatting>
        <x14:conditionalFormatting xmlns:xm="http://schemas.microsoft.com/office/excel/2006/main">
          <x14:cfRule type="cellIs" priority="318" operator="lessThan" id="{710B1F81-2219-43A0-9968-CAF0CADD759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N2125</xm:sqref>
        </x14:conditionalFormatting>
        <x14:conditionalFormatting xmlns:xm="http://schemas.microsoft.com/office/excel/2006/main">
          <x14:cfRule type="cellIs" priority="317" operator="lessThan" id="{5C966A95-ACFD-4045-9B64-BD162B089EF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P2125 N2125</xm:sqref>
        </x14:conditionalFormatting>
        <x14:conditionalFormatting xmlns:xm="http://schemas.microsoft.com/office/excel/2006/main">
          <x14:cfRule type="cellIs" priority="316" operator="lessThan" id="{1218ABA2-708D-4D51-8985-6B5DD9450B5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P2125</xm:sqref>
        </x14:conditionalFormatting>
        <x14:conditionalFormatting xmlns:xm="http://schemas.microsoft.com/office/excel/2006/main">
          <x14:cfRule type="cellIs" priority="315" operator="lessThan" id="{00ED5E98-2B28-4717-B395-53F455F60D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P2126</xm:sqref>
        </x14:conditionalFormatting>
        <x14:conditionalFormatting xmlns:xm="http://schemas.microsoft.com/office/excel/2006/main">
          <x14:cfRule type="cellIs" priority="314" operator="lessThan" id="{EE682AF2-50F0-4F1B-8241-5D841364E66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N2126</xm:sqref>
        </x14:conditionalFormatting>
        <x14:conditionalFormatting xmlns:xm="http://schemas.microsoft.com/office/excel/2006/main">
          <x14:cfRule type="cellIs" priority="313" operator="lessThan" id="{9A5751D3-26EF-4D15-9375-9E769FABCB0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N2126 P2126</xm:sqref>
        </x14:conditionalFormatting>
        <x14:conditionalFormatting xmlns:xm="http://schemas.microsoft.com/office/excel/2006/main">
          <x14:cfRule type="cellIs" priority="312" operator="lessThan" id="{9B317C6F-D596-4E66-8678-578FF50EA55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P2126</xm:sqref>
        </x14:conditionalFormatting>
        <x14:conditionalFormatting xmlns:xm="http://schemas.microsoft.com/office/excel/2006/main">
          <x14:cfRule type="cellIs" priority="311" operator="lessThan" id="{604356D8-7F4C-408E-9AFC-2B0F14E69E5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N2127</xm:sqref>
        </x14:conditionalFormatting>
        <x14:conditionalFormatting xmlns:xm="http://schemas.microsoft.com/office/excel/2006/main">
          <x14:cfRule type="cellIs" priority="310" operator="lessThan" id="{A846F643-C57A-4537-8FA8-72499214B19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N2127</xm:sqref>
        </x14:conditionalFormatting>
        <x14:conditionalFormatting xmlns:xm="http://schemas.microsoft.com/office/excel/2006/main">
          <x14:cfRule type="cellIs" priority="309" operator="lessThan" id="{AD8F4110-27E8-419A-BD83-57CE3F35AD2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P2127</xm:sqref>
        </x14:conditionalFormatting>
        <x14:conditionalFormatting xmlns:xm="http://schemas.microsoft.com/office/excel/2006/main">
          <x14:cfRule type="cellIs" priority="308" operator="lessThan" id="{E95A2036-4A87-4AC0-BBF6-B8E19B7A619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M2128</xm:sqref>
        </x14:conditionalFormatting>
        <x14:conditionalFormatting xmlns:xm="http://schemas.microsoft.com/office/excel/2006/main">
          <x14:cfRule type="cellIs" priority="307" operator="lessThan" id="{EC7814A7-FFB7-433D-AE69-A6D0701AF17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M2128</xm:sqref>
        </x14:conditionalFormatting>
        <x14:conditionalFormatting xmlns:xm="http://schemas.microsoft.com/office/excel/2006/main">
          <x14:cfRule type="cellIs" priority="306" operator="lessThan" id="{E52E9C11-B06E-4159-A857-E2906641D87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N2128</xm:sqref>
        </x14:conditionalFormatting>
        <x14:conditionalFormatting xmlns:xm="http://schemas.microsoft.com/office/excel/2006/main">
          <x14:cfRule type="cellIs" priority="305" operator="lessThan" id="{82E1491C-55F0-4F67-8A70-80C06113C5C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N2128</xm:sqref>
        </x14:conditionalFormatting>
        <x14:conditionalFormatting xmlns:xm="http://schemas.microsoft.com/office/excel/2006/main">
          <x14:cfRule type="cellIs" priority="304" operator="lessThan" id="{D458AA2E-2734-474B-B598-5B6F87E20F0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P2128</xm:sqref>
        </x14:conditionalFormatting>
        <x14:conditionalFormatting xmlns:xm="http://schemas.microsoft.com/office/excel/2006/main">
          <x14:cfRule type="cellIs" priority="303" operator="lessThan" id="{749A9F5D-27E5-4A01-9FB3-D05C448D765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N2129</xm:sqref>
        </x14:conditionalFormatting>
        <x14:conditionalFormatting xmlns:xm="http://schemas.microsoft.com/office/excel/2006/main">
          <x14:cfRule type="cellIs" priority="302" operator="lessThan" id="{AFE6BDA8-28E3-48E8-9726-008E0E36642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N2129</xm:sqref>
        </x14:conditionalFormatting>
        <x14:conditionalFormatting xmlns:xm="http://schemas.microsoft.com/office/excel/2006/main">
          <x14:cfRule type="cellIs" priority="301" operator="lessThan" id="{2ADB0A10-0472-4C9F-92D8-6667E8D63E1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P2129</xm:sqref>
        </x14:conditionalFormatting>
        <x14:conditionalFormatting xmlns:xm="http://schemas.microsoft.com/office/excel/2006/main">
          <x14:cfRule type="cellIs" priority="300" operator="lessThan" id="{7AA384A2-3A2B-465D-84FA-3DEACF0752C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N2130</xm:sqref>
        </x14:conditionalFormatting>
        <x14:conditionalFormatting xmlns:xm="http://schemas.microsoft.com/office/excel/2006/main">
          <x14:cfRule type="cellIs" priority="299" operator="lessThan" id="{D7AE6F19-A908-4E24-BBC0-CAC818246BC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N2130</xm:sqref>
        </x14:conditionalFormatting>
        <x14:conditionalFormatting xmlns:xm="http://schemas.microsoft.com/office/excel/2006/main">
          <x14:cfRule type="cellIs" priority="298" operator="lessThan" id="{64536536-11AF-4F7A-B0FF-181739571F9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P2130</xm:sqref>
        </x14:conditionalFormatting>
        <x14:conditionalFormatting xmlns:xm="http://schemas.microsoft.com/office/excel/2006/main">
          <x14:cfRule type="cellIs" priority="297" operator="lessThan" id="{7E5CF3B9-0549-4AD5-8583-04A6627FBBE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N2131</xm:sqref>
        </x14:conditionalFormatting>
        <x14:conditionalFormatting xmlns:xm="http://schemas.microsoft.com/office/excel/2006/main">
          <x14:cfRule type="cellIs" priority="296" operator="lessThan" id="{481B9CF4-0330-461F-9CF2-21CDABD7619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N2131</xm:sqref>
        </x14:conditionalFormatting>
        <x14:conditionalFormatting xmlns:xm="http://schemas.microsoft.com/office/excel/2006/main">
          <x14:cfRule type="cellIs" priority="295" operator="lessThan" id="{401F1E69-5033-47A6-95E8-78E7787A2CB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P2131</xm:sqref>
        </x14:conditionalFormatting>
        <x14:conditionalFormatting xmlns:xm="http://schemas.microsoft.com/office/excel/2006/main">
          <x14:cfRule type="cellIs" priority="294" operator="lessThan" id="{020CF5A8-4FB0-423F-ADA4-7CC0F154F23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N2132</xm:sqref>
        </x14:conditionalFormatting>
        <x14:conditionalFormatting xmlns:xm="http://schemas.microsoft.com/office/excel/2006/main">
          <x14:cfRule type="cellIs" priority="293" operator="lessThan" id="{3AC653CC-A0FE-4E76-976C-6416A8E7F2F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N2132</xm:sqref>
        </x14:conditionalFormatting>
        <x14:conditionalFormatting xmlns:xm="http://schemas.microsoft.com/office/excel/2006/main">
          <x14:cfRule type="cellIs" priority="292" operator="lessThan" id="{4ECEFAEF-F2B5-48AF-91DE-B3BCAE049B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P2132</xm:sqref>
        </x14:conditionalFormatting>
        <x14:conditionalFormatting xmlns:xm="http://schemas.microsoft.com/office/excel/2006/main">
          <x14:cfRule type="cellIs" priority="291" operator="lessThan" id="{D65BB701-0076-46DF-9C70-01F6B44201B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P2123</xm:sqref>
        </x14:conditionalFormatting>
        <x14:conditionalFormatting xmlns:xm="http://schemas.microsoft.com/office/excel/2006/main">
          <x14:cfRule type="cellIs" priority="290" operator="lessThan" id="{434DA377-E54D-407C-8FC1-D13A5B65533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P2123</xm:sqref>
        </x14:conditionalFormatting>
        <x14:conditionalFormatting xmlns:xm="http://schemas.microsoft.com/office/excel/2006/main">
          <x14:cfRule type="cellIs" priority="289" operator="lessThan" id="{E99272A7-8FBD-4C40-AE04-6C4DE4DFD60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P2123</xm:sqref>
        </x14:conditionalFormatting>
        <x14:conditionalFormatting xmlns:xm="http://schemas.microsoft.com/office/excel/2006/main">
          <x14:cfRule type="cellIs" priority="288" operator="lessThan" id="{25CBC38D-8441-4F5E-9C6F-3D9A4B56A3D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P2133</xm:sqref>
        </x14:conditionalFormatting>
        <x14:conditionalFormatting xmlns:xm="http://schemas.microsoft.com/office/excel/2006/main">
          <x14:cfRule type="cellIs" priority="287" operator="lessThan" id="{7884AF80-7230-424F-9530-7FEA848B131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N2133</xm:sqref>
        </x14:conditionalFormatting>
        <x14:conditionalFormatting xmlns:xm="http://schemas.microsoft.com/office/excel/2006/main">
          <x14:cfRule type="cellIs" priority="286" operator="lessThan" id="{35244D0F-6FB0-43FE-B1F9-F2372982C21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N2133</xm:sqref>
        </x14:conditionalFormatting>
        <x14:conditionalFormatting xmlns:xm="http://schemas.microsoft.com/office/excel/2006/main">
          <x14:cfRule type="cellIs" priority="285" operator="lessThan" id="{044E77DA-1AE0-4D9F-B882-CD43F4C22C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N2134</xm:sqref>
        </x14:conditionalFormatting>
        <x14:conditionalFormatting xmlns:xm="http://schemas.microsoft.com/office/excel/2006/main">
          <x14:cfRule type="cellIs" priority="284" operator="lessThan" id="{A399220E-B19A-4348-B12B-7098BAB1019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N2134</xm:sqref>
        </x14:conditionalFormatting>
        <x14:conditionalFormatting xmlns:xm="http://schemas.microsoft.com/office/excel/2006/main">
          <x14:cfRule type="cellIs" priority="283" operator="lessThan" id="{B467FF2A-06F2-4368-97B1-9B99A010145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P2134</xm:sqref>
        </x14:conditionalFormatting>
        <x14:conditionalFormatting xmlns:xm="http://schemas.microsoft.com/office/excel/2006/main">
          <x14:cfRule type="cellIs" priority="282" operator="lessThan" id="{D76D4A5F-93F7-4745-BC90-28C599AD80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P2134</xm:sqref>
        </x14:conditionalFormatting>
        <x14:conditionalFormatting xmlns:xm="http://schemas.microsoft.com/office/excel/2006/main">
          <x14:cfRule type="cellIs" priority="281" operator="lessThan" id="{9DD61ADA-EF67-4D46-B376-470DD73308F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P2134</xm:sqref>
        </x14:conditionalFormatting>
        <x14:conditionalFormatting xmlns:xm="http://schemas.microsoft.com/office/excel/2006/main">
          <x14:cfRule type="cellIs" priority="280" operator="lessThan" id="{3549386B-C733-4F3C-B009-9CD5BA05799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N2135</xm:sqref>
        </x14:conditionalFormatting>
        <x14:conditionalFormatting xmlns:xm="http://schemas.microsoft.com/office/excel/2006/main">
          <x14:cfRule type="cellIs" priority="279" operator="lessThan" id="{DCD4FDBB-B77C-4C0B-BB87-D2E0E58DD25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P2135</xm:sqref>
        </x14:conditionalFormatting>
        <x14:conditionalFormatting xmlns:xm="http://schemas.microsoft.com/office/excel/2006/main">
          <x14:cfRule type="cellIs" priority="278" operator="lessThan" id="{346F78E6-737E-4D59-A72A-2B03847CC88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P2136</xm:sqref>
        </x14:conditionalFormatting>
        <x14:conditionalFormatting xmlns:xm="http://schemas.microsoft.com/office/excel/2006/main">
          <x14:cfRule type="cellIs" priority="277" operator="lessThan" id="{E6280AD4-08E0-4610-88F1-F8A206C0D37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M2136:N2136</xm:sqref>
        </x14:conditionalFormatting>
        <x14:conditionalFormatting xmlns:xm="http://schemas.microsoft.com/office/excel/2006/main">
          <x14:cfRule type="cellIs" priority="276" operator="lessThan" id="{FFE708CA-7D20-4B95-A6F9-5FF3DBCD892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M2136:N2136</xm:sqref>
        </x14:conditionalFormatting>
        <x14:conditionalFormatting xmlns:xm="http://schemas.microsoft.com/office/excel/2006/main">
          <x14:cfRule type="cellIs" priority="275" operator="lessThan" id="{9ACF568C-D963-4C25-B9CA-C031E0BF8F7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P2137</xm:sqref>
        </x14:conditionalFormatting>
        <x14:conditionalFormatting xmlns:xm="http://schemas.microsoft.com/office/excel/2006/main">
          <x14:cfRule type="cellIs" priority="274" operator="lessThan" id="{2FE147D5-3A8F-4094-8955-077E65A22A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M2137:N2137</xm:sqref>
        </x14:conditionalFormatting>
        <x14:conditionalFormatting xmlns:xm="http://schemas.microsoft.com/office/excel/2006/main">
          <x14:cfRule type="cellIs" priority="273" operator="lessThan" id="{6F44BFB5-84FF-4E61-83A0-AE04DE1EEB6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M2137:N2137</xm:sqref>
        </x14:conditionalFormatting>
        <x14:conditionalFormatting xmlns:xm="http://schemas.microsoft.com/office/excel/2006/main">
          <x14:cfRule type="cellIs" priority="272" operator="lessThan" id="{5F803023-C5CB-4541-9CE7-DD50986ED6C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P2138</xm:sqref>
        </x14:conditionalFormatting>
        <x14:conditionalFormatting xmlns:xm="http://schemas.microsoft.com/office/excel/2006/main">
          <x14:cfRule type="cellIs" priority="271" operator="lessThan" id="{D16D836C-11F4-4351-B7AD-AAF22FD112A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N2138</xm:sqref>
        </x14:conditionalFormatting>
        <x14:conditionalFormatting xmlns:xm="http://schemas.microsoft.com/office/excel/2006/main">
          <x14:cfRule type="cellIs" priority="270" operator="lessThan" id="{FED02E39-4556-4D7D-BCAD-E64F352AC58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N2138</xm:sqref>
        </x14:conditionalFormatting>
        <x14:conditionalFormatting xmlns:xm="http://schemas.microsoft.com/office/excel/2006/main">
          <x14:cfRule type="cellIs" priority="269" operator="lessThan" id="{B69D59D7-0369-451F-8929-7FFC69C2436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P2139</xm:sqref>
        </x14:conditionalFormatting>
        <x14:conditionalFormatting xmlns:xm="http://schemas.microsoft.com/office/excel/2006/main">
          <x14:cfRule type="cellIs" priority="268" operator="lessThan" id="{CA05F190-276E-41E9-AE0F-2A819C26085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N2139</xm:sqref>
        </x14:conditionalFormatting>
        <x14:conditionalFormatting xmlns:xm="http://schemas.microsoft.com/office/excel/2006/main">
          <x14:cfRule type="cellIs" priority="267" operator="lessThan" id="{368469C3-F3ED-4BF4-98CA-5788C6D2F5E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N2139</xm:sqref>
        </x14:conditionalFormatting>
        <x14:conditionalFormatting xmlns:xm="http://schemas.microsoft.com/office/excel/2006/main">
          <x14:cfRule type="cellIs" priority="266" operator="lessThan" id="{5B09AB22-BD67-4D07-AD6F-1931BF78716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P2140</xm:sqref>
        </x14:conditionalFormatting>
        <x14:conditionalFormatting xmlns:xm="http://schemas.microsoft.com/office/excel/2006/main">
          <x14:cfRule type="cellIs" priority="265" operator="lessThan" id="{F0E5F1E3-ACF9-4DF4-97D6-A7D84E1F96B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N2140</xm:sqref>
        </x14:conditionalFormatting>
        <x14:conditionalFormatting xmlns:xm="http://schemas.microsoft.com/office/excel/2006/main">
          <x14:cfRule type="cellIs" priority="264" operator="lessThan" id="{C7933084-1D6B-457D-B511-51B8BAF9B9B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N2140</xm:sqref>
        </x14:conditionalFormatting>
        <x14:conditionalFormatting xmlns:xm="http://schemas.microsoft.com/office/excel/2006/main">
          <x14:cfRule type="cellIs" priority="263" operator="lessThan" id="{A9F7552E-402E-41D1-9EBB-486CABF0AAB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P2141</xm:sqref>
        </x14:conditionalFormatting>
        <x14:conditionalFormatting xmlns:xm="http://schemas.microsoft.com/office/excel/2006/main">
          <x14:cfRule type="cellIs" priority="262" operator="lessThan" id="{1598FDA3-68E5-4DAC-9249-671AF83112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N2141</xm:sqref>
        </x14:conditionalFormatting>
        <x14:conditionalFormatting xmlns:xm="http://schemas.microsoft.com/office/excel/2006/main">
          <x14:cfRule type="cellIs" priority="261" operator="lessThan" id="{E5852BF3-2B4E-475E-942C-4A884C7CFB9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N2141</xm:sqref>
        </x14:conditionalFormatting>
        <x14:conditionalFormatting xmlns:xm="http://schemas.microsoft.com/office/excel/2006/main">
          <x14:cfRule type="cellIs" priority="260" operator="lessThan" id="{3734B0D5-9AE5-436D-995F-167C1D7521E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P2142</xm:sqref>
        </x14:conditionalFormatting>
        <x14:conditionalFormatting xmlns:xm="http://schemas.microsoft.com/office/excel/2006/main">
          <x14:cfRule type="cellIs" priority="259" operator="lessThan" id="{F16DC38A-3B64-4E03-9AE0-2BE8B15109F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N2142</xm:sqref>
        </x14:conditionalFormatting>
        <x14:conditionalFormatting xmlns:xm="http://schemas.microsoft.com/office/excel/2006/main">
          <x14:cfRule type="cellIs" priority="258" operator="lessThan" id="{F17170CC-96AF-4968-9525-217C696D01D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P2142 N2142</xm:sqref>
        </x14:conditionalFormatting>
        <x14:conditionalFormatting xmlns:xm="http://schemas.microsoft.com/office/excel/2006/main">
          <x14:cfRule type="cellIs" priority="257" operator="lessThan" id="{36B84D8B-D555-46DC-8F8E-1D06170C695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P2142</xm:sqref>
        </x14:conditionalFormatting>
        <x14:conditionalFormatting xmlns:xm="http://schemas.microsoft.com/office/excel/2006/main">
          <x14:cfRule type="cellIs" priority="256" operator="lessThan" id="{1737E880-94FA-4A4A-AFDD-7A9388E2293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N2143</xm:sqref>
        </x14:conditionalFormatting>
        <x14:conditionalFormatting xmlns:xm="http://schemas.microsoft.com/office/excel/2006/main">
          <x14:cfRule type="cellIs" priority="255" operator="lessThan" id="{B3352465-0A90-4FFE-BCF6-0E6B2294ADA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N2143</xm:sqref>
        </x14:conditionalFormatting>
        <x14:conditionalFormatting xmlns:xm="http://schemas.microsoft.com/office/excel/2006/main">
          <x14:cfRule type="cellIs" priority="254" operator="lessThan" id="{8863ADF2-38D2-416E-9873-0BF3A533776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P2143</xm:sqref>
        </x14:conditionalFormatting>
        <x14:conditionalFormatting xmlns:xm="http://schemas.microsoft.com/office/excel/2006/main">
          <x14:cfRule type="cellIs" priority="253" operator="lessThan" id="{404A94EC-48DA-4CA2-A4AB-97A08A0C691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N2144</xm:sqref>
        </x14:conditionalFormatting>
        <x14:conditionalFormatting xmlns:xm="http://schemas.microsoft.com/office/excel/2006/main">
          <x14:cfRule type="cellIs" priority="252" operator="lessThan" id="{85BC9D49-67F6-4E82-9D12-F7655E74A47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N2144</xm:sqref>
        </x14:conditionalFormatting>
        <x14:conditionalFormatting xmlns:xm="http://schemas.microsoft.com/office/excel/2006/main">
          <x14:cfRule type="cellIs" priority="251" operator="lessThan" id="{9CCADB6D-53E7-4F98-A23C-BDC0E70CBFE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P2144</xm:sqref>
        </x14:conditionalFormatting>
        <x14:conditionalFormatting xmlns:xm="http://schemas.microsoft.com/office/excel/2006/main">
          <x14:cfRule type="cellIs" priority="250" operator="lessThan" id="{89492845-CA34-4338-9FC1-16B00D5628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P2144</xm:sqref>
        </x14:conditionalFormatting>
        <x14:conditionalFormatting xmlns:xm="http://schemas.microsoft.com/office/excel/2006/main">
          <x14:cfRule type="cellIs" priority="249" operator="lessThan" id="{39A87919-8E05-4444-B303-BFDE702CE76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P2144</xm:sqref>
        </x14:conditionalFormatting>
        <x14:conditionalFormatting xmlns:xm="http://schemas.microsoft.com/office/excel/2006/main">
          <x14:cfRule type="cellIs" priority="248" operator="lessThan" id="{0EE60469-E655-41C6-B34C-8EE27D7E2E4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N2145</xm:sqref>
        </x14:conditionalFormatting>
        <x14:conditionalFormatting xmlns:xm="http://schemas.microsoft.com/office/excel/2006/main">
          <x14:cfRule type="cellIs" priority="247" operator="lessThan" id="{B6BA04F7-AA1D-4D83-81EC-660088BA8F1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N2145</xm:sqref>
        </x14:conditionalFormatting>
        <x14:conditionalFormatting xmlns:xm="http://schemas.microsoft.com/office/excel/2006/main">
          <x14:cfRule type="cellIs" priority="246" operator="lessThan" id="{D4E8808C-A663-48C1-ABE4-A8E9DDD3DF6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P2145</xm:sqref>
        </x14:conditionalFormatting>
        <x14:conditionalFormatting xmlns:xm="http://schemas.microsoft.com/office/excel/2006/main">
          <x14:cfRule type="cellIs" priority="245" operator="lessThan" id="{11E3514A-6654-4E6E-8636-54C28D53FE8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P2145</xm:sqref>
        </x14:conditionalFormatting>
        <x14:conditionalFormatting xmlns:xm="http://schemas.microsoft.com/office/excel/2006/main">
          <x14:cfRule type="cellIs" priority="244" operator="lessThan" id="{7507615E-774D-4E3C-980F-F9E2FD3CFB1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P2145</xm:sqref>
        </x14:conditionalFormatting>
        <x14:conditionalFormatting xmlns:xm="http://schemas.microsoft.com/office/excel/2006/main">
          <x14:cfRule type="cellIs" priority="243" operator="lessThan" id="{D6B74D34-40B7-45A2-9745-3D71A78EB66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P2146</xm:sqref>
        </x14:conditionalFormatting>
        <x14:conditionalFormatting xmlns:xm="http://schemas.microsoft.com/office/excel/2006/main">
          <x14:cfRule type="cellIs" priority="242" operator="lessThan" id="{7E16CFB5-9C12-4000-83EB-75FF4B4074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P2147</xm:sqref>
        </x14:conditionalFormatting>
        <x14:conditionalFormatting xmlns:xm="http://schemas.microsoft.com/office/excel/2006/main">
          <x14:cfRule type="cellIs" priority="241" operator="lessThan" id="{E72DE3A6-9820-446E-B617-4F0261E0A00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N2147</xm:sqref>
        </x14:conditionalFormatting>
        <x14:conditionalFormatting xmlns:xm="http://schemas.microsoft.com/office/excel/2006/main">
          <x14:cfRule type="cellIs" priority="240" operator="lessThan" id="{BC646848-FD60-403D-A223-33CC88B1070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N2147</xm:sqref>
        </x14:conditionalFormatting>
        <x14:conditionalFormatting xmlns:xm="http://schemas.microsoft.com/office/excel/2006/main">
          <x14:cfRule type="cellIs" priority="239" operator="lessThan" id="{3994C9ED-04A4-4E0E-9101-BA83D26423A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P2148</xm:sqref>
        </x14:conditionalFormatting>
        <x14:conditionalFormatting xmlns:xm="http://schemas.microsoft.com/office/excel/2006/main">
          <x14:cfRule type="cellIs" priority="238" operator="lessThan" id="{0CE62942-351F-4D49-8A4B-21447831B89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N2148</xm:sqref>
        </x14:conditionalFormatting>
        <x14:conditionalFormatting xmlns:xm="http://schemas.microsoft.com/office/excel/2006/main">
          <x14:cfRule type="cellIs" priority="237" operator="lessThan" id="{F64076D6-DC0A-4D84-AE89-0074CEE3A2D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N2148</xm:sqref>
        </x14:conditionalFormatting>
        <x14:conditionalFormatting xmlns:xm="http://schemas.microsoft.com/office/excel/2006/main">
          <x14:cfRule type="cellIs" priority="236" operator="lessThan" id="{351B52B9-93D4-446A-B571-E44D8D7DC44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P2149</xm:sqref>
        </x14:conditionalFormatting>
        <x14:conditionalFormatting xmlns:xm="http://schemas.microsoft.com/office/excel/2006/main">
          <x14:cfRule type="cellIs" priority="235" operator="lessThan" id="{FC11BF3F-D30A-4773-AAED-FD2DA7613C0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N2149</xm:sqref>
        </x14:conditionalFormatting>
        <x14:conditionalFormatting xmlns:xm="http://schemas.microsoft.com/office/excel/2006/main">
          <x14:cfRule type="cellIs" priority="234" operator="lessThan" id="{305AD701-8FB0-4613-B399-4BBC20CDA7E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N2149 P2149</xm:sqref>
        </x14:conditionalFormatting>
        <x14:conditionalFormatting xmlns:xm="http://schemas.microsoft.com/office/excel/2006/main">
          <x14:cfRule type="cellIs" priority="233" operator="lessThan" id="{BEBD2349-BA81-452D-829D-8D3C5BD493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P2149</xm:sqref>
        </x14:conditionalFormatting>
        <x14:conditionalFormatting xmlns:xm="http://schemas.microsoft.com/office/excel/2006/main">
          <x14:cfRule type="cellIs" priority="232" operator="lessThan" id="{8CA09DE4-DC1F-45C8-82A2-49F034BB753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P2150</xm:sqref>
        </x14:conditionalFormatting>
        <x14:conditionalFormatting xmlns:xm="http://schemas.microsoft.com/office/excel/2006/main">
          <x14:cfRule type="cellIs" priority="231" operator="lessThan" id="{A1633FB6-0264-4270-A158-08FC05175E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N2150</xm:sqref>
        </x14:conditionalFormatting>
        <x14:conditionalFormatting xmlns:xm="http://schemas.microsoft.com/office/excel/2006/main">
          <x14:cfRule type="cellIs" priority="230" operator="lessThan" id="{70244F51-9F32-4FE9-9D93-EDED9633730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N2150 P2150</xm:sqref>
        </x14:conditionalFormatting>
        <x14:conditionalFormatting xmlns:xm="http://schemas.microsoft.com/office/excel/2006/main">
          <x14:cfRule type="cellIs" priority="229" operator="lessThan" id="{1E07B9A1-D041-4BB7-B91C-40ABC7D114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P2150</xm:sqref>
        </x14:conditionalFormatting>
        <x14:conditionalFormatting xmlns:xm="http://schemas.microsoft.com/office/excel/2006/main">
          <x14:cfRule type="cellIs" priority="228" operator="lessThan" id="{CF7FF197-1B8C-4D2E-A011-BD71E5E594D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N2151</xm:sqref>
        </x14:conditionalFormatting>
        <x14:conditionalFormatting xmlns:xm="http://schemas.microsoft.com/office/excel/2006/main">
          <x14:cfRule type="cellIs" priority="227" operator="lessThan" id="{27906A73-DA94-4383-9852-C4C8BAE70D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P2151</xm:sqref>
        </x14:conditionalFormatting>
        <x14:conditionalFormatting xmlns:xm="http://schemas.microsoft.com/office/excel/2006/main">
          <x14:cfRule type="cellIs" priority="223" operator="lessThan" id="{A4BFC1D5-0AB5-49D8-8225-D166CB33027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P2166:P2168</xm:sqref>
        </x14:conditionalFormatting>
        <x14:conditionalFormatting xmlns:xm="http://schemas.microsoft.com/office/excel/2006/main">
          <x14:cfRule type="cellIs" priority="222" operator="lessThan" id="{36813E90-D137-4FEA-A7B3-6B514C1A892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N2152:N2158</xm:sqref>
        </x14:conditionalFormatting>
        <x14:conditionalFormatting xmlns:xm="http://schemas.microsoft.com/office/excel/2006/main">
          <x14:cfRule type="cellIs" priority="221" operator="lessThan" id="{E3D97B10-CA1C-4895-825F-8B768732426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P2152</xm:sqref>
        </x14:conditionalFormatting>
        <x14:conditionalFormatting xmlns:xm="http://schemas.microsoft.com/office/excel/2006/main">
          <x14:cfRule type="cellIs" priority="220" operator="lessThan" id="{C3047E15-B74C-4D12-89FC-C5F5CEF1EED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P2153</xm:sqref>
        </x14:conditionalFormatting>
        <x14:conditionalFormatting xmlns:xm="http://schemas.microsoft.com/office/excel/2006/main">
          <x14:cfRule type="cellIs" priority="219" operator="lessThan" id="{3E8C8328-F87B-4773-A118-04184217B8A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P2154</xm:sqref>
        </x14:conditionalFormatting>
        <x14:conditionalFormatting xmlns:xm="http://schemas.microsoft.com/office/excel/2006/main">
          <x14:cfRule type="cellIs" priority="218" operator="lessThan" id="{12BC72F3-81D7-40C7-AF53-486D68A45E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P2155:P2158</xm:sqref>
        </x14:conditionalFormatting>
        <x14:conditionalFormatting xmlns:xm="http://schemas.microsoft.com/office/excel/2006/main">
          <x14:cfRule type="cellIs" priority="217" operator="lessThan" id="{C2F89DBC-9E66-4AF1-9F0E-C7A34CE9128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P2159:P2164</xm:sqref>
        </x14:conditionalFormatting>
        <x14:conditionalFormatting xmlns:xm="http://schemas.microsoft.com/office/excel/2006/main">
          <x14:cfRule type="cellIs" priority="216" operator="lessThan" id="{EA5E0887-FC0C-46EA-B9C4-68719F38525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P2165</xm:sqref>
        </x14:conditionalFormatting>
        <x14:conditionalFormatting xmlns:xm="http://schemas.microsoft.com/office/excel/2006/main">
          <x14:cfRule type="cellIs" priority="215" operator="lessThan" id="{78B2E691-1496-48E9-BFA1-9D5AFCD1663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P2169</xm:sqref>
        </x14:conditionalFormatting>
        <x14:conditionalFormatting xmlns:xm="http://schemas.microsoft.com/office/excel/2006/main">
          <x14:cfRule type="cellIs" priority="214" operator="lessThan" id="{FF3186D5-0D25-4CAE-AB2F-CD14BA2A134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N2169</xm:sqref>
        </x14:conditionalFormatting>
        <x14:conditionalFormatting xmlns:xm="http://schemas.microsoft.com/office/excel/2006/main">
          <x14:cfRule type="cellIs" priority="213" operator="lessThan" id="{26290837-DEA1-4DD6-9803-AFB15AFC955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P2169 N2169</xm:sqref>
        </x14:conditionalFormatting>
        <x14:conditionalFormatting xmlns:xm="http://schemas.microsoft.com/office/excel/2006/main">
          <x14:cfRule type="cellIs" priority="212" operator="lessThan" id="{783BBF48-57D5-4DF5-B308-7B06EBA1237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P2169</xm:sqref>
        </x14:conditionalFormatting>
        <x14:conditionalFormatting xmlns:xm="http://schemas.microsoft.com/office/excel/2006/main">
          <x14:cfRule type="cellIs" priority="211" operator="lessThan" id="{3FBB2346-6A13-4798-8FFE-9FF587629FB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P2170</xm:sqref>
        </x14:conditionalFormatting>
        <x14:conditionalFormatting xmlns:xm="http://schemas.microsoft.com/office/excel/2006/main">
          <x14:cfRule type="cellIs" priority="210" operator="lessThan" id="{EF31D5C5-F4E9-4552-97A9-B11328EE5E3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N2170</xm:sqref>
        </x14:conditionalFormatting>
        <x14:conditionalFormatting xmlns:xm="http://schemas.microsoft.com/office/excel/2006/main">
          <x14:cfRule type="cellIs" priority="209" operator="lessThan" id="{41B9BB2E-59D9-4F72-8A99-F7C8C0FDA3F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P2170 N2170</xm:sqref>
        </x14:conditionalFormatting>
        <x14:conditionalFormatting xmlns:xm="http://schemas.microsoft.com/office/excel/2006/main">
          <x14:cfRule type="cellIs" priority="208" operator="lessThan" id="{5B9DD6EC-EE82-48A4-AA0A-7C835209FCB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P2170</xm:sqref>
        </x14:conditionalFormatting>
        <x14:conditionalFormatting xmlns:xm="http://schemas.microsoft.com/office/excel/2006/main">
          <x14:cfRule type="cellIs" priority="207" operator="lessThan" id="{F8E1178C-9487-4F6C-B2EA-9AB84EDBBC6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P2171</xm:sqref>
        </x14:conditionalFormatting>
        <x14:conditionalFormatting xmlns:xm="http://schemas.microsoft.com/office/excel/2006/main">
          <x14:cfRule type="cellIs" priority="206" operator="lessThan" id="{BC919643-353F-4BDC-BAA5-4590B65DFD0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N2171</xm:sqref>
        </x14:conditionalFormatting>
        <x14:conditionalFormatting xmlns:xm="http://schemas.microsoft.com/office/excel/2006/main">
          <x14:cfRule type="cellIs" priority="205" operator="lessThan" id="{37736879-8901-40F1-8C70-6F7271BF445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N2171 P2171</xm:sqref>
        </x14:conditionalFormatting>
        <x14:conditionalFormatting xmlns:xm="http://schemas.microsoft.com/office/excel/2006/main">
          <x14:cfRule type="cellIs" priority="204" operator="lessThan" id="{F2ECECA5-6DB0-4C78-9FE5-8F23276E551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P2171</xm:sqref>
        </x14:conditionalFormatting>
        <x14:conditionalFormatting xmlns:xm="http://schemas.microsoft.com/office/excel/2006/main">
          <x14:cfRule type="cellIs" priority="203" operator="lessThan" id="{1D1E516B-AD61-41B9-8A6F-610C7A79A9D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P2172</xm:sqref>
        </x14:conditionalFormatting>
        <x14:conditionalFormatting xmlns:xm="http://schemas.microsoft.com/office/excel/2006/main">
          <x14:cfRule type="cellIs" priority="202" operator="lessThan" id="{9AEFCC2D-1733-45F6-97C9-4E9B0AE17DF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P2173</xm:sqref>
        </x14:conditionalFormatting>
        <x14:conditionalFormatting xmlns:xm="http://schemas.microsoft.com/office/excel/2006/main">
          <x14:cfRule type="cellIs" priority="201" operator="lessThan" id="{33C64DB2-405F-401D-9B8E-4825283CCA3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P2174</xm:sqref>
        </x14:conditionalFormatting>
        <x14:conditionalFormatting xmlns:xm="http://schemas.microsoft.com/office/excel/2006/main">
          <x14:cfRule type="cellIs" priority="200" operator="lessThan" id="{96B44F63-03EF-4D3B-AE2C-1A318B3BE88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P2175</xm:sqref>
        </x14:conditionalFormatting>
        <x14:conditionalFormatting xmlns:xm="http://schemas.microsoft.com/office/excel/2006/main">
          <x14:cfRule type="cellIs" priority="199" operator="lessThan" id="{3CE9C83A-7E4C-4F4C-8024-A8A7067D485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N2175</xm:sqref>
        </x14:conditionalFormatting>
        <x14:conditionalFormatting xmlns:xm="http://schemas.microsoft.com/office/excel/2006/main">
          <x14:cfRule type="cellIs" priority="198" operator="lessThan" id="{A88FC74C-88EB-4B51-912D-A705047A69E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N2175 P2175</xm:sqref>
        </x14:conditionalFormatting>
        <x14:conditionalFormatting xmlns:xm="http://schemas.microsoft.com/office/excel/2006/main">
          <x14:cfRule type="cellIs" priority="197" operator="lessThan" id="{BFEA55D4-76B3-4953-B950-A483A26765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P2175</xm:sqref>
        </x14:conditionalFormatting>
        <x14:conditionalFormatting xmlns:xm="http://schemas.microsoft.com/office/excel/2006/main">
          <x14:cfRule type="cellIs" priority="196" operator="lessThan" id="{3273448A-639D-4B3B-A2D4-8492537D936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P2178</xm:sqref>
        </x14:conditionalFormatting>
        <x14:conditionalFormatting xmlns:xm="http://schemas.microsoft.com/office/excel/2006/main">
          <x14:cfRule type="cellIs" priority="195" operator="lessThan" id="{90B456B6-E547-462B-BCEA-5188690D6D9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P2177</xm:sqref>
        </x14:conditionalFormatting>
        <x14:conditionalFormatting xmlns:xm="http://schemas.microsoft.com/office/excel/2006/main">
          <x14:cfRule type="cellIs" priority="194" operator="lessThan" id="{D72EA39F-9B9A-4030-A7A7-42E14DA55AE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P2176</xm:sqref>
        </x14:conditionalFormatting>
        <x14:conditionalFormatting xmlns:xm="http://schemas.microsoft.com/office/excel/2006/main">
          <x14:cfRule type="cellIs" priority="193" operator="lessThan" id="{AB483F05-FC65-40BF-9D6A-260467B354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P2179</xm:sqref>
        </x14:conditionalFormatting>
        <x14:conditionalFormatting xmlns:xm="http://schemas.microsoft.com/office/excel/2006/main">
          <x14:cfRule type="cellIs" priority="192" operator="lessThan" id="{FD19170A-8181-4F45-BA2E-7FE5414DDDC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N2179</xm:sqref>
        </x14:conditionalFormatting>
        <x14:conditionalFormatting xmlns:xm="http://schemas.microsoft.com/office/excel/2006/main">
          <x14:cfRule type="cellIs" priority="191" operator="lessThan" id="{733A0A6E-396F-44D5-B489-E9326D999FF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P2179 N2179</xm:sqref>
        </x14:conditionalFormatting>
        <x14:conditionalFormatting xmlns:xm="http://schemas.microsoft.com/office/excel/2006/main">
          <x14:cfRule type="cellIs" priority="190" operator="lessThan" id="{B44DA384-4733-41E4-B99E-C3D8444BE6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P2179</xm:sqref>
        </x14:conditionalFormatting>
        <x14:conditionalFormatting xmlns:xm="http://schemas.microsoft.com/office/excel/2006/main">
          <x14:cfRule type="cellIs" priority="189" operator="lessThan" id="{B736B46B-2E72-4EB0-BDDB-F2180FC333C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P2180</xm:sqref>
        </x14:conditionalFormatting>
        <x14:conditionalFormatting xmlns:xm="http://schemas.microsoft.com/office/excel/2006/main">
          <x14:cfRule type="cellIs" priority="188" operator="lessThan" id="{4D8762A1-1072-48D8-878E-066927AF6DD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P2180</xm:sqref>
        </x14:conditionalFormatting>
        <x14:conditionalFormatting xmlns:xm="http://schemas.microsoft.com/office/excel/2006/main">
          <x14:cfRule type="cellIs" priority="187" operator="lessThan" id="{5C8F76E1-E6B4-493D-A670-61C8E3728CB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P2180</xm:sqref>
        </x14:conditionalFormatting>
        <x14:conditionalFormatting xmlns:xm="http://schemas.microsoft.com/office/excel/2006/main">
          <x14:cfRule type="cellIs" priority="186" operator="lessThan" id="{48BA69A6-049D-44B3-B154-CA48E2FA837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N2180</xm:sqref>
        </x14:conditionalFormatting>
        <x14:conditionalFormatting xmlns:xm="http://schemas.microsoft.com/office/excel/2006/main">
          <x14:cfRule type="cellIs" priority="185" operator="lessThan" id="{2C9B8D33-D435-4D3E-996E-AAA70B1626B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N2180</xm:sqref>
        </x14:conditionalFormatting>
        <x14:conditionalFormatting xmlns:xm="http://schemas.microsoft.com/office/excel/2006/main">
          <x14:cfRule type="cellIs" priority="184" operator="lessThan" id="{2615D7E9-2EAB-4C8D-9FFD-20333E4D977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P2182</xm:sqref>
        </x14:conditionalFormatting>
        <x14:conditionalFormatting xmlns:xm="http://schemas.microsoft.com/office/excel/2006/main">
          <x14:cfRule type="cellIs" priority="183" operator="lessThan" id="{19CA7DC2-E95C-44C5-952D-FEB1DF19EC3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P2183</xm:sqref>
        </x14:conditionalFormatting>
        <x14:conditionalFormatting xmlns:xm="http://schemas.microsoft.com/office/excel/2006/main">
          <x14:cfRule type="cellIs" priority="182" operator="lessThan" id="{664C1E16-DC88-4A84-9F4D-CC8409C1926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N2183</xm:sqref>
        </x14:conditionalFormatting>
        <x14:conditionalFormatting xmlns:xm="http://schemas.microsoft.com/office/excel/2006/main">
          <x14:cfRule type="cellIs" priority="181" operator="lessThan" id="{00E3DF23-D76D-47FA-BF7C-011924F3331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N2183</xm:sqref>
        </x14:conditionalFormatting>
        <x14:conditionalFormatting xmlns:xm="http://schemas.microsoft.com/office/excel/2006/main">
          <x14:cfRule type="cellIs" priority="180" operator="lessThan" id="{8A36CB25-1EB0-469E-BC6A-CA5D234FCF9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P2186</xm:sqref>
        </x14:conditionalFormatting>
        <x14:conditionalFormatting xmlns:xm="http://schemas.microsoft.com/office/excel/2006/main">
          <x14:cfRule type="cellIs" priority="179" operator="lessThan" id="{87C72B89-673C-4EE4-B89A-8BC37AA6AD9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N2188</xm:sqref>
        </x14:conditionalFormatting>
        <x14:conditionalFormatting xmlns:xm="http://schemas.microsoft.com/office/excel/2006/main">
          <x14:cfRule type="cellIs" priority="178" operator="lessThan" id="{AABA5F92-350A-4D41-A26D-A59D1897FC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P2188</xm:sqref>
        </x14:conditionalFormatting>
        <x14:conditionalFormatting xmlns:xm="http://schemas.microsoft.com/office/excel/2006/main">
          <x14:cfRule type="cellIs" priority="177" operator="lessThan" id="{09ED0B07-11BE-4411-8DD8-C640E4617E7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P2185</xm:sqref>
        </x14:conditionalFormatting>
        <x14:conditionalFormatting xmlns:xm="http://schemas.microsoft.com/office/excel/2006/main">
          <x14:cfRule type="cellIs" priority="176" operator="lessThan" id="{93A414B3-E2D9-4C1C-85E8-33AE672BCA6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N2185</xm:sqref>
        </x14:conditionalFormatting>
        <x14:conditionalFormatting xmlns:xm="http://schemas.microsoft.com/office/excel/2006/main">
          <x14:cfRule type="cellIs" priority="175" operator="lessThan" id="{DDC15FCA-75AD-4DBC-90CA-3DDE2998192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N2185</xm:sqref>
        </x14:conditionalFormatting>
        <x14:conditionalFormatting xmlns:xm="http://schemas.microsoft.com/office/excel/2006/main">
          <x14:cfRule type="cellIs" priority="174" operator="lessThan" id="{BAD5EB58-8196-4982-BF7F-00C3ABF8A38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N2184</xm:sqref>
        </x14:conditionalFormatting>
        <x14:conditionalFormatting xmlns:xm="http://schemas.microsoft.com/office/excel/2006/main">
          <x14:cfRule type="cellIs" priority="173" operator="lessThan" id="{AFA0F81D-E095-45FF-81CB-A00BC2DA33E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N2184</xm:sqref>
        </x14:conditionalFormatting>
        <x14:conditionalFormatting xmlns:xm="http://schemas.microsoft.com/office/excel/2006/main">
          <x14:cfRule type="cellIs" priority="172" operator="lessThan" id="{23324F7E-22CC-4996-9C97-7EA40CEBFE8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P2187</xm:sqref>
        </x14:conditionalFormatting>
        <x14:conditionalFormatting xmlns:xm="http://schemas.microsoft.com/office/excel/2006/main">
          <x14:cfRule type="cellIs" priority="171" operator="lessThan" id="{3ABF114D-22A6-441F-96CA-A0D68AD4E55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P2189</xm:sqref>
        </x14:conditionalFormatting>
        <x14:conditionalFormatting xmlns:xm="http://schemas.microsoft.com/office/excel/2006/main">
          <x14:cfRule type="cellIs" priority="170" operator="lessThan" id="{5B7CB852-7B9C-48A0-9044-712CB65CA7E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N2189</xm:sqref>
        </x14:conditionalFormatting>
        <x14:conditionalFormatting xmlns:xm="http://schemas.microsoft.com/office/excel/2006/main">
          <x14:cfRule type="cellIs" priority="169" operator="lessThan" id="{35E9F3CE-899F-40A0-A6ED-36C7DEC505B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N2189</xm:sqref>
        </x14:conditionalFormatting>
        <x14:conditionalFormatting xmlns:xm="http://schemas.microsoft.com/office/excel/2006/main">
          <x14:cfRule type="cellIs" priority="168" operator="lessThan" id="{012D8F96-BBAD-46B9-AC46-6283393F032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P2190</xm:sqref>
        </x14:conditionalFormatting>
        <x14:conditionalFormatting xmlns:xm="http://schemas.microsoft.com/office/excel/2006/main">
          <x14:cfRule type="cellIs" priority="167" operator="lessThan" id="{B0EEAF25-7A1B-4926-BED4-E83601CB70E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N2190</xm:sqref>
        </x14:conditionalFormatting>
        <x14:conditionalFormatting xmlns:xm="http://schemas.microsoft.com/office/excel/2006/main">
          <x14:cfRule type="cellIs" priority="166" operator="lessThan" id="{86107244-608A-4640-98C7-0AEF32FDAB9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N2190</xm:sqref>
        </x14:conditionalFormatting>
        <x14:conditionalFormatting xmlns:xm="http://schemas.microsoft.com/office/excel/2006/main">
          <x14:cfRule type="cellIs" priority="165" operator="lessThan" id="{AF01125F-B9DB-452A-8025-F57333FA61A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N2191</xm:sqref>
        </x14:conditionalFormatting>
        <x14:conditionalFormatting xmlns:xm="http://schemas.microsoft.com/office/excel/2006/main">
          <x14:cfRule type="cellIs" priority="164" operator="lessThan" id="{5D8D436F-A34C-4961-9751-9D30BB0684F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N2191</xm:sqref>
        </x14:conditionalFormatting>
        <x14:conditionalFormatting xmlns:xm="http://schemas.microsoft.com/office/excel/2006/main">
          <x14:cfRule type="cellIs" priority="163" operator="lessThan" id="{0E87E6CB-B93F-4F94-B99A-C549CE73C3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N2192</xm:sqref>
        </x14:conditionalFormatting>
        <x14:conditionalFormatting xmlns:xm="http://schemas.microsoft.com/office/excel/2006/main">
          <x14:cfRule type="cellIs" priority="162" operator="lessThan" id="{7B6E7C85-D1BA-434A-814A-F8D14F32794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N2192</xm:sqref>
        </x14:conditionalFormatting>
        <x14:conditionalFormatting xmlns:xm="http://schemas.microsoft.com/office/excel/2006/main">
          <x14:cfRule type="cellIs" priority="161" operator="lessThan" id="{1637B874-29BC-4ECC-A52F-6742C1D5351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P2192</xm:sqref>
        </x14:conditionalFormatting>
        <x14:conditionalFormatting xmlns:xm="http://schemas.microsoft.com/office/excel/2006/main">
          <x14:cfRule type="cellIs" priority="160" operator="lessThan" id="{9A6A6684-5EEA-4C39-BF53-8B77613B7C8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P2192</xm:sqref>
        </x14:conditionalFormatting>
        <x14:conditionalFormatting xmlns:xm="http://schemas.microsoft.com/office/excel/2006/main">
          <x14:cfRule type="cellIs" priority="159" operator="lessThan" id="{BF2B110A-625F-425C-B862-6CC073D1357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P2192</xm:sqref>
        </x14:conditionalFormatting>
        <x14:conditionalFormatting xmlns:xm="http://schemas.microsoft.com/office/excel/2006/main">
          <x14:cfRule type="cellIs" priority="158" operator="lessThan" id="{94064CF9-928B-4CD1-AEC6-DBDB5AC37BC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N2193</xm:sqref>
        </x14:conditionalFormatting>
        <x14:conditionalFormatting xmlns:xm="http://schemas.microsoft.com/office/excel/2006/main">
          <x14:cfRule type="cellIs" priority="157" operator="lessThan" id="{B964BBEE-40C7-4B4A-BE52-177E88F5ECD0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N2193</xm:sqref>
        </x14:conditionalFormatting>
        <x14:conditionalFormatting xmlns:xm="http://schemas.microsoft.com/office/excel/2006/main">
          <x14:cfRule type="cellIs" priority="156" operator="lessThan" id="{85BAF0C8-82FB-46B7-8618-278E33520F5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N2195</xm:sqref>
        </x14:conditionalFormatting>
        <x14:conditionalFormatting xmlns:xm="http://schemas.microsoft.com/office/excel/2006/main">
          <x14:cfRule type="cellIs" priority="155" operator="lessThan" id="{B50FB2D4-EC89-4EC1-B19A-5E70805904A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N2195</xm:sqref>
        </x14:conditionalFormatting>
        <x14:conditionalFormatting xmlns:xm="http://schemas.microsoft.com/office/excel/2006/main">
          <x14:cfRule type="cellIs" priority="154" operator="lessThan" id="{C164E347-EEAD-4C13-A05E-3E0B3237DA4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P2196</xm:sqref>
        </x14:conditionalFormatting>
        <x14:conditionalFormatting xmlns:xm="http://schemas.microsoft.com/office/excel/2006/main">
          <x14:cfRule type="cellIs" priority="153" operator="lessThan" id="{B4C0CAB6-6FA9-43EC-9B8A-D95132BB779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N2197</xm:sqref>
        </x14:conditionalFormatting>
        <x14:conditionalFormatting xmlns:xm="http://schemas.microsoft.com/office/excel/2006/main">
          <x14:cfRule type="cellIs" priority="152" operator="lessThan" id="{C3062E58-F27D-4D33-A074-FCCA93580EE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N2197</xm:sqref>
        </x14:conditionalFormatting>
        <x14:conditionalFormatting xmlns:xm="http://schemas.microsoft.com/office/excel/2006/main">
          <x14:cfRule type="cellIs" priority="151" operator="lessThan" id="{E75BC79F-0CE1-45F3-BF5E-5D6C3061F9F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P2197</xm:sqref>
        </x14:conditionalFormatting>
        <x14:conditionalFormatting xmlns:xm="http://schemas.microsoft.com/office/excel/2006/main">
          <x14:cfRule type="cellIs" priority="150" operator="lessThan" id="{0477A8F4-28BC-4C54-AF5F-116831C9F9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P2198</xm:sqref>
        </x14:conditionalFormatting>
        <x14:conditionalFormatting xmlns:xm="http://schemas.microsoft.com/office/excel/2006/main">
          <x14:cfRule type="cellIs" priority="149" operator="lessThan" id="{C7BAF0F6-016E-415C-8E7D-33ACF3BC33D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N2198</xm:sqref>
        </x14:conditionalFormatting>
        <x14:conditionalFormatting xmlns:xm="http://schemas.microsoft.com/office/excel/2006/main">
          <x14:cfRule type="cellIs" priority="148" operator="lessThan" id="{1862ADEF-7C56-4CAB-8B31-54CC51351B3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N2198</xm:sqref>
        </x14:conditionalFormatting>
        <x14:conditionalFormatting xmlns:xm="http://schemas.microsoft.com/office/excel/2006/main">
          <x14:cfRule type="cellIs" priority="147" operator="lessThan" id="{CC04723B-2A74-44ED-9DE8-D13DC7FFE4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P2199</xm:sqref>
        </x14:conditionalFormatting>
        <x14:conditionalFormatting xmlns:xm="http://schemas.microsoft.com/office/excel/2006/main">
          <x14:cfRule type="cellIs" priority="146" operator="lessThan" id="{787C900F-ACFC-4960-96A3-C06D0CA61EB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P2200</xm:sqref>
        </x14:conditionalFormatting>
        <x14:conditionalFormatting xmlns:xm="http://schemas.microsoft.com/office/excel/2006/main">
          <x14:cfRule type="cellIs" priority="145" operator="lessThan" id="{4104E131-5319-4ECE-8D5E-8D487AE5D2C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P2201</xm:sqref>
        </x14:conditionalFormatting>
        <x14:conditionalFormatting xmlns:xm="http://schemas.microsoft.com/office/excel/2006/main">
          <x14:cfRule type="cellIs" priority="144" operator="lessThan" id="{91F3161E-CB33-4786-A625-F000F20C233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P2202</xm:sqref>
        </x14:conditionalFormatting>
        <x14:conditionalFormatting xmlns:xm="http://schemas.microsoft.com/office/excel/2006/main">
          <x14:cfRule type="cellIs" priority="143" operator="lessThan" id="{A9534535-46A8-433A-B9D2-79737769E28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P2203</xm:sqref>
        </x14:conditionalFormatting>
        <x14:conditionalFormatting xmlns:xm="http://schemas.microsoft.com/office/excel/2006/main">
          <x14:cfRule type="cellIs" priority="142" operator="lessThan" id="{47B23A1C-516D-40DF-98BE-D6904A7D1E5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P2204</xm:sqref>
        </x14:conditionalFormatting>
        <x14:conditionalFormatting xmlns:xm="http://schemas.microsoft.com/office/excel/2006/main">
          <x14:cfRule type="cellIs" priority="141" operator="lessThan" id="{F69E016E-19B3-4D8E-BBA9-9BFE14B33D8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P2205</xm:sqref>
        </x14:conditionalFormatting>
        <x14:conditionalFormatting xmlns:xm="http://schemas.microsoft.com/office/excel/2006/main">
          <x14:cfRule type="cellIs" priority="140" operator="lessThan" id="{E7D2532E-8E4D-4CEB-B128-4D461266F9C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N2205</xm:sqref>
        </x14:conditionalFormatting>
        <x14:conditionalFormatting xmlns:xm="http://schemas.microsoft.com/office/excel/2006/main">
          <x14:cfRule type="cellIs" priority="139" operator="lessThan" id="{6F6F0A77-9AA2-4940-ABA4-E526B8A0FE7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N2205 P2205</xm:sqref>
        </x14:conditionalFormatting>
        <x14:conditionalFormatting xmlns:xm="http://schemas.microsoft.com/office/excel/2006/main">
          <x14:cfRule type="cellIs" priority="138" operator="lessThan" id="{0FFD9922-7E47-47AC-BC5C-360667AA28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P2205</xm:sqref>
        </x14:conditionalFormatting>
        <x14:conditionalFormatting xmlns:xm="http://schemas.microsoft.com/office/excel/2006/main">
          <x14:cfRule type="cellIs" priority="137" operator="lessThan" id="{4973CC86-0C63-4E63-BF16-A8F6FFAFB52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P2207</xm:sqref>
        </x14:conditionalFormatting>
        <x14:conditionalFormatting xmlns:xm="http://schemas.microsoft.com/office/excel/2006/main">
          <x14:cfRule type="cellIs" priority="136" operator="lessThan" id="{22B781BD-8734-4335-8481-4765ABC019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N2207</xm:sqref>
        </x14:conditionalFormatting>
        <x14:conditionalFormatting xmlns:xm="http://schemas.microsoft.com/office/excel/2006/main">
          <x14:cfRule type="cellIs" priority="135" operator="lessThan" id="{9B20B39F-F494-44DF-A1B9-CB46D365D7A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N2207 P2207</xm:sqref>
        </x14:conditionalFormatting>
        <x14:conditionalFormatting xmlns:xm="http://schemas.microsoft.com/office/excel/2006/main">
          <x14:cfRule type="cellIs" priority="134" operator="lessThan" id="{7A2016EB-5082-45AA-8B62-3BD9C0402D5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P2207</xm:sqref>
        </x14:conditionalFormatting>
        <x14:conditionalFormatting xmlns:xm="http://schemas.microsoft.com/office/excel/2006/main">
          <x14:cfRule type="cellIs" priority="133" operator="lessThan" id="{52D4930A-E175-435B-9BFE-0E5E86D39CD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P2206</xm:sqref>
        </x14:conditionalFormatting>
        <x14:conditionalFormatting xmlns:xm="http://schemas.microsoft.com/office/excel/2006/main">
          <x14:cfRule type="cellIs" priority="132" operator="lessThan" id="{26A04625-BACE-4D98-915C-A6649CFD430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N2206</xm:sqref>
        </x14:conditionalFormatting>
        <x14:conditionalFormatting xmlns:xm="http://schemas.microsoft.com/office/excel/2006/main">
          <x14:cfRule type="cellIs" priority="131" operator="lessThan" id="{49C2A4DC-1C3C-49E5-B369-EFA7A1A24B0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N2206 P2206</xm:sqref>
        </x14:conditionalFormatting>
        <x14:conditionalFormatting xmlns:xm="http://schemas.microsoft.com/office/excel/2006/main">
          <x14:cfRule type="cellIs" priority="130" operator="lessThan" id="{3DC6F25B-8F3D-49A0-BAD0-59974CB5A71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P2206</xm:sqref>
        </x14:conditionalFormatting>
        <x14:conditionalFormatting xmlns:xm="http://schemas.microsoft.com/office/excel/2006/main">
          <x14:cfRule type="cellIs" priority="129" operator="lessThan" id="{7A5D4CBE-4F33-4B7E-B961-5841F8FDA5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P2208</xm:sqref>
        </x14:conditionalFormatting>
        <x14:conditionalFormatting xmlns:xm="http://schemas.microsoft.com/office/excel/2006/main">
          <x14:cfRule type="cellIs" priority="128" operator="lessThan" id="{C1F57209-FDDE-4033-97D0-2CEA7067690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N2208</xm:sqref>
        </x14:conditionalFormatting>
        <x14:conditionalFormatting xmlns:xm="http://schemas.microsoft.com/office/excel/2006/main">
          <x14:cfRule type="cellIs" priority="127" operator="lessThan" id="{140D6C18-170F-4021-BD85-5948D21B4E0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N2208</xm:sqref>
        </x14:conditionalFormatting>
        <x14:conditionalFormatting xmlns:xm="http://schemas.microsoft.com/office/excel/2006/main">
          <x14:cfRule type="cellIs" priority="126" operator="lessThan" id="{09FD5291-F30A-4472-9013-1CCE79A7FD4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P2209</xm:sqref>
        </x14:conditionalFormatting>
        <x14:conditionalFormatting xmlns:xm="http://schemas.microsoft.com/office/excel/2006/main">
          <x14:cfRule type="cellIs" priority="125" operator="lessThan" id="{A8A2B59E-3C26-4196-B7F9-44E98EF685D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N2209</xm:sqref>
        </x14:conditionalFormatting>
        <x14:conditionalFormatting xmlns:xm="http://schemas.microsoft.com/office/excel/2006/main">
          <x14:cfRule type="cellIs" priority="124" operator="lessThan" id="{BADF85BC-DB2F-42AD-9288-5B3CA58952E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N2209</xm:sqref>
        </x14:conditionalFormatting>
        <x14:conditionalFormatting xmlns:xm="http://schemas.microsoft.com/office/excel/2006/main">
          <x14:cfRule type="cellIs" priority="123" operator="lessThan" id="{59243A0A-7E47-4F1C-ABA5-BDF1F248989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N2210</xm:sqref>
        </x14:conditionalFormatting>
        <x14:conditionalFormatting xmlns:xm="http://schemas.microsoft.com/office/excel/2006/main">
          <x14:cfRule type="cellIs" priority="122" operator="lessThan" id="{2503515C-42AA-4AE3-B1D8-94AFC8480AD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N2210</xm:sqref>
        </x14:conditionalFormatting>
        <x14:conditionalFormatting xmlns:xm="http://schemas.microsoft.com/office/excel/2006/main">
          <x14:cfRule type="cellIs" priority="121" operator="lessThan" id="{9E423AC3-28CF-4A2F-BBED-C86FD076B57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N2211</xm:sqref>
        </x14:conditionalFormatting>
        <x14:conditionalFormatting xmlns:xm="http://schemas.microsoft.com/office/excel/2006/main">
          <x14:cfRule type="cellIs" priority="120" operator="lessThan" id="{C8C33B1A-1860-465A-A501-351ADAE5C1B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N2211</xm:sqref>
        </x14:conditionalFormatting>
        <x14:conditionalFormatting xmlns:xm="http://schemas.microsoft.com/office/excel/2006/main">
          <x14:cfRule type="cellIs" priority="119" operator="lessThan" id="{3628FC23-3720-424B-85E8-826C3CAE93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N2212</xm:sqref>
        </x14:conditionalFormatting>
        <x14:conditionalFormatting xmlns:xm="http://schemas.microsoft.com/office/excel/2006/main">
          <x14:cfRule type="cellIs" priority="118" operator="lessThan" id="{26FB1A1A-3B3D-4F82-A302-952014D40F82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N2212</xm:sqref>
        </x14:conditionalFormatting>
        <x14:conditionalFormatting xmlns:xm="http://schemas.microsoft.com/office/excel/2006/main">
          <x14:cfRule type="cellIs" priority="117" operator="lessThan" id="{69FFAC06-441F-4466-AA56-BD1CDDCC73D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N2213</xm:sqref>
        </x14:conditionalFormatting>
        <x14:conditionalFormatting xmlns:xm="http://schemas.microsoft.com/office/excel/2006/main">
          <x14:cfRule type="cellIs" priority="116" operator="lessThan" id="{7DD37A4F-C793-4C1F-92C7-70EC1B0FE25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N2213</xm:sqref>
        </x14:conditionalFormatting>
        <x14:conditionalFormatting xmlns:xm="http://schemas.microsoft.com/office/excel/2006/main">
          <x14:cfRule type="cellIs" priority="115" operator="lessThan" id="{9C065CB6-AEDC-4C4F-911A-8C15282E20C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N2214</xm:sqref>
        </x14:conditionalFormatting>
        <x14:conditionalFormatting xmlns:xm="http://schemas.microsoft.com/office/excel/2006/main">
          <x14:cfRule type="cellIs" priority="114" operator="lessThan" id="{E87D81F1-E179-4E6A-BAD2-E9A492C7CD0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N2214</xm:sqref>
        </x14:conditionalFormatting>
        <x14:conditionalFormatting xmlns:xm="http://schemas.microsoft.com/office/excel/2006/main">
          <x14:cfRule type="cellIs" priority="113" operator="lessThan" id="{75AEF1EB-E53F-40E4-8F5A-C946F5F3502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N2215</xm:sqref>
        </x14:conditionalFormatting>
        <x14:conditionalFormatting xmlns:xm="http://schemas.microsoft.com/office/excel/2006/main">
          <x14:cfRule type="cellIs" priority="112" operator="lessThan" id="{E7280432-FC95-4CC7-ABB5-14F3111C059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N2215</xm:sqref>
        </x14:conditionalFormatting>
        <x14:conditionalFormatting xmlns:xm="http://schemas.microsoft.com/office/excel/2006/main">
          <x14:cfRule type="cellIs" priority="111" operator="lessThan" id="{0E749E58-E5FC-4274-AA5A-28710C14E07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N2216</xm:sqref>
        </x14:conditionalFormatting>
        <x14:conditionalFormatting xmlns:xm="http://schemas.microsoft.com/office/excel/2006/main">
          <x14:cfRule type="cellIs" priority="110" operator="lessThan" id="{FE71C576-DDF1-40C4-AABA-E9EB1124863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N2216</xm:sqref>
        </x14:conditionalFormatting>
        <x14:conditionalFormatting xmlns:xm="http://schemas.microsoft.com/office/excel/2006/main">
          <x14:cfRule type="cellIs" priority="109" operator="lessThan" id="{936D24AF-1C4E-4E2C-A67A-14F4FA61890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P2216</xm:sqref>
        </x14:conditionalFormatting>
        <x14:conditionalFormatting xmlns:xm="http://schemas.microsoft.com/office/excel/2006/main">
          <x14:cfRule type="cellIs" priority="108" operator="lessThan" id="{1B3E3ED8-2369-4956-B34C-A0536E8FC12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N2217</xm:sqref>
        </x14:conditionalFormatting>
        <x14:conditionalFormatting xmlns:xm="http://schemas.microsoft.com/office/excel/2006/main">
          <x14:cfRule type="cellIs" priority="107" operator="lessThan" id="{366AE0E9-32E5-47B4-A865-EE8061A4D8C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N2217</xm:sqref>
        </x14:conditionalFormatting>
        <x14:conditionalFormatting xmlns:xm="http://schemas.microsoft.com/office/excel/2006/main">
          <x14:cfRule type="cellIs" priority="106" operator="lessThan" id="{B29B69EB-525F-4B22-B33B-C8E38997B49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P2217</xm:sqref>
        </x14:conditionalFormatting>
        <x14:conditionalFormatting xmlns:xm="http://schemas.microsoft.com/office/excel/2006/main">
          <x14:cfRule type="cellIs" priority="105" operator="lessThan" id="{4493CEB9-0ABF-4A1E-8E58-9F44A9501AD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P2218</xm:sqref>
        </x14:conditionalFormatting>
        <x14:conditionalFormatting xmlns:xm="http://schemas.microsoft.com/office/excel/2006/main">
          <x14:cfRule type="cellIs" priority="104" operator="lessThan" id="{E370D460-C653-4F7A-A4EF-92420575C32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P2219</xm:sqref>
        </x14:conditionalFormatting>
        <x14:conditionalFormatting xmlns:xm="http://schemas.microsoft.com/office/excel/2006/main">
          <x14:cfRule type="cellIs" priority="103" operator="lessThan" id="{47BA3BB3-E088-4177-8AAC-0F4E38D3071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N2221</xm:sqref>
        </x14:conditionalFormatting>
        <x14:conditionalFormatting xmlns:xm="http://schemas.microsoft.com/office/excel/2006/main">
          <x14:cfRule type="cellIs" priority="102" operator="lessThan" id="{C60061AE-8411-46FB-905B-D8BAE8EEB77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N2221</xm:sqref>
        </x14:conditionalFormatting>
        <x14:conditionalFormatting xmlns:xm="http://schemas.microsoft.com/office/excel/2006/main">
          <x14:cfRule type="cellIs" priority="101" operator="lessThan" id="{6AD2D2A7-6A51-4ECB-A6DC-F077C6719BB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P2221</xm:sqref>
        </x14:conditionalFormatting>
        <x14:conditionalFormatting xmlns:xm="http://schemas.microsoft.com/office/excel/2006/main">
          <x14:cfRule type="cellIs" priority="100" operator="lessThan" id="{53271304-F73E-434E-A80D-199C25EE715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N2220</xm:sqref>
        </x14:conditionalFormatting>
        <x14:conditionalFormatting xmlns:xm="http://schemas.microsoft.com/office/excel/2006/main">
          <x14:cfRule type="cellIs" priority="99" operator="lessThan" id="{D2EA35AE-CE0F-4159-8E8E-AE4A2EDC6D3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N2220</xm:sqref>
        </x14:conditionalFormatting>
        <x14:conditionalFormatting xmlns:xm="http://schemas.microsoft.com/office/excel/2006/main">
          <x14:cfRule type="cellIs" priority="98" operator="lessThan" id="{9BEF48DF-5258-49EF-B8E7-58D8EA96998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P2220</xm:sqref>
        </x14:conditionalFormatting>
        <x14:conditionalFormatting xmlns:xm="http://schemas.microsoft.com/office/excel/2006/main">
          <x14:cfRule type="cellIs" priority="97" operator="lessThan" id="{C121C6E3-B585-4D92-9789-D534982C7EF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P2222</xm:sqref>
        </x14:conditionalFormatting>
        <x14:conditionalFormatting xmlns:xm="http://schemas.microsoft.com/office/excel/2006/main">
          <x14:cfRule type="cellIs" priority="96" operator="lessThan" id="{04560E98-ACEB-42B5-8E22-63A8F845C3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N2222</xm:sqref>
        </x14:conditionalFormatting>
        <x14:conditionalFormatting xmlns:xm="http://schemas.microsoft.com/office/excel/2006/main">
          <x14:cfRule type="cellIs" priority="95" operator="lessThan" id="{0BD33021-CC59-47EA-8050-BA487D295DF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N2222</xm:sqref>
        </x14:conditionalFormatting>
        <x14:conditionalFormatting xmlns:xm="http://schemas.microsoft.com/office/excel/2006/main">
          <x14:cfRule type="cellIs" priority="94" operator="lessThan" id="{E266C269-DD0F-4C79-AA6A-0F4475F624A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P2223</xm:sqref>
        </x14:conditionalFormatting>
        <x14:conditionalFormatting xmlns:xm="http://schemas.microsoft.com/office/excel/2006/main">
          <x14:cfRule type="cellIs" priority="93" operator="lessThan" id="{FB273F12-E1D7-40C7-8CD3-3456DC2E094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N2223</xm:sqref>
        </x14:conditionalFormatting>
        <x14:conditionalFormatting xmlns:xm="http://schemas.microsoft.com/office/excel/2006/main">
          <x14:cfRule type="cellIs" priority="92" operator="lessThan" id="{F618027B-4AAD-40EC-A446-BFE4A9E3DA8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N2223</xm:sqref>
        </x14:conditionalFormatting>
        <x14:conditionalFormatting xmlns:xm="http://schemas.microsoft.com/office/excel/2006/main">
          <x14:cfRule type="cellIs" priority="91" operator="lessThan" id="{D5199462-5223-4878-9DCA-FEECFCC81B1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P2224</xm:sqref>
        </x14:conditionalFormatting>
        <x14:conditionalFormatting xmlns:xm="http://schemas.microsoft.com/office/excel/2006/main">
          <x14:cfRule type="cellIs" priority="90" operator="lessThan" id="{A6B77309-9814-44CA-9C98-AC71C23BFE2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P2225</xm:sqref>
        </x14:conditionalFormatting>
        <x14:conditionalFormatting xmlns:xm="http://schemas.microsoft.com/office/excel/2006/main">
          <x14:cfRule type="cellIs" priority="89" operator="lessThan" id="{A07FB28C-2AFF-41BE-BB15-5056520222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P2226</xm:sqref>
        </x14:conditionalFormatting>
        <x14:conditionalFormatting xmlns:xm="http://schemas.microsoft.com/office/excel/2006/main">
          <x14:cfRule type="cellIs" priority="88" operator="lessThan" id="{B6C8D81C-0A84-4CFE-8E8D-B729C065F4F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P2227</xm:sqref>
        </x14:conditionalFormatting>
        <x14:conditionalFormatting xmlns:xm="http://schemas.microsoft.com/office/excel/2006/main">
          <x14:cfRule type="cellIs" priority="87" operator="lessThan" id="{2CF73F84-4832-4302-B935-36AFC4E476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N2227</xm:sqref>
        </x14:conditionalFormatting>
        <x14:conditionalFormatting xmlns:xm="http://schemas.microsoft.com/office/excel/2006/main">
          <x14:cfRule type="cellIs" priority="86" operator="lessThan" id="{57919810-92F9-41C4-98B7-00EE180A897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N2227</xm:sqref>
        </x14:conditionalFormatting>
        <x14:conditionalFormatting xmlns:xm="http://schemas.microsoft.com/office/excel/2006/main">
          <x14:cfRule type="cellIs" priority="85" operator="lessThan" id="{D98DE256-EBD5-4670-9C15-12FC5EDDEE4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P2228</xm:sqref>
        </x14:conditionalFormatting>
        <x14:conditionalFormatting xmlns:xm="http://schemas.microsoft.com/office/excel/2006/main">
          <x14:cfRule type="cellIs" priority="84" operator="lessThan" id="{DC0B90F4-F622-4A47-8F3B-385CC63001E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N2228</xm:sqref>
        </x14:conditionalFormatting>
        <x14:conditionalFormatting xmlns:xm="http://schemas.microsoft.com/office/excel/2006/main">
          <x14:cfRule type="cellIs" priority="83" operator="lessThan" id="{C98048E5-741F-4392-B4D9-7D352533520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N2228</xm:sqref>
        </x14:conditionalFormatting>
        <x14:conditionalFormatting xmlns:xm="http://schemas.microsoft.com/office/excel/2006/main">
          <x14:cfRule type="cellIs" priority="82" operator="lessThan" id="{D27D584B-FCB6-4317-9404-65B76692B3C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P2229</xm:sqref>
        </x14:conditionalFormatting>
        <x14:conditionalFormatting xmlns:xm="http://schemas.microsoft.com/office/excel/2006/main">
          <x14:cfRule type="cellIs" priority="81" operator="lessThan" id="{295D11EA-D7B4-44F1-9F13-B56B79690B7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P2230</xm:sqref>
        </x14:conditionalFormatting>
        <x14:conditionalFormatting xmlns:xm="http://schemas.microsoft.com/office/excel/2006/main">
          <x14:cfRule type="cellIs" priority="80" operator="lessThan" id="{57CE5A8D-04AE-45A2-B847-ABF52E2AA0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N2230</xm:sqref>
        </x14:conditionalFormatting>
        <x14:conditionalFormatting xmlns:xm="http://schemas.microsoft.com/office/excel/2006/main">
          <x14:cfRule type="cellIs" priority="79" operator="lessThan" id="{70072ADF-3931-4BBA-9868-3C7888D1684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N2230</xm:sqref>
        </x14:conditionalFormatting>
        <x14:conditionalFormatting xmlns:xm="http://schemas.microsoft.com/office/excel/2006/main">
          <x14:cfRule type="cellIs" priority="78" operator="lessThan" id="{CAB527C1-E3F4-49F9-B4CA-733C35128F6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P2236</xm:sqref>
        </x14:conditionalFormatting>
        <x14:conditionalFormatting xmlns:xm="http://schemas.microsoft.com/office/excel/2006/main">
          <x14:cfRule type="cellIs" priority="77" operator="lessThan" id="{3969374B-7C95-479D-8701-D37D6400CA1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P2231</xm:sqref>
        </x14:conditionalFormatting>
        <x14:conditionalFormatting xmlns:xm="http://schemas.microsoft.com/office/excel/2006/main">
          <x14:cfRule type="cellIs" priority="76" operator="lessThan" id="{7936C361-6AD3-4D4F-82AF-ECD8355FF01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P2232</xm:sqref>
        </x14:conditionalFormatting>
        <x14:conditionalFormatting xmlns:xm="http://schemas.microsoft.com/office/excel/2006/main">
          <x14:cfRule type="cellIs" priority="75" operator="lessThan" id="{98FC31A9-2770-4054-9670-CED9E9AF96D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P2233</xm:sqref>
        </x14:conditionalFormatting>
        <x14:conditionalFormatting xmlns:xm="http://schemas.microsoft.com/office/excel/2006/main">
          <x14:cfRule type="cellIs" priority="74" operator="lessThan" id="{EB591492-DA52-4F78-B14A-A962B6C8E3F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P2234</xm:sqref>
        </x14:conditionalFormatting>
        <x14:conditionalFormatting xmlns:xm="http://schemas.microsoft.com/office/excel/2006/main">
          <x14:cfRule type="cellIs" priority="73" operator="lessThan" id="{D4A2114C-344D-4C43-9AC8-045FD247CB0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P2235</xm:sqref>
        </x14:conditionalFormatting>
        <x14:conditionalFormatting xmlns:xm="http://schemas.microsoft.com/office/excel/2006/main">
          <x14:cfRule type="cellIs" priority="72" operator="lessThan" id="{492D69FB-2719-4404-A744-34D8FA789E1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P2237</xm:sqref>
        </x14:conditionalFormatting>
        <x14:conditionalFormatting xmlns:xm="http://schemas.microsoft.com/office/excel/2006/main">
          <x14:cfRule type="cellIs" priority="71" operator="lessThan" id="{03FA07AB-85E9-4412-A437-DBFB7CC2C84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P2238</xm:sqref>
        </x14:conditionalFormatting>
        <x14:conditionalFormatting xmlns:xm="http://schemas.microsoft.com/office/excel/2006/main">
          <x14:cfRule type="cellIs" priority="70" operator="lessThan" id="{F2FD0292-F081-406C-9DFC-521DDC7A7E1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P2239</xm:sqref>
        </x14:conditionalFormatting>
        <x14:conditionalFormatting xmlns:xm="http://schemas.microsoft.com/office/excel/2006/main">
          <x14:cfRule type="cellIs" priority="69" operator="lessThan" id="{5D450186-E3AF-4810-A7EB-AFE1E7CFCB3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P2240</xm:sqref>
        </x14:conditionalFormatting>
        <x14:conditionalFormatting xmlns:xm="http://schemas.microsoft.com/office/excel/2006/main">
          <x14:cfRule type="cellIs" priority="68" operator="lessThan" id="{B1C664B8-A187-4213-9C44-D6699A34C43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P2241</xm:sqref>
        </x14:conditionalFormatting>
        <x14:conditionalFormatting xmlns:xm="http://schemas.microsoft.com/office/excel/2006/main">
          <x14:cfRule type="cellIs" priority="67" operator="lessThan" id="{EE98EE32-80E5-4822-BD4E-AFBE27F7199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P2242</xm:sqref>
        </x14:conditionalFormatting>
        <x14:conditionalFormatting xmlns:xm="http://schemas.microsoft.com/office/excel/2006/main">
          <x14:cfRule type="cellIs" priority="66" operator="lessThan" id="{D91FF26B-E044-4F64-A34B-1BF924393D9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P2243</xm:sqref>
        </x14:conditionalFormatting>
        <x14:conditionalFormatting xmlns:xm="http://schemas.microsoft.com/office/excel/2006/main">
          <x14:cfRule type="cellIs" priority="65" operator="lessThan" id="{75674D16-8F30-4657-9F6F-225A78F8635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P2244</xm:sqref>
        </x14:conditionalFormatting>
        <x14:conditionalFormatting xmlns:xm="http://schemas.microsoft.com/office/excel/2006/main">
          <x14:cfRule type="cellIs" priority="64" operator="lessThan" id="{6B09F385-11B7-4630-86E3-138AFB02CBA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N2244</xm:sqref>
        </x14:conditionalFormatting>
        <x14:conditionalFormatting xmlns:xm="http://schemas.microsoft.com/office/excel/2006/main">
          <x14:cfRule type="cellIs" priority="63" operator="lessThan" id="{F8E95AD4-2B22-4E97-8DB9-4F0FEA664CA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N2244</xm:sqref>
        </x14:conditionalFormatting>
        <x14:conditionalFormatting xmlns:xm="http://schemas.microsoft.com/office/excel/2006/main">
          <x14:cfRule type="cellIs" priority="62" operator="lessThan" id="{28B797E5-CB0E-49AF-89EC-69DE2C00DA6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P2245</xm:sqref>
        </x14:conditionalFormatting>
        <x14:conditionalFormatting xmlns:xm="http://schemas.microsoft.com/office/excel/2006/main">
          <x14:cfRule type="cellIs" priority="61" operator="lessThan" id="{280D17B0-ED41-4E52-BE4F-13CAA1D4806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N2245</xm:sqref>
        </x14:conditionalFormatting>
        <x14:conditionalFormatting xmlns:xm="http://schemas.microsoft.com/office/excel/2006/main">
          <x14:cfRule type="cellIs" priority="60" operator="lessThan" id="{B9597DC7-A87F-438D-B53B-56B5C7FFCB9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N2245</xm:sqref>
        </x14:conditionalFormatting>
        <x14:conditionalFormatting xmlns:xm="http://schemas.microsoft.com/office/excel/2006/main">
          <x14:cfRule type="cellIs" priority="59" operator="lessThan" id="{30C845AE-5284-418A-BCB3-C51B23D86C5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P2246</xm:sqref>
        </x14:conditionalFormatting>
        <x14:conditionalFormatting xmlns:xm="http://schemas.microsoft.com/office/excel/2006/main">
          <x14:cfRule type="cellIs" priority="58" operator="lessThan" id="{488463C0-016E-477B-A823-B0CFEC2F160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N2246</xm:sqref>
        </x14:conditionalFormatting>
        <x14:conditionalFormatting xmlns:xm="http://schemas.microsoft.com/office/excel/2006/main">
          <x14:cfRule type="cellIs" priority="57" operator="lessThan" id="{AA1AF93C-6340-4DAA-B67B-D69163C2190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N2246</xm:sqref>
        </x14:conditionalFormatting>
        <x14:conditionalFormatting xmlns:xm="http://schemas.microsoft.com/office/excel/2006/main">
          <x14:cfRule type="cellIs" priority="56" operator="lessThan" id="{5058B5AC-AA1D-44FA-A89A-AABD83D18D0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P2247</xm:sqref>
        </x14:conditionalFormatting>
        <x14:conditionalFormatting xmlns:xm="http://schemas.microsoft.com/office/excel/2006/main">
          <x14:cfRule type="cellIs" priority="55" operator="lessThan" id="{9C6E8658-20FA-44E5-8369-B8AC86E39BE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N2247</xm:sqref>
        </x14:conditionalFormatting>
        <x14:conditionalFormatting xmlns:xm="http://schemas.microsoft.com/office/excel/2006/main">
          <x14:cfRule type="cellIs" priority="54" operator="lessThan" id="{DE9688DB-CA57-427A-9168-DCD75CA842F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N2247</xm:sqref>
        </x14:conditionalFormatting>
        <x14:conditionalFormatting xmlns:xm="http://schemas.microsoft.com/office/excel/2006/main">
          <x14:cfRule type="cellIs" priority="53" operator="lessThan" id="{B84D2952-8D9A-4A94-87C2-9B54F229173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P2248</xm:sqref>
        </x14:conditionalFormatting>
        <x14:conditionalFormatting xmlns:xm="http://schemas.microsoft.com/office/excel/2006/main">
          <x14:cfRule type="cellIs" priority="52" operator="lessThan" id="{A5A41DDC-20B7-4120-9EB2-0ECB386FDC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N2248</xm:sqref>
        </x14:conditionalFormatting>
        <x14:conditionalFormatting xmlns:xm="http://schemas.microsoft.com/office/excel/2006/main">
          <x14:cfRule type="cellIs" priority="51" operator="lessThan" id="{D80A4B95-E0BC-4E6A-B850-7541CFB5B90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N2248</xm:sqref>
        </x14:conditionalFormatting>
        <x14:conditionalFormatting xmlns:xm="http://schemas.microsoft.com/office/excel/2006/main">
          <x14:cfRule type="cellIs" priority="50" operator="lessThan" id="{2CEEB773-03B5-4121-A788-B440411D7BC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P2249</xm:sqref>
        </x14:conditionalFormatting>
        <x14:conditionalFormatting xmlns:xm="http://schemas.microsoft.com/office/excel/2006/main">
          <x14:cfRule type="cellIs" priority="49" operator="lessThan" id="{F949CBD1-C9CA-4AFB-B3E5-383B9A34E3C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P2250</xm:sqref>
        </x14:conditionalFormatting>
        <x14:conditionalFormatting xmlns:xm="http://schemas.microsoft.com/office/excel/2006/main">
          <x14:cfRule type="cellIs" priority="48" operator="lessThan" id="{FAB36BF4-BC82-4ABA-B295-08A360689F8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N2250</xm:sqref>
        </x14:conditionalFormatting>
        <x14:conditionalFormatting xmlns:xm="http://schemas.microsoft.com/office/excel/2006/main">
          <x14:cfRule type="cellIs" priority="47" operator="lessThan" id="{741354AC-82A8-4205-B1D5-63EDDA209BF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N2250 P2250</xm:sqref>
        </x14:conditionalFormatting>
        <x14:conditionalFormatting xmlns:xm="http://schemas.microsoft.com/office/excel/2006/main">
          <x14:cfRule type="cellIs" priority="46" operator="lessThan" id="{81976505-8181-4969-8CF3-4EB183D630A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P2250</xm:sqref>
        </x14:conditionalFormatting>
        <x14:conditionalFormatting xmlns:xm="http://schemas.microsoft.com/office/excel/2006/main">
          <x14:cfRule type="cellIs" priority="45" operator="lessThan" id="{600C083F-773D-417B-97C7-898B6E121E1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P2251</xm:sqref>
        </x14:conditionalFormatting>
        <x14:conditionalFormatting xmlns:xm="http://schemas.microsoft.com/office/excel/2006/main">
          <x14:cfRule type="cellIs" priority="44" operator="lessThan" id="{78A3CFBA-E7E9-4646-8246-B675755492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N2251</xm:sqref>
        </x14:conditionalFormatting>
        <x14:conditionalFormatting xmlns:xm="http://schemas.microsoft.com/office/excel/2006/main">
          <x14:cfRule type="cellIs" priority="43" operator="lessThan" id="{61E2A894-360E-4B45-9F11-81E4BB0BE77F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N2251</xm:sqref>
        </x14:conditionalFormatting>
        <x14:conditionalFormatting xmlns:xm="http://schemas.microsoft.com/office/excel/2006/main">
          <x14:cfRule type="cellIs" priority="42" operator="lessThan" id="{D09C8991-ED51-409B-B70C-2952E3D1C98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P2252</xm:sqref>
        </x14:conditionalFormatting>
        <x14:conditionalFormatting xmlns:xm="http://schemas.microsoft.com/office/excel/2006/main">
          <x14:cfRule type="cellIs" priority="41" operator="lessThan" id="{347944C6-570C-44AE-B1FD-B8648947C8F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N2252</xm:sqref>
        </x14:conditionalFormatting>
        <x14:conditionalFormatting xmlns:xm="http://schemas.microsoft.com/office/excel/2006/main">
          <x14:cfRule type="cellIs" priority="40" operator="lessThan" id="{EADA8AE6-D44C-454C-B80A-9B97C3B644D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N2252</xm:sqref>
        </x14:conditionalFormatting>
        <x14:conditionalFormatting xmlns:xm="http://schemas.microsoft.com/office/excel/2006/main">
          <x14:cfRule type="cellIs" priority="39" operator="lessThan" id="{4B3A1CB1-3DA8-4C8A-ACB0-866CEF3BF00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P2253</xm:sqref>
        </x14:conditionalFormatting>
        <x14:conditionalFormatting xmlns:xm="http://schemas.microsoft.com/office/excel/2006/main">
          <x14:cfRule type="cellIs" priority="38" operator="lessThan" id="{D05473D9-97B6-489D-8C47-77477192EF0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N2253</xm:sqref>
        </x14:conditionalFormatting>
        <x14:conditionalFormatting xmlns:xm="http://schemas.microsoft.com/office/excel/2006/main">
          <x14:cfRule type="cellIs" priority="37" operator="lessThan" id="{044AEEEE-7539-43DE-9068-BA846512641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N2253</xm:sqref>
        </x14:conditionalFormatting>
        <x14:conditionalFormatting xmlns:xm="http://schemas.microsoft.com/office/excel/2006/main">
          <x14:cfRule type="cellIs" priority="36" operator="lessThan" id="{43EF0CEE-9412-4138-AB93-F79DCDC7905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N2256</xm:sqref>
        </x14:conditionalFormatting>
        <x14:conditionalFormatting xmlns:xm="http://schemas.microsoft.com/office/excel/2006/main">
          <x14:cfRule type="cellIs" priority="35" operator="lessThan" id="{BA9165B1-C7C6-4811-ACF5-13A8BA34EF2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N2256</xm:sqref>
        </x14:conditionalFormatting>
        <x14:conditionalFormatting xmlns:xm="http://schemas.microsoft.com/office/excel/2006/main">
          <x14:cfRule type="cellIs" priority="34" operator="lessThan" id="{4ECC0A01-7C24-4F5E-862A-F216C60F099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N2257</xm:sqref>
        </x14:conditionalFormatting>
        <x14:conditionalFormatting xmlns:xm="http://schemas.microsoft.com/office/excel/2006/main">
          <x14:cfRule type="cellIs" priority="33" operator="lessThan" id="{2FE1FB26-A145-4754-AED4-E8C81C6AFF0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N2257</xm:sqref>
        </x14:conditionalFormatting>
        <x14:conditionalFormatting xmlns:xm="http://schemas.microsoft.com/office/excel/2006/main">
          <x14:cfRule type="cellIs" priority="32" operator="lessThan" id="{603C1C6D-BF54-4342-9C4F-B7BEF7D9016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N2254</xm:sqref>
        </x14:conditionalFormatting>
        <x14:conditionalFormatting xmlns:xm="http://schemas.microsoft.com/office/excel/2006/main">
          <x14:cfRule type="cellIs" priority="31" operator="lessThan" id="{CC45023C-7317-4E4C-BAF6-EDD2067D242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N2254</xm:sqref>
        </x14:conditionalFormatting>
        <x14:conditionalFormatting xmlns:xm="http://schemas.microsoft.com/office/excel/2006/main">
          <x14:cfRule type="cellIs" priority="30" operator="lessThan" id="{5CEDCEFE-6F88-4E3D-8B6D-61F69FFEF79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N2255</xm:sqref>
        </x14:conditionalFormatting>
        <x14:conditionalFormatting xmlns:xm="http://schemas.microsoft.com/office/excel/2006/main">
          <x14:cfRule type="cellIs" priority="29" operator="lessThan" id="{17EE13B2-9270-4F67-B439-75A846DE9FB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N2255</xm:sqref>
        </x14:conditionalFormatting>
        <x14:conditionalFormatting xmlns:xm="http://schemas.microsoft.com/office/excel/2006/main">
          <x14:cfRule type="cellIs" priority="28" operator="lessThan" id="{0FBBC2BF-5071-4A0F-87EC-348539F1474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P2255</xm:sqref>
        </x14:conditionalFormatting>
        <x14:conditionalFormatting xmlns:xm="http://schemas.microsoft.com/office/excel/2006/main">
          <x14:cfRule type="cellIs" priority="27" operator="lessThan" id="{2EAB8118-C8BC-429F-B7FE-344259D4F2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N2258</xm:sqref>
        </x14:conditionalFormatting>
        <x14:conditionalFormatting xmlns:xm="http://schemas.microsoft.com/office/excel/2006/main">
          <x14:cfRule type="cellIs" priority="26" operator="lessThan" id="{34C791D9-FB19-439A-A401-E3F3A3B41BB4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N2258</xm:sqref>
        </x14:conditionalFormatting>
        <x14:conditionalFormatting xmlns:xm="http://schemas.microsoft.com/office/excel/2006/main">
          <x14:cfRule type="cellIs" priority="25" operator="lessThan" id="{2078F384-19C7-4AF5-82E8-2A8E7AF54DC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N2259</xm:sqref>
        </x14:conditionalFormatting>
        <x14:conditionalFormatting xmlns:xm="http://schemas.microsoft.com/office/excel/2006/main">
          <x14:cfRule type="cellIs" priority="24" operator="lessThan" id="{8CBE3847-A81C-4218-84BD-B721A51DACA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N2259</xm:sqref>
        </x14:conditionalFormatting>
        <x14:conditionalFormatting xmlns:xm="http://schemas.microsoft.com/office/excel/2006/main">
          <x14:cfRule type="cellIs" priority="23" operator="lessThan" id="{F915759F-584F-4245-BEB9-C6CE1C0EB5A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P2259</xm:sqref>
        </x14:conditionalFormatting>
        <x14:conditionalFormatting xmlns:xm="http://schemas.microsoft.com/office/excel/2006/main">
          <x14:cfRule type="cellIs" priority="22" operator="lessThan" id="{DB1F81B8-4ADA-499F-B945-D8D9BC2A577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P2260</xm:sqref>
        </x14:conditionalFormatting>
        <x14:conditionalFormatting xmlns:xm="http://schemas.microsoft.com/office/excel/2006/main">
          <x14:cfRule type="cellIs" priority="21" operator="lessThan" id="{26476378-0EC2-4A91-B3AE-F4E6CAB5658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N2260</xm:sqref>
        </x14:conditionalFormatting>
        <x14:conditionalFormatting xmlns:xm="http://schemas.microsoft.com/office/excel/2006/main">
          <x14:cfRule type="cellIs" priority="20" operator="lessThan" id="{E842CB21-5755-47A8-B143-2D8A7B5A667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N2260</xm:sqref>
        </x14:conditionalFormatting>
        <x14:conditionalFormatting xmlns:xm="http://schemas.microsoft.com/office/excel/2006/main">
          <x14:cfRule type="cellIs" priority="19" operator="lessThan" id="{E55492E7-E05D-44DF-9FDF-E6F555725FF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P2261</xm:sqref>
        </x14:conditionalFormatting>
        <x14:conditionalFormatting xmlns:xm="http://schemas.microsoft.com/office/excel/2006/main">
          <x14:cfRule type="cellIs" priority="18" operator="lessThan" id="{909DB19C-81AA-4799-B92D-CDF9D5564C6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N2261</xm:sqref>
        </x14:conditionalFormatting>
        <x14:conditionalFormatting xmlns:xm="http://schemas.microsoft.com/office/excel/2006/main">
          <x14:cfRule type="cellIs" priority="17" operator="lessThan" id="{F8A1CEC6-CF0F-4DC4-B8B7-88CECABE773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N2261</xm:sqref>
        </x14:conditionalFormatting>
        <x14:conditionalFormatting xmlns:xm="http://schemas.microsoft.com/office/excel/2006/main">
          <x14:cfRule type="cellIs" priority="16" operator="lessThan" id="{37279E3B-4540-4412-BEDE-E3251DE227E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P2267</xm:sqref>
        </x14:conditionalFormatting>
        <x14:conditionalFormatting xmlns:xm="http://schemas.microsoft.com/office/excel/2006/main">
          <x14:cfRule type="cellIs" priority="15" operator="lessThan" id="{4D2A839D-04E7-4299-8EFC-F6F1F0FCE97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P2268</xm:sqref>
        </x14:conditionalFormatting>
        <x14:conditionalFormatting xmlns:xm="http://schemas.microsoft.com/office/excel/2006/main">
          <x14:cfRule type="cellIs" priority="14" operator="lessThan" id="{11864BC6-D8A2-478B-895C-1AF66D977C0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P2269</xm:sqref>
        </x14:conditionalFormatting>
        <x14:conditionalFormatting xmlns:xm="http://schemas.microsoft.com/office/excel/2006/main">
          <x14:cfRule type="cellIs" priority="13" operator="lessThan" id="{9A56D7F1-2969-4D8A-8DFE-615C6114910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P2275</xm:sqref>
        </x14:conditionalFormatting>
        <x14:conditionalFormatting xmlns:xm="http://schemas.microsoft.com/office/excel/2006/main">
          <x14:cfRule type="cellIs" priority="12" operator="lessThan" id="{7AD13625-E75D-47B1-B441-D89F8FF0281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P2270</xm:sqref>
        </x14:conditionalFormatting>
        <x14:conditionalFormatting xmlns:xm="http://schemas.microsoft.com/office/excel/2006/main">
          <x14:cfRule type="cellIs" priority="11" operator="lessThan" id="{400DA52A-3B33-4F5B-AE4B-7E261804552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P2271</xm:sqref>
        </x14:conditionalFormatting>
        <x14:conditionalFormatting xmlns:xm="http://schemas.microsoft.com/office/excel/2006/main">
          <x14:cfRule type="cellIs" priority="10" operator="lessThan" id="{389A0505-4E30-4E2B-BB3F-C03FBA3397D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P2272</xm:sqref>
        </x14:conditionalFormatting>
        <x14:conditionalFormatting xmlns:xm="http://schemas.microsoft.com/office/excel/2006/main">
          <x14:cfRule type="cellIs" priority="9" operator="lessThan" id="{B9927BA8-BDD4-4582-8AE0-74FDE58D82E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P2273</xm:sqref>
        </x14:conditionalFormatting>
        <x14:conditionalFormatting xmlns:xm="http://schemas.microsoft.com/office/excel/2006/main">
          <x14:cfRule type="cellIs" priority="8" operator="lessThan" id="{E4FB6320-C1FB-4FC0-A08C-0E76FFBA04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P2274</xm:sqref>
        </x14:conditionalFormatting>
        <x14:conditionalFormatting xmlns:xm="http://schemas.microsoft.com/office/excel/2006/main">
          <x14:cfRule type="cellIs" priority="7" operator="lessThan" id="{B9D5C92D-DFBC-456F-A12A-2AEC0F60ACE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P2276</xm:sqref>
        </x14:conditionalFormatting>
        <x14:conditionalFormatting xmlns:xm="http://schemas.microsoft.com/office/excel/2006/main">
          <x14:cfRule type="cellIs" priority="6" operator="lessThan" id="{7A162E6E-5DD1-4DB1-9E0A-C6DCDADC673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P2277</xm:sqref>
        </x14:conditionalFormatting>
        <x14:conditionalFormatting xmlns:xm="http://schemas.microsoft.com/office/excel/2006/main">
          <x14:cfRule type="cellIs" priority="5" operator="lessThan" id="{4DE0665E-8C45-4E6A-84D1-E41834A6720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P2262</xm:sqref>
        </x14:conditionalFormatting>
        <x14:conditionalFormatting xmlns:xm="http://schemas.microsoft.com/office/excel/2006/main">
          <x14:cfRule type="cellIs" priority="4" operator="lessThan" id="{45CC078B-ADCE-4560-BF10-540FCC232E4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P2263</xm:sqref>
        </x14:conditionalFormatting>
        <x14:conditionalFormatting xmlns:xm="http://schemas.microsoft.com/office/excel/2006/main">
          <x14:cfRule type="cellIs" priority="3" operator="lessThan" id="{043771A5-0E25-4056-B243-7B0C8B95AA0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P2264</xm:sqref>
        </x14:conditionalFormatting>
        <x14:conditionalFormatting xmlns:xm="http://schemas.microsoft.com/office/excel/2006/main">
          <x14:cfRule type="cellIs" priority="2" operator="lessThan" id="{B2C566E5-1C21-4A14-B4CC-73CCAF856E9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P2265</xm:sqref>
        </x14:conditionalFormatting>
        <x14:conditionalFormatting xmlns:xm="http://schemas.microsoft.com/office/excel/2006/main">
          <x14:cfRule type="cellIs" priority="1" operator="lessThan" id="{E114B371-0C6C-4F85-A1A1-19AD58FAF6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"/>
  <sheetViews>
    <sheetView workbookViewId="0">
      <selection activeCell="P13" sqref="P13"/>
    </sheetView>
  </sheetViews>
  <sheetFormatPr defaultRowHeight="15" x14ac:dyDescent="0.25"/>
  <cols>
    <col min="1" max="1" width="4.85546875" customWidth="1"/>
    <col min="2" max="2" width="11" customWidth="1"/>
    <col min="3" max="4" width="6.28515625" customWidth="1"/>
    <col min="5" max="5" width="11.85546875" customWidth="1"/>
    <col min="6" max="6" width="20" customWidth="1"/>
    <col min="7" max="7" width="13.5703125" customWidth="1"/>
    <col min="8" max="8" width="16.85546875" customWidth="1"/>
    <col min="9" max="9" width="12" customWidth="1"/>
    <col min="10" max="10" width="10.28515625" customWidth="1"/>
    <col min="11" max="11" width="10.140625" customWidth="1"/>
    <col min="12" max="12" width="11.28515625" customWidth="1"/>
    <col min="13" max="13" width="8" customWidth="1"/>
    <col min="14" max="14" width="9.140625" customWidth="1"/>
    <col min="16" max="16" width="15.7109375" customWidth="1"/>
    <col min="17" max="17" width="14.140625" style="307" customWidth="1"/>
    <col min="18" max="18" width="16.5703125" customWidth="1"/>
    <col min="19" max="19" width="10.42578125" bestFit="1" customWidth="1"/>
    <col min="20" max="20" width="10" bestFit="1" customWidth="1"/>
  </cols>
  <sheetData>
    <row r="1" spans="1:19" s="330" customFormat="1" x14ac:dyDescent="0.25">
      <c r="A1" s="156" t="s">
        <v>6</v>
      </c>
      <c r="B1" s="326" t="s">
        <v>0</v>
      </c>
      <c r="C1" s="326" t="s">
        <v>7</v>
      </c>
      <c r="D1" s="336" t="s">
        <v>604</v>
      </c>
      <c r="E1" s="327" t="s">
        <v>19</v>
      </c>
      <c r="F1" s="326" t="s">
        <v>3</v>
      </c>
      <c r="G1" s="326" t="s">
        <v>2</v>
      </c>
      <c r="H1" s="326" t="s">
        <v>372</v>
      </c>
      <c r="I1" s="326" t="s">
        <v>370</v>
      </c>
      <c r="J1" s="326" t="s">
        <v>1</v>
      </c>
      <c r="K1" s="328" t="s">
        <v>11</v>
      </c>
      <c r="L1" s="326" t="s">
        <v>4</v>
      </c>
      <c r="M1" s="329" t="s">
        <v>9</v>
      </c>
      <c r="N1" s="326" t="s">
        <v>10</v>
      </c>
      <c r="O1" s="326" t="s">
        <v>13</v>
      </c>
      <c r="P1" s="326" t="s">
        <v>12</v>
      </c>
      <c r="Q1" s="337" t="s">
        <v>5</v>
      </c>
      <c r="R1" s="326" t="s">
        <v>14</v>
      </c>
    </row>
    <row r="2" spans="1:19" s="1" customFormat="1" x14ac:dyDescent="0.25">
      <c r="A2" s="5">
        <v>272</v>
      </c>
      <c r="B2" s="204">
        <v>42817</v>
      </c>
      <c r="C2" s="5">
        <v>499</v>
      </c>
      <c r="D2" s="1">
        <v>127</v>
      </c>
      <c r="E2" s="1">
        <v>3000039564</v>
      </c>
      <c r="F2" s="1" t="s">
        <v>769</v>
      </c>
      <c r="G2" s="1" t="s">
        <v>913</v>
      </c>
      <c r="H2" s="1" t="s">
        <v>914</v>
      </c>
      <c r="I2" s="1">
        <v>9499740238</v>
      </c>
      <c r="J2" s="204">
        <v>42810</v>
      </c>
      <c r="K2" s="204">
        <v>42810</v>
      </c>
      <c r="L2" s="1" t="s">
        <v>772</v>
      </c>
      <c r="M2" s="1">
        <v>20.61</v>
      </c>
      <c r="N2" s="1">
        <v>20.58</v>
      </c>
      <c r="O2" s="1">
        <f>IF(N2&gt;M2,M2,N2)</f>
        <v>20.58</v>
      </c>
      <c r="P2" s="7">
        <f>+K2+15-1</f>
        <v>42824</v>
      </c>
      <c r="Q2" s="225">
        <v>1582848</v>
      </c>
      <c r="R2" s="305">
        <f>(+Q2/M2*O2)</f>
        <v>1580543.9999999998</v>
      </c>
      <c r="S2" s="314">
        <f>Q2-R2</f>
        <v>2304.0000000002328</v>
      </c>
    </row>
    <row r="3" spans="1:19" s="1" customFormat="1" x14ac:dyDescent="0.25">
      <c r="A3" s="5">
        <v>273</v>
      </c>
      <c r="B3" s="204">
        <v>42817</v>
      </c>
      <c r="C3" s="5">
        <v>499</v>
      </c>
      <c r="D3" s="1">
        <v>128</v>
      </c>
      <c r="E3" s="1">
        <v>3000036919</v>
      </c>
      <c r="F3" s="88" t="s">
        <v>144</v>
      </c>
      <c r="G3" s="1">
        <v>1944</v>
      </c>
      <c r="H3" s="1" t="s">
        <v>915</v>
      </c>
      <c r="I3" s="1">
        <v>9499740237</v>
      </c>
      <c r="J3" s="204">
        <v>42809</v>
      </c>
      <c r="K3" s="204">
        <v>42815</v>
      </c>
      <c r="L3" s="1" t="s">
        <v>61</v>
      </c>
      <c r="M3" s="1">
        <v>19.079999999999998</v>
      </c>
      <c r="N3" s="1">
        <v>19.059999999999999</v>
      </c>
      <c r="O3" s="1">
        <f>IF(N3&gt;M3,M3,N3)</f>
        <v>19.059999999999999</v>
      </c>
      <c r="P3" s="7">
        <f>+K3+20-1</f>
        <v>42834</v>
      </c>
      <c r="Q3" s="225">
        <v>1888943</v>
      </c>
      <c r="R3" s="305">
        <f>(+Q3/M3*O3)</f>
        <v>1886962.9758909852</v>
      </c>
      <c r="S3" s="314">
        <f>Q3-R3</f>
        <v>1980.0241090147756</v>
      </c>
    </row>
  </sheetData>
  <autoFilter ref="A1:R1"/>
  <sortState ref="A2:U13">
    <sortCondition ref="P2:P13"/>
  </sortState>
  <pageMargins left="0.70866141732283505" right="0.70866141732283505" top="0.74803149606299202" bottom="0.74803149606299202" header="0.31496062992126" footer="0.31496062992126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lessThan" id="{A9496EE5-E2AD-43AA-A8E1-86AF047E4FC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ellIs" priority="3" operator="lessThan" id="{D2DA7DAC-6B05-41A1-AA1A-8BB199201E6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ellIs" priority="2" operator="lessThan" id="{6ECC518A-A7BE-4E30-A230-C8114CE9577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1" operator="lessThan" id="{68DE5D03-D5AF-4F00-981B-583F7F7C7AB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9"/>
  <sheetViews>
    <sheetView workbookViewId="0">
      <pane ySplit="1" topLeftCell="A222" activePane="bottomLeft" state="frozen"/>
      <selection pane="bottomLeft" activeCell="F236" sqref="F236"/>
    </sheetView>
  </sheetViews>
  <sheetFormatPr defaultRowHeight="15" x14ac:dyDescent="0.25"/>
  <cols>
    <col min="1" max="1" width="6.42578125" customWidth="1"/>
    <col min="2" max="2" width="10" bestFit="1" customWidth="1"/>
    <col min="4" max="4" width="11" hidden="1" customWidth="1"/>
    <col min="5" max="5" width="13.28515625" hidden="1" customWidth="1"/>
    <col min="6" max="6" width="21.42578125" customWidth="1"/>
    <col min="7" max="7" width="11.85546875" customWidth="1"/>
    <col min="8" max="9" width="13.28515625" customWidth="1"/>
    <col min="10" max="10" width="15.7109375" customWidth="1"/>
    <col min="11" max="11" width="11.28515625" customWidth="1"/>
    <col min="12" max="12" width="11.28515625" bestFit="1" customWidth="1"/>
    <col min="14" max="14" width="12.42578125" customWidth="1"/>
    <col min="16" max="16" width="13.85546875" customWidth="1"/>
    <col min="17" max="17" width="13.28515625" bestFit="1" customWidth="1"/>
    <col min="18" max="18" width="13.7109375" customWidth="1"/>
    <col min="19" max="19" width="13.85546875" style="1" customWidth="1"/>
    <col min="20" max="20" width="14" style="1" bestFit="1" customWidth="1"/>
    <col min="21" max="21" width="12" customWidth="1"/>
  </cols>
  <sheetData>
    <row r="1" spans="1:21" s="330" customFormat="1" ht="15" customHeight="1" x14ac:dyDescent="0.25">
      <c r="A1" s="156" t="s">
        <v>6</v>
      </c>
      <c r="B1" s="326" t="s">
        <v>0</v>
      </c>
      <c r="C1" s="326" t="s">
        <v>7</v>
      </c>
      <c r="D1" s="326"/>
      <c r="E1" s="327" t="s">
        <v>19</v>
      </c>
      <c r="F1" s="326" t="s">
        <v>3</v>
      </c>
      <c r="G1" s="326" t="s">
        <v>2</v>
      </c>
      <c r="H1" s="326" t="s">
        <v>372</v>
      </c>
      <c r="I1" s="326" t="s">
        <v>370</v>
      </c>
      <c r="J1" s="326" t="s">
        <v>1</v>
      </c>
      <c r="K1" s="328" t="s">
        <v>11</v>
      </c>
      <c r="L1" s="326" t="s">
        <v>4</v>
      </c>
      <c r="M1" s="329" t="s">
        <v>9</v>
      </c>
      <c r="N1" s="326" t="s">
        <v>10</v>
      </c>
      <c r="O1" s="326" t="s">
        <v>13</v>
      </c>
      <c r="P1" s="326" t="s">
        <v>12</v>
      </c>
      <c r="Q1" s="326" t="s">
        <v>5</v>
      </c>
      <c r="R1" s="326" t="s">
        <v>14</v>
      </c>
      <c r="S1" s="9" t="s">
        <v>45</v>
      </c>
      <c r="T1" s="151" t="s">
        <v>21</v>
      </c>
    </row>
    <row r="2" spans="1:21" s="1" customFormat="1" x14ac:dyDescent="0.25">
      <c r="A2" s="1">
        <v>2</v>
      </c>
      <c r="B2" s="24">
        <v>42530</v>
      </c>
      <c r="C2" s="1">
        <v>499</v>
      </c>
      <c r="E2" s="1">
        <v>3000031126</v>
      </c>
      <c r="F2" s="1" t="s">
        <v>77</v>
      </c>
      <c r="G2" s="1">
        <v>31</v>
      </c>
      <c r="H2" s="25">
        <v>42519</v>
      </c>
      <c r="I2" s="25">
        <v>42524</v>
      </c>
      <c r="J2" s="1" t="s">
        <v>61</v>
      </c>
      <c r="K2" s="1">
        <v>19.7</v>
      </c>
      <c r="L2" s="1">
        <v>19.52</v>
      </c>
      <c r="M2" s="1">
        <f t="shared" ref="M2:M47" si="0">IF(L2&gt;K2,K2,L2)</f>
        <v>19.52</v>
      </c>
      <c r="N2" s="7">
        <f>+I2+7-1</f>
        <v>42530</v>
      </c>
      <c r="O2" s="1">
        <v>1694200</v>
      </c>
      <c r="P2" s="26">
        <f t="shared" ref="P2:P47" si="1">(+O2/K2*M2)</f>
        <v>1678720</v>
      </c>
      <c r="R2" s="75"/>
      <c r="U2" s="77"/>
    </row>
    <row r="3" spans="1:21" s="1" customFormat="1" x14ac:dyDescent="0.25">
      <c r="A3" s="84">
        <v>3</v>
      </c>
      <c r="B3" s="24">
        <v>42530</v>
      </c>
      <c r="C3" s="1">
        <v>499</v>
      </c>
      <c r="E3" s="1">
        <v>3000031126</v>
      </c>
      <c r="F3" s="1" t="s">
        <v>77</v>
      </c>
      <c r="G3" s="1">
        <v>32</v>
      </c>
      <c r="H3" s="25">
        <v>42519</v>
      </c>
      <c r="I3" s="25">
        <v>42526</v>
      </c>
      <c r="J3" s="1" t="s">
        <v>61</v>
      </c>
      <c r="K3" s="1">
        <v>19.940000000000001</v>
      </c>
      <c r="L3" s="1">
        <v>19.809999999999999</v>
      </c>
      <c r="M3" s="1">
        <f t="shared" si="0"/>
        <v>19.809999999999999</v>
      </c>
      <c r="N3" s="7">
        <f>+I3+7-1</f>
        <v>42532</v>
      </c>
      <c r="O3" s="1">
        <v>1714840</v>
      </c>
      <c r="P3" s="26">
        <f t="shared" si="1"/>
        <v>1703660</v>
      </c>
      <c r="R3" s="75"/>
      <c r="U3" s="77"/>
    </row>
    <row r="4" spans="1:21" s="1" customFormat="1" x14ac:dyDescent="0.25">
      <c r="A4" s="1">
        <v>4</v>
      </c>
      <c r="B4" s="24">
        <v>42530</v>
      </c>
      <c r="C4" s="1">
        <v>499</v>
      </c>
      <c r="E4" s="1">
        <v>3000031126</v>
      </c>
      <c r="F4" s="1" t="s">
        <v>77</v>
      </c>
      <c r="G4" s="1">
        <v>34</v>
      </c>
      <c r="H4" s="25">
        <v>42520</v>
      </c>
      <c r="I4" s="25">
        <v>42525</v>
      </c>
      <c r="J4" s="1" t="s">
        <v>61</v>
      </c>
      <c r="K4" s="1">
        <v>20.440000000000001</v>
      </c>
      <c r="L4" s="1">
        <v>20.37</v>
      </c>
      <c r="M4" s="1">
        <f t="shared" si="0"/>
        <v>20.37</v>
      </c>
      <c r="N4" s="7">
        <f>+I4+7-1</f>
        <v>42531</v>
      </c>
      <c r="O4" s="1">
        <v>1757840</v>
      </c>
      <c r="P4" s="26">
        <f t="shared" si="1"/>
        <v>1751820</v>
      </c>
      <c r="R4" s="75"/>
      <c r="U4" s="77"/>
    </row>
    <row r="5" spans="1:21" s="1" customFormat="1" x14ac:dyDescent="0.25">
      <c r="A5" s="84">
        <v>5</v>
      </c>
      <c r="B5" s="24">
        <v>42536</v>
      </c>
      <c r="C5" s="1">
        <v>499</v>
      </c>
      <c r="E5" s="1">
        <v>3000031357</v>
      </c>
      <c r="F5" s="39" t="s">
        <v>26</v>
      </c>
      <c r="G5" s="1">
        <v>119</v>
      </c>
      <c r="H5" s="25">
        <v>42529</v>
      </c>
      <c r="I5" s="25">
        <v>42529</v>
      </c>
      <c r="J5" s="39" t="s">
        <v>63</v>
      </c>
      <c r="K5" s="1">
        <v>27.11</v>
      </c>
      <c r="L5" s="1">
        <v>27.11</v>
      </c>
      <c r="M5" s="1">
        <f t="shared" si="0"/>
        <v>27.11</v>
      </c>
      <c r="O5" s="1">
        <v>2280062</v>
      </c>
      <c r="P5" s="26">
        <f t="shared" si="1"/>
        <v>2280062</v>
      </c>
      <c r="R5" s="75"/>
      <c r="U5" s="77"/>
    </row>
    <row r="6" spans="1:21" s="1" customFormat="1" x14ac:dyDescent="0.25">
      <c r="A6" s="1">
        <v>6</v>
      </c>
      <c r="B6" s="24">
        <v>42536</v>
      </c>
      <c r="C6" s="1">
        <v>499</v>
      </c>
      <c r="E6" s="1">
        <v>3000031357</v>
      </c>
      <c r="F6" s="1" t="s">
        <v>26</v>
      </c>
      <c r="G6" s="1">
        <v>120</v>
      </c>
      <c r="H6" s="25">
        <v>42529</v>
      </c>
      <c r="I6" s="25">
        <v>42529</v>
      </c>
      <c r="J6" s="1" t="s">
        <v>63</v>
      </c>
      <c r="K6" s="1">
        <v>28.06</v>
      </c>
      <c r="L6" s="1">
        <v>28.06</v>
      </c>
      <c r="M6" s="1">
        <f t="shared" si="0"/>
        <v>28.06</v>
      </c>
      <c r="O6" s="1">
        <v>2359961</v>
      </c>
      <c r="P6" s="26">
        <f t="shared" si="1"/>
        <v>2359961</v>
      </c>
      <c r="R6" s="75"/>
      <c r="U6" s="77"/>
    </row>
    <row r="7" spans="1:21" s="1" customFormat="1" x14ac:dyDescent="0.25">
      <c r="A7" s="84">
        <v>7</v>
      </c>
      <c r="B7" s="24">
        <v>42536</v>
      </c>
      <c r="C7" s="1">
        <v>499</v>
      </c>
      <c r="E7" s="1">
        <v>3000031357</v>
      </c>
      <c r="F7" s="1" t="s">
        <v>26</v>
      </c>
      <c r="G7" s="1">
        <v>121</v>
      </c>
      <c r="H7" s="25">
        <v>42529</v>
      </c>
      <c r="I7" s="25">
        <v>42529</v>
      </c>
      <c r="J7" s="1" t="s">
        <v>63</v>
      </c>
      <c r="K7" s="1">
        <v>27.4</v>
      </c>
      <c r="L7" s="1">
        <v>27.4</v>
      </c>
      <c r="M7" s="1">
        <f t="shared" si="0"/>
        <v>27.4</v>
      </c>
      <c r="O7" s="1">
        <v>2304452</v>
      </c>
      <c r="P7" s="26">
        <f t="shared" si="1"/>
        <v>2304452</v>
      </c>
      <c r="R7" s="75"/>
      <c r="U7" s="77"/>
    </row>
    <row r="8" spans="1:21" s="1" customFormat="1" x14ac:dyDescent="0.25">
      <c r="A8" s="1">
        <v>8</v>
      </c>
      <c r="B8" s="24">
        <v>42536</v>
      </c>
      <c r="C8" s="1">
        <v>499</v>
      </c>
      <c r="E8" s="1">
        <v>3000031357</v>
      </c>
      <c r="F8" s="1" t="s">
        <v>26</v>
      </c>
      <c r="G8" s="1">
        <v>122</v>
      </c>
      <c r="H8" s="25">
        <v>42529</v>
      </c>
      <c r="I8" s="25">
        <v>42529</v>
      </c>
      <c r="J8" s="1" t="s">
        <v>63</v>
      </c>
      <c r="K8" s="1">
        <v>32.450000000000003</v>
      </c>
      <c r="L8" s="1">
        <v>32.450000000000003</v>
      </c>
      <c r="M8" s="1">
        <f t="shared" si="0"/>
        <v>32.450000000000003</v>
      </c>
      <c r="O8" s="1">
        <v>2729178</v>
      </c>
      <c r="P8" s="26">
        <f t="shared" si="1"/>
        <v>2729178</v>
      </c>
      <c r="R8" s="75"/>
      <c r="U8" s="77"/>
    </row>
    <row r="9" spans="1:21" s="1" customFormat="1" x14ac:dyDescent="0.25">
      <c r="A9" s="84">
        <v>9</v>
      </c>
      <c r="B9" s="24">
        <v>42536</v>
      </c>
      <c r="C9" s="1">
        <v>499</v>
      </c>
      <c r="E9" s="1">
        <v>3000031357</v>
      </c>
      <c r="F9" s="1" t="s">
        <v>26</v>
      </c>
      <c r="G9" s="16">
        <v>123</v>
      </c>
      <c r="H9" s="25">
        <v>42529</v>
      </c>
      <c r="I9" s="25">
        <v>42529</v>
      </c>
      <c r="J9" s="1" t="s">
        <v>63</v>
      </c>
      <c r="K9" s="1">
        <v>9.5350000000000001</v>
      </c>
      <c r="L9" s="1">
        <v>9.5350000000000001</v>
      </c>
      <c r="M9" s="1">
        <f t="shared" si="0"/>
        <v>9.5350000000000001</v>
      </c>
      <c r="O9" s="1">
        <v>801933</v>
      </c>
      <c r="P9" s="26">
        <f t="shared" si="1"/>
        <v>801933</v>
      </c>
      <c r="R9" s="75"/>
      <c r="U9" s="77"/>
    </row>
    <row r="10" spans="1:21" s="1" customFormat="1" x14ac:dyDescent="0.25">
      <c r="A10" s="1">
        <v>10</v>
      </c>
      <c r="B10" s="24">
        <v>42536</v>
      </c>
      <c r="C10" s="1">
        <v>499</v>
      </c>
      <c r="E10" s="1">
        <v>3000031357</v>
      </c>
      <c r="F10" s="1" t="s">
        <v>26</v>
      </c>
      <c r="G10" s="16">
        <v>124</v>
      </c>
      <c r="H10" s="25">
        <v>42529</v>
      </c>
      <c r="I10" s="25">
        <v>42529</v>
      </c>
      <c r="J10" s="1" t="s">
        <v>63</v>
      </c>
      <c r="K10" s="1">
        <v>19.454999999999998</v>
      </c>
      <c r="L10" s="1">
        <v>19.454999999999998</v>
      </c>
      <c r="M10" s="1">
        <f t="shared" si="0"/>
        <v>19.454999999999998</v>
      </c>
      <c r="O10" s="1">
        <v>1655454</v>
      </c>
      <c r="P10" s="26">
        <f t="shared" si="1"/>
        <v>1655454</v>
      </c>
      <c r="R10" s="75"/>
      <c r="U10" s="77"/>
    </row>
    <row r="11" spans="1:21" s="1" customFormat="1" x14ac:dyDescent="0.25">
      <c r="A11" s="84">
        <v>11</v>
      </c>
      <c r="B11" s="24">
        <v>42536</v>
      </c>
      <c r="C11" s="1">
        <v>499</v>
      </c>
      <c r="E11" s="1">
        <v>3000031355</v>
      </c>
      <c r="F11" s="1" t="s">
        <v>26</v>
      </c>
      <c r="G11" s="1">
        <v>125</v>
      </c>
      <c r="H11" s="25">
        <v>42529</v>
      </c>
      <c r="I11" s="25">
        <v>42529</v>
      </c>
      <c r="J11" s="1" t="s">
        <v>63</v>
      </c>
      <c r="K11" s="1">
        <v>33.590000000000003</v>
      </c>
      <c r="L11" s="1">
        <v>33.590000000000003</v>
      </c>
      <c r="M11" s="1">
        <f t="shared" si="0"/>
        <v>33.590000000000003</v>
      </c>
      <c r="O11" s="1">
        <v>2858222</v>
      </c>
      <c r="P11" s="26">
        <f t="shared" si="1"/>
        <v>2858222</v>
      </c>
      <c r="R11" s="75"/>
      <c r="U11" s="77"/>
    </row>
    <row r="12" spans="1:21" s="1" customFormat="1" x14ac:dyDescent="0.25">
      <c r="A12" s="1">
        <v>12</v>
      </c>
      <c r="B12" s="24">
        <v>42536</v>
      </c>
      <c r="C12" s="1">
        <v>499</v>
      </c>
      <c r="E12" s="1">
        <v>3000031355</v>
      </c>
      <c r="F12" s="1" t="s">
        <v>26</v>
      </c>
      <c r="G12" s="1">
        <v>126</v>
      </c>
      <c r="H12" s="25">
        <v>42529</v>
      </c>
      <c r="I12" s="25">
        <v>42529</v>
      </c>
      <c r="J12" s="1" t="s">
        <v>63</v>
      </c>
      <c r="K12" s="1">
        <v>33.99</v>
      </c>
      <c r="L12" s="1">
        <v>33.99</v>
      </c>
      <c r="M12" s="1">
        <f t="shared" si="0"/>
        <v>33.99</v>
      </c>
      <c r="O12" s="1">
        <v>2892259</v>
      </c>
      <c r="P12" s="26">
        <f t="shared" si="1"/>
        <v>2892259</v>
      </c>
      <c r="R12" s="75"/>
      <c r="U12" s="77"/>
    </row>
    <row r="13" spans="1:21" s="1" customFormat="1" x14ac:dyDescent="0.25">
      <c r="A13" s="84">
        <v>1</v>
      </c>
      <c r="B13" s="24">
        <v>42530</v>
      </c>
      <c r="C13" s="1">
        <v>499</v>
      </c>
      <c r="E13" s="1">
        <v>3000031132</v>
      </c>
      <c r="F13" s="1" t="s">
        <v>146</v>
      </c>
      <c r="G13" s="1">
        <v>1100</v>
      </c>
      <c r="H13" s="25">
        <v>42516</v>
      </c>
      <c r="I13" s="25">
        <v>42520</v>
      </c>
      <c r="J13" s="1" t="s">
        <v>61</v>
      </c>
      <c r="K13" s="1">
        <v>19.93</v>
      </c>
      <c r="L13" s="1">
        <v>19.920000000000002</v>
      </c>
      <c r="M13" s="1">
        <f t="shared" si="0"/>
        <v>19.920000000000002</v>
      </c>
      <c r="N13" s="7">
        <f>+I13+25-1</f>
        <v>42544</v>
      </c>
      <c r="O13" s="1">
        <v>1684085</v>
      </c>
      <c r="P13" s="26">
        <f t="shared" si="1"/>
        <v>1683240.0000000002</v>
      </c>
      <c r="R13" s="75"/>
      <c r="U13" s="77"/>
    </row>
    <row r="14" spans="1:21" s="1" customFormat="1" x14ac:dyDescent="0.25">
      <c r="A14" s="84">
        <v>5</v>
      </c>
      <c r="B14" s="24">
        <v>42565</v>
      </c>
      <c r="C14" s="1">
        <v>499</v>
      </c>
      <c r="E14" s="1">
        <v>3000031355</v>
      </c>
      <c r="F14" s="1" t="s">
        <v>26</v>
      </c>
      <c r="G14" s="1">
        <v>127</v>
      </c>
      <c r="H14" s="25">
        <v>42530</v>
      </c>
      <c r="I14" s="25">
        <v>42530</v>
      </c>
      <c r="J14" s="1" t="s">
        <v>63</v>
      </c>
      <c r="K14" s="1">
        <v>27.36</v>
      </c>
      <c r="L14" s="1">
        <v>27.36</v>
      </c>
      <c r="M14" s="1">
        <f t="shared" si="0"/>
        <v>27.36</v>
      </c>
      <c r="N14" s="7">
        <f t="shared" ref="N14:N47" si="2">+I14+15-1</f>
        <v>42544</v>
      </c>
      <c r="O14" s="1">
        <v>2328102</v>
      </c>
      <c r="P14" s="26">
        <f t="shared" si="1"/>
        <v>2328102</v>
      </c>
      <c r="R14" s="75"/>
      <c r="U14" s="77"/>
    </row>
    <row r="15" spans="1:21" s="1" customFormat="1" x14ac:dyDescent="0.25">
      <c r="A15" s="1">
        <v>6</v>
      </c>
      <c r="B15" s="24">
        <v>42565</v>
      </c>
      <c r="C15" s="1">
        <v>499</v>
      </c>
      <c r="E15" s="1">
        <v>3000031355</v>
      </c>
      <c r="F15" s="1" t="s">
        <v>26</v>
      </c>
      <c r="G15" s="1">
        <v>128</v>
      </c>
      <c r="H15" s="25">
        <v>42530</v>
      </c>
      <c r="I15" s="25">
        <v>42530</v>
      </c>
      <c r="J15" s="1" t="s">
        <v>63</v>
      </c>
      <c r="K15" s="1">
        <v>26.82</v>
      </c>
      <c r="L15" s="1">
        <v>26.82</v>
      </c>
      <c r="M15" s="1">
        <f t="shared" si="0"/>
        <v>26.82</v>
      </c>
      <c r="N15" s="7">
        <f t="shared" si="2"/>
        <v>42544</v>
      </c>
      <c r="O15" s="1">
        <v>2282153</v>
      </c>
      <c r="P15" s="26">
        <f t="shared" si="1"/>
        <v>2282153</v>
      </c>
      <c r="R15" s="75"/>
      <c r="U15" s="77"/>
    </row>
    <row r="16" spans="1:21" s="1" customFormat="1" x14ac:dyDescent="0.25">
      <c r="A16" s="84">
        <v>7</v>
      </c>
      <c r="B16" s="24">
        <v>42565</v>
      </c>
      <c r="C16" s="1">
        <v>499</v>
      </c>
      <c r="E16" s="1">
        <v>3000031355</v>
      </c>
      <c r="F16" s="1" t="s">
        <v>26</v>
      </c>
      <c r="G16" s="1">
        <v>129</v>
      </c>
      <c r="H16" s="25">
        <v>42530</v>
      </c>
      <c r="I16" s="25">
        <v>42530</v>
      </c>
      <c r="J16" s="1" t="s">
        <v>63</v>
      </c>
      <c r="K16" s="1">
        <v>28.06</v>
      </c>
      <c r="L16" s="1">
        <v>28.06</v>
      </c>
      <c r="M16" s="1">
        <f t="shared" si="0"/>
        <v>28.06</v>
      </c>
      <c r="N16" s="7">
        <f t="shared" si="2"/>
        <v>42544</v>
      </c>
      <c r="O16" s="1">
        <v>2387666</v>
      </c>
      <c r="P16" s="26">
        <f t="shared" si="1"/>
        <v>2387666</v>
      </c>
      <c r="R16" s="75"/>
      <c r="U16" s="77"/>
    </row>
    <row r="17" spans="1:21" s="1" customFormat="1" x14ac:dyDescent="0.25">
      <c r="A17" s="1">
        <v>8</v>
      </c>
      <c r="B17" s="24">
        <v>42565</v>
      </c>
      <c r="C17" s="1">
        <v>499</v>
      </c>
      <c r="E17" s="1">
        <v>3000031355</v>
      </c>
      <c r="F17" s="1" t="s">
        <v>26</v>
      </c>
      <c r="G17" s="1">
        <v>130</v>
      </c>
      <c r="H17" s="25">
        <v>42530</v>
      </c>
      <c r="I17" s="25">
        <v>42530</v>
      </c>
      <c r="J17" s="1" t="s">
        <v>63</v>
      </c>
      <c r="K17" s="1">
        <v>32.21</v>
      </c>
      <c r="L17" s="1">
        <v>32.21</v>
      </c>
      <c r="M17" s="1">
        <f t="shared" si="0"/>
        <v>32.21</v>
      </c>
      <c r="N17" s="7">
        <f t="shared" si="2"/>
        <v>42544</v>
      </c>
      <c r="O17" s="1">
        <v>2740796</v>
      </c>
      <c r="P17" s="26">
        <f t="shared" si="1"/>
        <v>2740796</v>
      </c>
      <c r="R17" s="75"/>
      <c r="U17" s="77"/>
    </row>
    <row r="18" spans="1:21" s="1" customFormat="1" x14ac:dyDescent="0.25">
      <c r="A18" s="84">
        <v>9</v>
      </c>
      <c r="B18" s="24">
        <v>42565</v>
      </c>
      <c r="C18" s="1">
        <v>499</v>
      </c>
      <c r="E18" s="1">
        <v>3000031355</v>
      </c>
      <c r="F18" s="1" t="s">
        <v>26</v>
      </c>
      <c r="G18" s="1">
        <v>131</v>
      </c>
      <c r="H18" s="25">
        <v>42530</v>
      </c>
      <c r="I18" s="25">
        <v>42530</v>
      </c>
      <c r="J18" s="1" t="s">
        <v>63</v>
      </c>
      <c r="K18" s="1">
        <v>27.82</v>
      </c>
      <c r="L18" s="1">
        <v>27.82</v>
      </c>
      <c r="M18" s="1">
        <f t="shared" si="0"/>
        <v>27.82</v>
      </c>
      <c r="N18" s="7">
        <f t="shared" si="2"/>
        <v>42544</v>
      </c>
      <c r="O18" s="1">
        <v>2367244</v>
      </c>
      <c r="P18" s="26">
        <f t="shared" si="1"/>
        <v>2367244</v>
      </c>
      <c r="R18" s="75"/>
      <c r="U18" s="77"/>
    </row>
    <row r="19" spans="1:21" s="1" customFormat="1" x14ac:dyDescent="0.25">
      <c r="A19" s="1">
        <v>10</v>
      </c>
      <c r="B19" s="24">
        <v>42565</v>
      </c>
      <c r="C19" s="1">
        <v>499</v>
      </c>
      <c r="E19" s="1">
        <v>3000031548</v>
      </c>
      <c r="F19" s="1" t="s">
        <v>26</v>
      </c>
      <c r="G19" s="1">
        <v>132</v>
      </c>
      <c r="H19" s="25">
        <v>42531</v>
      </c>
      <c r="I19" s="25">
        <v>42531</v>
      </c>
      <c r="J19" s="1" t="s">
        <v>63</v>
      </c>
      <c r="K19" s="1">
        <v>33.17</v>
      </c>
      <c r="L19" s="1">
        <v>33.17</v>
      </c>
      <c r="M19" s="1">
        <f t="shared" si="0"/>
        <v>33.17</v>
      </c>
      <c r="N19" s="7">
        <f t="shared" si="2"/>
        <v>42545</v>
      </c>
      <c r="O19" s="1">
        <v>2822484</v>
      </c>
      <c r="P19" s="26">
        <f t="shared" si="1"/>
        <v>2822484</v>
      </c>
      <c r="R19" s="75"/>
      <c r="U19" s="77"/>
    </row>
    <row r="20" spans="1:21" s="1" customFormat="1" x14ac:dyDescent="0.25">
      <c r="A20" s="84">
        <v>11</v>
      </c>
      <c r="B20" s="24">
        <v>42565</v>
      </c>
      <c r="C20" s="1">
        <v>499</v>
      </c>
      <c r="E20" s="1">
        <v>3000031548</v>
      </c>
      <c r="F20" s="1" t="s">
        <v>26</v>
      </c>
      <c r="G20" s="1">
        <v>133</v>
      </c>
      <c r="H20" s="25">
        <v>42531</v>
      </c>
      <c r="I20" s="25">
        <v>42531</v>
      </c>
      <c r="J20" s="1" t="s">
        <v>63</v>
      </c>
      <c r="K20" s="1">
        <v>28.24</v>
      </c>
      <c r="L20" s="1">
        <v>28.24</v>
      </c>
      <c r="M20" s="1">
        <f t="shared" si="0"/>
        <v>28.24</v>
      </c>
      <c r="N20" s="7">
        <f t="shared" si="2"/>
        <v>42545</v>
      </c>
      <c r="O20" s="1">
        <v>2402983</v>
      </c>
      <c r="P20" s="26">
        <f t="shared" si="1"/>
        <v>2402983</v>
      </c>
      <c r="R20" s="75"/>
      <c r="U20" s="77"/>
    </row>
    <row r="21" spans="1:21" s="1" customFormat="1" x14ac:dyDescent="0.25">
      <c r="A21" s="1">
        <v>12</v>
      </c>
      <c r="B21" s="24">
        <v>42565</v>
      </c>
      <c r="C21" s="1">
        <v>499</v>
      </c>
      <c r="E21" s="1">
        <v>3000031548</v>
      </c>
      <c r="F21" s="1" t="s">
        <v>26</v>
      </c>
      <c r="G21" s="1">
        <v>134</v>
      </c>
      <c r="H21" s="25">
        <v>42532</v>
      </c>
      <c r="I21" s="25">
        <v>42532</v>
      </c>
      <c r="J21" s="1" t="s">
        <v>63</v>
      </c>
      <c r="K21" s="1">
        <v>27.4</v>
      </c>
      <c r="L21" s="1">
        <v>27.4</v>
      </c>
      <c r="M21" s="1">
        <f t="shared" si="0"/>
        <v>27.4</v>
      </c>
      <c r="N21" s="7">
        <f t="shared" si="2"/>
        <v>42546</v>
      </c>
      <c r="O21" s="1">
        <v>2331506</v>
      </c>
      <c r="P21" s="26">
        <f t="shared" si="1"/>
        <v>2331506</v>
      </c>
      <c r="R21" s="75"/>
      <c r="U21" s="77"/>
    </row>
    <row r="22" spans="1:21" s="1" customFormat="1" x14ac:dyDescent="0.25">
      <c r="A22" s="84">
        <v>13</v>
      </c>
      <c r="B22" s="24">
        <v>42565</v>
      </c>
      <c r="C22" s="1">
        <v>499</v>
      </c>
      <c r="E22" s="1">
        <v>3000031548</v>
      </c>
      <c r="F22" s="1" t="s">
        <v>26</v>
      </c>
      <c r="G22" s="1">
        <v>135</v>
      </c>
      <c r="H22" s="25">
        <v>42532</v>
      </c>
      <c r="I22" s="25">
        <v>42532</v>
      </c>
      <c r="J22" s="1" t="s">
        <v>63</v>
      </c>
      <c r="K22" s="1">
        <v>27.93</v>
      </c>
      <c r="L22" s="1">
        <v>27.93</v>
      </c>
      <c r="M22" s="1">
        <f t="shared" si="0"/>
        <v>27.93</v>
      </c>
      <c r="N22" s="7">
        <f t="shared" si="2"/>
        <v>42546</v>
      </c>
      <c r="O22" s="1">
        <v>2376604</v>
      </c>
      <c r="P22" s="26">
        <f t="shared" si="1"/>
        <v>2376604</v>
      </c>
      <c r="R22" s="75"/>
      <c r="U22" s="77"/>
    </row>
    <row r="23" spans="1:21" s="1" customFormat="1" x14ac:dyDescent="0.25">
      <c r="A23" s="1">
        <v>14</v>
      </c>
      <c r="B23" s="24">
        <v>42565</v>
      </c>
      <c r="C23" s="1">
        <v>499</v>
      </c>
      <c r="E23" s="1">
        <v>3000031667</v>
      </c>
      <c r="F23" s="1" t="s">
        <v>26</v>
      </c>
      <c r="G23" s="1">
        <v>136</v>
      </c>
      <c r="H23" s="25">
        <v>42534</v>
      </c>
      <c r="I23" s="25">
        <v>42534</v>
      </c>
      <c r="J23" s="1" t="s">
        <v>63</v>
      </c>
      <c r="K23" s="1">
        <v>24.95</v>
      </c>
      <c r="L23" s="1">
        <v>24.95</v>
      </c>
      <c r="M23" s="1">
        <f t="shared" si="0"/>
        <v>24.95</v>
      </c>
      <c r="N23" s="7">
        <f t="shared" si="2"/>
        <v>42548</v>
      </c>
      <c r="O23" s="1">
        <v>2123032</v>
      </c>
      <c r="P23" s="26">
        <f t="shared" si="1"/>
        <v>2123032</v>
      </c>
      <c r="R23" s="75"/>
      <c r="U23" s="77"/>
    </row>
    <row r="24" spans="1:21" s="1" customFormat="1" x14ac:dyDescent="0.25">
      <c r="A24" s="84">
        <v>15</v>
      </c>
      <c r="B24" s="24">
        <v>42565</v>
      </c>
      <c r="C24" s="1">
        <v>499</v>
      </c>
      <c r="E24" s="1">
        <v>3000031355</v>
      </c>
      <c r="F24" s="1" t="s">
        <v>26</v>
      </c>
      <c r="G24" s="1">
        <v>137</v>
      </c>
      <c r="H24" s="25">
        <v>42536</v>
      </c>
      <c r="I24" s="25">
        <v>42536</v>
      </c>
      <c r="J24" s="1" t="s">
        <v>63</v>
      </c>
      <c r="K24" s="1">
        <v>28.1</v>
      </c>
      <c r="L24" s="1">
        <v>28.1</v>
      </c>
      <c r="M24" s="1">
        <f t="shared" si="0"/>
        <v>28.1</v>
      </c>
      <c r="N24" s="7">
        <f t="shared" si="2"/>
        <v>42550</v>
      </c>
      <c r="O24" s="1">
        <v>2391070</v>
      </c>
      <c r="P24" s="26">
        <f t="shared" si="1"/>
        <v>2391070</v>
      </c>
      <c r="R24" s="75"/>
      <c r="U24" s="77"/>
    </row>
    <row r="25" spans="1:21" s="1" customFormat="1" x14ac:dyDescent="0.25">
      <c r="A25" s="1">
        <v>16</v>
      </c>
      <c r="B25" s="24">
        <v>42565</v>
      </c>
      <c r="C25" s="1">
        <v>499</v>
      </c>
      <c r="E25" s="1">
        <v>3000031667</v>
      </c>
      <c r="F25" s="1" t="s">
        <v>26</v>
      </c>
      <c r="G25" s="1">
        <v>138</v>
      </c>
      <c r="H25" s="25">
        <v>42536</v>
      </c>
      <c r="I25" s="25">
        <v>42536</v>
      </c>
      <c r="J25" s="1" t="s">
        <v>63</v>
      </c>
      <c r="K25" s="1">
        <v>28.01</v>
      </c>
      <c r="L25" s="1">
        <v>28.01</v>
      </c>
      <c r="M25" s="1">
        <f t="shared" si="0"/>
        <v>28.01</v>
      </c>
      <c r="N25" s="7">
        <f t="shared" si="2"/>
        <v>42550</v>
      </c>
      <c r="O25" s="1">
        <v>2383412</v>
      </c>
      <c r="P25" s="26">
        <f t="shared" si="1"/>
        <v>2383412</v>
      </c>
      <c r="R25" s="75"/>
      <c r="U25" s="77"/>
    </row>
    <row r="26" spans="1:21" s="1" customFormat="1" x14ac:dyDescent="0.25">
      <c r="A26" s="84">
        <v>17</v>
      </c>
      <c r="B26" s="24">
        <v>42565</v>
      </c>
      <c r="C26" s="1">
        <v>499</v>
      </c>
      <c r="E26" s="1">
        <v>3000316667</v>
      </c>
      <c r="F26" s="1" t="s">
        <v>26</v>
      </c>
      <c r="G26" s="1">
        <v>139</v>
      </c>
      <c r="H26" s="25">
        <v>42536</v>
      </c>
      <c r="I26" s="25">
        <v>42536</v>
      </c>
      <c r="J26" s="1" t="s">
        <v>63</v>
      </c>
      <c r="K26" s="1">
        <v>2.895</v>
      </c>
      <c r="L26" s="1">
        <v>2.895</v>
      </c>
      <c r="M26" s="1">
        <f t="shared" si="0"/>
        <v>2.895</v>
      </c>
      <c r="N26" s="7">
        <f t="shared" si="2"/>
        <v>42550</v>
      </c>
      <c r="O26" s="1">
        <v>246340</v>
      </c>
      <c r="P26" s="26">
        <f t="shared" si="1"/>
        <v>246340</v>
      </c>
      <c r="R26" s="75"/>
      <c r="U26" s="77"/>
    </row>
    <row r="27" spans="1:21" s="1" customFormat="1" x14ac:dyDescent="0.25">
      <c r="A27" s="1">
        <v>18</v>
      </c>
      <c r="B27" s="24">
        <v>42565</v>
      </c>
      <c r="C27" s="1">
        <v>499</v>
      </c>
      <c r="E27" s="1">
        <v>3000031539</v>
      </c>
      <c r="F27" s="1" t="s">
        <v>175</v>
      </c>
      <c r="G27" s="18">
        <v>22009130</v>
      </c>
      <c r="H27" s="25">
        <v>42550</v>
      </c>
      <c r="I27" s="25">
        <v>42550</v>
      </c>
      <c r="J27" s="1" t="s">
        <v>63</v>
      </c>
      <c r="K27" s="1">
        <v>24.83</v>
      </c>
      <c r="L27" s="1">
        <v>24.83</v>
      </c>
      <c r="M27" s="1">
        <f t="shared" si="0"/>
        <v>24.83</v>
      </c>
      <c r="N27" s="7">
        <f t="shared" si="2"/>
        <v>42564</v>
      </c>
      <c r="O27" s="1">
        <v>2098135</v>
      </c>
      <c r="P27" s="26">
        <f t="shared" si="1"/>
        <v>2098135</v>
      </c>
      <c r="R27" s="75"/>
      <c r="U27" s="77"/>
    </row>
    <row r="28" spans="1:21" s="1" customFormat="1" x14ac:dyDescent="0.25">
      <c r="A28" s="84">
        <v>19</v>
      </c>
      <c r="B28" s="24">
        <v>42565</v>
      </c>
      <c r="C28" s="1">
        <v>499</v>
      </c>
      <c r="E28" s="1">
        <v>3000031253</v>
      </c>
      <c r="F28" s="1" t="s">
        <v>175</v>
      </c>
      <c r="G28" s="18">
        <v>22009054</v>
      </c>
      <c r="H28" s="25">
        <v>42533</v>
      </c>
      <c r="I28" s="25">
        <v>42533</v>
      </c>
      <c r="J28" s="1" t="s">
        <v>63</v>
      </c>
      <c r="K28" s="1">
        <v>19.88</v>
      </c>
      <c r="L28" s="1">
        <v>19.88</v>
      </c>
      <c r="M28" s="1">
        <f t="shared" si="0"/>
        <v>19.88</v>
      </c>
      <c r="N28" s="7">
        <f t="shared" si="2"/>
        <v>42547</v>
      </c>
      <c r="O28" s="1">
        <v>1679860</v>
      </c>
      <c r="P28" s="26">
        <f t="shared" si="1"/>
        <v>1679860</v>
      </c>
      <c r="R28" s="75"/>
      <c r="U28" s="77"/>
    </row>
    <row r="29" spans="1:21" s="1" customFormat="1" x14ac:dyDescent="0.25">
      <c r="A29" s="1">
        <v>20</v>
      </c>
      <c r="B29" s="24">
        <v>42565</v>
      </c>
      <c r="C29" s="1">
        <v>499</v>
      </c>
      <c r="E29" s="1">
        <v>3000031253</v>
      </c>
      <c r="F29" s="1" t="s">
        <v>175</v>
      </c>
      <c r="G29" s="18">
        <v>22009050</v>
      </c>
      <c r="H29" s="25">
        <v>42532</v>
      </c>
      <c r="I29" s="25">
        <v>42532</v>
      </c>
      <c r="J29" s="1" t="s">
        <v>63</v>
      </c>
      <c r="K29" s="1">
        <v>20.11</v>
      </c>
      <c r="L29" s="1">
        <v>20.11</v>
      </c>
      <c r="M29" s="1">
        <f t="shared" si="0"/>
        <v>20.11</v>
      </c>
      <c r="N29" s="7">
        <f t="shared" si="2"/>
        <v>42546</v>
      </c>
      <c r="O29" s="1">
        <v>1699295</v>
      </c>
      <c r="P29" s="26">
        <f t="shared" si="1"/>
        <v>1699295</v>
      </c>
      <c r="R29" s="75"/>
      <c r="U29" s="77"/>
    </row>
    <row r="30" spans="1:21" s="1" customFormat="1" x14ac:dyDescent="0.25">
      <c r="A30" s="84">
        <v>21</v>
      </c>
      <c r="B30" s="24">
        <v>42565</v>
      </c>
      <c r="C30" s="1">
        <v>499</v>
      </c>
      <c r="E30" s="1">
        <v>3000031253</v>
      </c>
      <c r="F30" s="1" t="s">
        <v>175</v>
      </c>
      <c r="G30" s="18">
        <v>22009048</v>
      </c>
      <c r="H30" s="25">
        <v>42531</v>
      </c>
      <c r="I30" s="25">
        <v>42531</v>
      </c>
      <c r="J30" s="1" t="s">
        <v>63</v>
      </c>
      <c r="K30" s="1">
        <v>20.66</v>
      </c>
      <c r="L30" s="1">
        <v>20.66</v>
      </c>
      <c r="M30" s="1">
        <f t="shared" si="0"/>
        <v>20.66</v>
      </c>
      <c r="N30" s="7">
        <f t="shared" si="2"/>
        <v>42545</v>
      </c>
      <c r="O30" s="1">
        <v>1745770</v>
      </c>
      <c r="P30" s="26">
        <f t="shared" si="1"/>
        <v>1745770</v>
      </c>
      <c r="R30" s="75"/>
      <c r="U30" s="77"/>
    </row>
    <row r="31" spans="1:21" s="1" customFormat="1" x14ac:dyDescent="0.25">
      <c r="A31" s="1">
        <v>22</v>
      </c>
      <c r="B31" s="24">
        <v>42565</v>
      </c>
      <c r="C31" s="1">
        <v>499</v>
      </c>
      <c r="E31" s="1">
        <v>3000031253</v>
      </c>
      <c r="F31" s="1" t="s">
        <v>175</v>
      </c>
      <c r="G31" s="18">
        <v>22009047</v>
      </c>
      <c r="H31" s="25">
        <v>42531</v>
      </c>
      <c r="I31" s="25">
        <v>42531</v>
      </c>
      <c r="J31" s="1" t="s">
        <v>63</v>
      </c>
      <c r="K31" s="1">
        <v>19.23</v>
      </c>
      <c r="L31" s="1">
        <v>19.23</v>
      </c>
      <c r="M31" s="1">
        <f t="shared" si="0"/>
        <v>19.23</v>
      </c>
      <c r="N31" s="7">
        <f t="shared" si="2"/>
        <v>42545</v>
      </c>
      <c r="O31" s="1">
        <v>1624935</v>
      </c>
      <c r="P31" s="26">
        <f t="shared" si="1"/>
        <v>1624935</v>
      </c>
      <c r="R31" s="75"/>
      <c r="U31" s="77"/>
    </row>
    <row r="32" spans="1:21" s="1" customFormat="1" x14ac:dyDescent="0.25">
      <c r="A32" s="84">
        <v>23</v>
      </c>
      <c r="B32" s="24">
        <v>42565</v>
      </c>
      <c r="C32" s="1">
        <v>499</v>
      </c>
      <c r="E32" s="1">
        <v>3000031253</v>
      </c>
      <c r="F32" s="1" t="s">
        <v>175</v>
      </c>
      <c r="G32" s="18">
        <v>22009046</v>
      </c>
      <c r="H32" s="25">
        <v>42531</v>
      </c>
      <c r="I32" s="25">
        <v>42531</v>
      </c>
      <c r="J32" s="1" t="s">
        <v>63</v>
      </c>
      <c r="K32" s="1">
        <v>20.38</v>
      </c>
      <c r="L32" s="1">
        <v>20.38</v>
      </c>
      <c r="M32" s="1">
        <f t="shared" si="0"/>
        <v>20.38</v>
      </c>
      <c r="N32" s="7">
        <f t="shared" si="2"/>
        <v>42545</v>
      </c>
      <c r="O32" s="1">
        <v>1722110</v>
      </c>
      <c r="P32" s="26">
        <f t="shared" si="1"/>
        <v>1722110</v>
      </c>
      <c r="R32" s="75"/>
      <c r="U32" s="77"/>
    </row>
    <row r="33" spans="1:21" s="1" customFormat="1" x14ac:dyDescent="0.25">
      <c r="A33" s="1">
        <v>24</v>
      </c>
      <c r="B33" s="24">
        <v>42565</v>
      </c>
      <c r="C33" s="1">
        <v>499</v>
      </c>
      <c r="E33" s="1">
        <v>3000031253</v>
      </c>
      <c r="F33" s="1" t="s">
        <v>175</v>
      </c>
      <c r="G33" s="18">
        <v>22009044</v>
      </c>
      <c r="H33" s="25">
        <v>42531</v>
      </c>
      <c r="I33" s="25">
        <v>42531</v>
      </c>
      <c r="J33" s="1" t="s">
        <v>63</v>
      </c>
      <c r="K33" s="1">
        <v>20.76</v>
      </c>
      <c r="L33" s="1">
        <v>20.76</v>
      </c>
      <c r="M33" s="1">
        <f t="shared" si="0"/>
        <v>20.76</v>
      </c>
      <c r="N33" s="7">
        <f t="shared" si="2"/>
        <v>42545</v>
      </c>
      <c r="O33" s="1">
        <v>1754220</v>
      </c>
      <c r="P33" s="26">
        <f t="shared" si="1"/>
        <v>1754220.0000000002</v>
      </c>
      <c r="R33" s="75"/>
      <c r="U33" s="77"/>
    </row>
    <row r="34" spans="1:21" s="1" customFormat="1" x14ac:dyDescent="0.25">
      <c r="A34" s="84">
        <v>25</v>
      </c>
      <c r="B34" s="24">
        <v>42565</v>
      </c>
      <c r="C34" s="1">
        <v>499</v>
      </c>
      <c r="E34" s="1">
        <v>3000031253</v>
      </c>
      <c r="F34" s="1" t="s">
        <v>175</v>
      </c>
      <c r="G34" s="18">
        <v>22009042</v>
      </c>
      <c r="H34" s="25">
        <v>42530</v>
      </c>
      <c r="I34" s="25">
        <v>42530</v>
      </c>
      <c r="J34" s="1" t="s">
        <v>63</v>
      </c>
      <c r="K34" s="1">
        <v>20.92</v>
      </c>
      <c r="L34" s="1">
        <v>20.92</v>
      </c>
      <c r="M34" s="1">
        <f t="shared" si="0"/>
        <v>20.92</v>
      </c>
      <c r="N34" s="7">
        <f t="shared" si="2"/>
        <v>42544</v>
      </c>
      <c r="O34" s="1">
        <v>1967740</v>
      </c>
      <c r="P34" s="26">
        <f t="shared" si="1"/>
        <v>1967740</v>
      </c>
      <c r="R34" s="75"/>
      <c r="U34" s="77"/>
    </row>
    <row r="35" spans="1:21" s="1" customFormat="1" x14ac:dyDescent="0.25">
      <c r="A35" s="1">
        <v>26</v>
      </c>
      <c r="B35" s="24">
        <v>42565</v>
      </c>
      <c r="C35" s="1">
        <v>499</v>
      </c>
      <c r="E35" s="1">
        <v>3000031253</v>
      </c>
      <c r="F35" s="1" t="s">
        <v>175</v>
      </c>
      <c r="G35" s="18">
        <v>22009037</v>
      </c>
      <c r="H35" s="25">
        <v>42529</v>
      </c>
      <c r="I35" s="25">
        <v>42529</v>
      </c>
      <c r="J35" s="1" t="s">
        <v>63</v>
      </c>
      <c r="K35" s="1">
        <v>20.190000000000001</v>
      </c>
      <c r="L35" s="1">
        <v>20.190000000000001</v>
      </c>
      <c r="M35" s="1">
        <f t="shared" si="0"/>
        <v>20.190000000000001</v>
      </c>
      <c r="N35" s="7">
        <f t="shared" si="2"/>
        <v>42543</v>
      </c>
      <c r="O35" s="1">
        <v>1706055</v>
      </c>
      <c r="P35" s="26">
        <f t="shared" si="1"/>
        <v>1706055</v>
      </c>
      <c r="R35" s="75"/>
      <c r="U35" s="77"/>
    </row>
    <row r="36" spans="1:21" s="1" customFormat="1" x14ac:dyDescent="0.25">
      <c r="A36" s="84">
        <v>27</v>
      </c>
      <c r="B36" s="24">
        <v>42565</v>
      </c>
      <c r="C36" s="1">
        <v>499</v>
      </c>
      <c r="E36" s="1">
        <v>3000031253</v>
      </c>
      <c r="F36" s="1" t="s">
        <v>175</v>
      </c>
      <c r="G36" s="18">
        <v>22009060</v>
      </c>
      <c r="H36" s="25">
        <v>42535</v>
      </c>
      <c r="I36" s="25">
        <v>42535</v>
      </c>
      <c r="J36" s="1" t="s">
        <v>63</v>
      </c>
      <c r="K36" s="1">
        <v>26.22</v>
      </c>
      <c r="L36" s="1">
        <v>26.22</v>
      </c>
      <c r="M36" s="1">
        <f t="shared" si="0"/>
        <v>26.22</v>
      </c>
      <c r="N36" s="7">
        <f t="shared" si="2"/>
        <v>42549</v>
      </c>
      <c r="O36" s="1">
        <v>2215590</v>
      </c>
      <c r="P36" s="26">
        <f t="shared" si="1"/>
        <v>2215590</v>
      </c>
      <c r="R36" s="75"/>
      <c r="U36" s="77"/>
    </row>
    <row r="37" spans="1:21" s="1" customFormat="1" x14ac:dyDescent="0.25">
      <c r="A37" s="1">
        <v>28</v>
      </c>
      <c r="B37" s="24">
        <v>42565</v>
      </c>
      <c r="C37" s="1">
        <v>499</v>
      </c>
      <c r="E37" s="1">
        <v>3000031253</v>
      </c>
      <c r="F37" s="1" t="s">
        <v>175</v>
      </c>
      <c r="G37" s="18">
        <v>22009083</v>
      </c>
      <c r="H37" s="25">
        <v>42539</v>
      </c>
      <c r="I37" s="25">
        <v>42539</v>
      </c>
      <c r="J37" s="1" t="s">
        <v>63</v>
      </c>
      <c r="K37" s="1">
        <v>17.73</v>
      </c>
      <c r="L37" s="1">
        <v>17.73</v>
      </c>
      <c r="M37" s="1">
        <f t="shared" si="0"/>
        <v>17.73</v>
      </c>
      <c r="N37" s="7">
        <f t="shared" si="2"/>
        <v>42553</v>
      </c>
      <c r="O37" s="1">
        <v>1498185</v>
      </c>
      <c r="P37" s="26">
        <f t="shared" si="1"/>
        <v>1498185</v>
      </c>
      <c r="R37" s="75"/>
      <c r="U37" s="77"/>
    </row>
    <row r="38" spans="1:21" s="1" customFormat="1" x14ac:dyDescent="0.25">
      <c r="A38" s="84">
        <v>29</v>
      </c>
      <c r="B38" s="24">
        <v>42565</v>
      </c>
      <c r="C38" s="1">
        <v>499</v>
      </c>
      <c r="E38" s="1">
        <v>3000031253</v>
      </c>
      <c r="F38" s="1" t="s">
        <v>175</v>
      </c>
      <c r="G38" s="18">
        <v>22009084</v>
      </c>
      <c r="H38" s="25">
        <v>42539</v>
      </c>
      <c r="I38" s="25">
        <v>42539</v>
      </c>
      <c r="J38" s="1" t="s">
        <v>63</v>
      </c>
      <c r="K38" s="1">
        <v>18.28</v>
      </c>
      <c r="L38" s="1">
        <v>18.28</v>
      </c>
      <c r="M38" s="1">
        <f t="shared" si="0"/>
        <v>18.28</v>
      </c>
      <c r="N38" s="7">
        <f t="shared" si="2"/>
        <v>42553</v>
      </c>
      <c r="O38" s="1">
        <v>1544660</v>
      </c>
      <c r="P38" s="26">
        <f t="shared" si="1"/>
        <v>1544660</v>
      </c>
      <c r="R38" s="75"/>
      <c r="U38" s="77"/>
    </row>
    <row r="39" spans="1:21" s="1" customFormat="1" x14ac:dyDescent="0.25">
      <c r="A39" s="1">
        <v>30</v>
      </c>
      <c r="B39" s="24">
        <v>42565</v>
      </c>
      <c r="C39" s="1">
        <v>499</v>
      </c>
      <c r="E39" s="1">
        <v>3000031253</v>
      </c>
      <c r="F39" s="1" t="s">
        <v>175</v>
      </c>
      <c r="G39" s="18">
        <v>22009103</v>
      </c>
      <c r="H39" s="25">
        <v>42542</v>
      </c>
      <c r="I39" s="25">
        <v>42542</v>
      </c>
      <c r="J39" s="1" t="s">
        <v>63</v>
      </c>
      <c r="K39" s="1">
        <v>19.89</v>
      </c>
      <c r="L39" s="1">
        <v>19.89</v>
      </c>
      <c r="M39" s="1">
        <f t="shared" si="0"/>
        <v>19.89</v>
      </c>
      <c r="N39" s="7">
        <f t="shared" si="2"/>
        <v>42556</v>
      </c>
      <c r="O39" s="1">
        <v>1680705</v>
      </c>
      <c r="P39" s="26">
        <f t="shared" si="1"/>
        <v>1680705</v>
      </c>
      <c r="R39" s="75"/>
      <c r="U39" s="77"/>
    </row>
    <row r="40" spans="1:21" s="1" customFormat="1" x14ac:dyDescent="0.25">
      <c r="A40" s="84">
        <v>31</v>
      </c>
      <c r="B40" s="24">
        <v>42565</v>
      </c>
      <c r="C40" s="1">
        <v>499</v>
      </c>
      <c r="E40" s="1">
        <v>3000031253</v>
      </c>
      <c r="F40" s="1" t="s">
        <v>175</v>
      </c>
      <c r="G40" s="18">
        <v>22009104</v>
      </c>
      <c r="H40" s="25">
        <v>42542</v>
      </c>
      <c r="I40" s="25">
        <v>42542</v>
      </c>
      <c r="J40" s="1" t="s">
        <v>63</v>
      </c>
      <c r="K40" s="1">
        <v>16.940000000000001</v>
      </c>
      <c r="L40" s="1">
        <v>16.940000000000001</v>
      </c>
      <c r="M40" s="1">
        <f t="shared" si="0"/>
        <v>16.940000000000001</v>
      </c>
      <c r="N40" s="7">
        <f t="shared" si="2"/>
        <v>42556</v>
      </c>
      <c r="O40" s="1">
        <v>1431430</v>
      </c>
      <c r="P40" s="26">
        <f t="shared" si="1"/>
        <v>1431430</v>
      </c>
      <c r="R40" s="75"/>
      <c r="U40" s="77"/>
    </row>
    <row r="41" spans="1:21" s="1" customFormat="1" x14ac:dyDescent="0.25">
      <c r="A41" s="1">
        <v>32</v>
      </c>
      <c r="B41" s="24">
        <v>42565</v>
      </c>
      <c r="C41" s="1">
        <v>499</v>
      </c>
      <c r="E41" s="1">
        <v>3000031253</v>
      </c>
      <c r="F41" s="1" t="s">
        <v>175</v>
      </c>
      <c r="G41" s="18">
        <v>22009107</v>
      </c>
      <c r="H41" s="25">
        <v>42542</v>
      </c>
      <c r="I41" s="25">
        <v>42542</v>
      </c>
      <c r="J41" s="1" t="s">
        <v>63</v>
      </c>
      <c r="K41" s="1">
        <v>36</v>
      </c>
      <c r="L41" s="1">
        <v>36</v>
      </c>
      <c r="M41" s="1">
        <f t="shared" si="0"/>
        <v>36</v>
      </c>
      <c r="N41" s="7">
        <f t="shared" si="2"/>
        <v>42556</v>
      </c>
      <c r="O41" s="1">
        <v>3042000</v>
      </c>
      <c r="P41" s="26">
        <f t="shared" si="1"/>
        <v>3042000</v>
      </c>
      <c r="R41" s="75"/>
      <c r="U41" s="77"/>
    </row>
    <row r="42" spans="1:21" s="1" customFormat="1" x14ac:dyDescent="0.25">
      <c r="A42" s="84">
        <v>33</v>
      </c>
      <c r="B42" s="24">
        <v>42565</v>
      </c>
      <c r="C42" s="1">
        <v>499</v>
      </c>
      <c r="E42" s="1">
        <v>3000031253</v>
      </c>
      <c r="F42" s="1" t="s">
        <v>175</v>
      </c>
      <c r="G42" s="18">
        <v>22009108</v>
      </c>
      <c r="H42" s="25">
        <v>42542</v>
      </c>
      <c r="I42" s="25">
        <v>42542</v>
      </c>
      <c r="J42" s="1" t="s">
        <v>63</v>
      </c>
      <c r="K42" s="1">
        <v>31.85</v>
      </c>
      <c r="L42" s="1">
        <v>34.85</v>
      </c>
      <c r="M42" s="1">
        <f t="shared" si="0"/>
        <v>31.85</v>
      </c>
      <c r="N42" s="7">
        <f t="shared" si="2"/>
        <v>42556</v>
      </c>
      <c r="O42" s="1">
        <v>2944825</v>
      </c>
      <c r="P42" s="26">
        <f t="shared" si="1"/>
        <v>2944825</v>
      </c>
      <c r="R42" s="75"/>
      <c r="U42" s="77"/>
    </row>
    <row r="43" spans="1:21" s="1" customFormat="1" x14ac:dyDescent="0.25">
      <c r="A43" s="1">
        <v>34</v>
      </c>
      <c r="B43" s="24">
        <v>42565</v>
      </c>
      <c r="C43" s="1">
        <v>499</v>
      </c>
      <c r="E43" s="1">
        <v>3000031253</v>
      </c>
      <c r="F43" s="1" t="s">
        <v>175</v>
      </c>
      <c r="G43" s="18">
        <v>22009111</v>
      </c>
      <c r="H43" s="25">
        <v>42543</v>
      </c>
      <c r="I43" s="25">
        <v>42543</v>
      </c>
      <c r="J43" s="1" t="s">
        <v>63</v>
      </c>
      <c r="K43" s="1">
        <v>28.77</v>
      </c>
      <c r="L43" s="1">
        <v>28.77</v>
      </c>
      <c r="M43" s="1">
        <f t="shared" si="0"/>
        <v>28.77</v>
      </c>
      <c r="N43" s="7">
        <f t="shared" si="2"/>
        <v>42557</v>
      </c>
      <c r="O43" s="1">
        <v>2431065</v>
      </c>
      <c r="P43" s="26">
        <f t="shared" si="1"/>
        <v>2431065</v>
      </c>
      <c r="R43" s="75"/>
      <c r="U43" s="77"/>
    </row>
    <row r="44" spans="1:21" s="1" customFormat="1" x14ac:dyDescent="0.25">
      <c r="A44" s="84">
        <v>35</v>
      </c>
      <c r="B44" s="24">
        <v>42565</v>
      </c>
      <c r="C44" s="1">
        <v>499</v>
      </c>
      <c r="E44" s="1">
        <v>3000031253</v>
      </c>
      <c r="F44" s="1" t="s">
        <v>175</v>
      </c>
      <c r="G44" s="18">
        <v>22009112</v>
      </c>
      <c r="H44" s="25">
        <v>42543</v>
      </c>
      <c r="I44" s="25">
        <v>42543</v>
      </c>
      <c r="J44" s="1" t="s">
        <v>63</v>
      </c>
      <c r="K44" s="1">
        <v>20.38</v>
      </c>
      <c r="L44" s="1">
        <v>20.38</v>
      </c>
      <c r="M44" s="1">
        <f t="shared" si="0"/>
        <v>20.38</v>
      </c>
      <c r="N44" s="7">
        <f t="shared" si="2"/>
        <v>42557</v>
      </c>
      <c r="O44" s="1">
        <v>1722110</v>
      </c>
      <c r="P44" s="26">
        <f t="shared" si="1"/>
        <v>1722110</v>
      </c>
      <c r="R44" s="75"/>
      <c r="U44" s="77"/>
    </row>
    <row r="45" spans="1:21" s="1" customFormat="1" x14ac:dyDescent="0.25">
      <c r="A45" s="1">
        <v>36</v>
      </c>
      <c r="B45" s="24">
        <v>42565</v>
      </c>
      <c r="C45" s="1">
        <v>499</v>
      </c>
      <c r="E45" s="1">
        <v>3000031253</v>
      </c>
      <c r="F45" s="1" t="s">
        <v>175</v>
      </c>
      <c r="G45" s="18">
        <v>22009113</v>
      </c>
      <c r="H45" s="25">
        <v>42543</v>
      </c>
      <c r="I45" s="25">
        <v>42543</v>
      </c>
      <c r="J45" s="1" t="s">
        <v>63</v>
      </c>
      <c r="K45" s="1">
        <v>15.98</v>
      </c>
      <c r="L45" s="1">
        <v>15.98</v>
      </c>
      <c r="M45" s="1">
        <f t="shared" si="0"/>
        <v>15.98</v>
      </c>
      <c r="N45" s="7">
        <f t="shared" si="2"/>
        <v>42557</v>
      </c>
      <c r="O45" s="1">
        <v>1350310</v>
      </c>
      <c r="P45" s="26">
        <f t="shared" si="1"/>
        <v>1350310</v>
      </c>
      <c r="R45" s="75"/>
      <c r="U45" s="77"/>
    </row>
    <row r="46" spans="1:21" s="1" customFormat="1" x14ac:dyDescent="0.25">
      <c r="A46" s="84">
        <v>37</v>
      </c>
      <c r="B46" s="24">
        <v>42565</v>
      </c>
      <c r="C46" s="1">
        <v>499</v>
      </c>
      <c r="E46" s="1">
        <v>3000031253</v>
      </c>
      <c r="F46" s="1" t="s">
        <v>175</v>
      </c>
      <c r="G46" s="18">
        <v>22009114</v>
      </c>
      <c r="H46" s="25">
        <v>42544</v>
      </c>
      <c r="I46" s="25">
        <v>42544</v>
      </c>
      <c r="J46" s="1" t="s">
        <v>63</v>
      </c>
      <c r="K46" s="1">
        <v>16.04</v>
      </c>
      <c r="L46" s="1">
        <v>16.04</v>
      </c>
      <c r="M46" s="1">
        <f t="shared" si="0"/>
        <v>16.04</v>
      </c>
      <c r="N46" s="7">
        <f t="shared" si="2"/>
        <v>42558</v>
      </c>
      <c r="O46" s="1">
        <v>1355380</v>
      </c>
      <c r="P46" s="26">
        <f t="shared" si="1"/>
        <v>1355380</v>
      </c>
      <c r="R46" s="75"/>
      <c r="U46" s="77"/>
    </row>
    <row r="47" spans="1:21" s="1" customFormat="1" x14ac:dyDescent="0.25">
      <c r="A47" s="1">
        <v>38</v>
      </c>
      <c r="B47" s="24">
        <v>42565</v>
      </c>
      <c r="C47" s="1">
        <v>499</v>
      </c>
      <c r="E47" s="1">
        <v>3000031253</v>
      </c>
      <c r="F47" s="1" t="s">
        <v>175</v>
      </c>
      <c r="G47" s="18">
        <v>22009115</v>
      </c>
      <c r="H47" s="25">
        <v>42544</v>
      </c>
      <c r="I47" s="25">
        <v>42544</v>
      </c>
      <c r="J47" s="1" t="s">
        <v>63</v>
      </c>
      <c r="K47" s="1">
        <v>19.48</v>
      </c>
      <c r="L47" s="1">
        <v>19.48</v>
      </c>
      <c r="M47" s="1">
        <f t="shared" si="0"/>
        <v>19.48</v>
      </c>
      <c r="N47" s="7">
        <f t="shared" si="2"/>
        <v>42558</v>
      </c>
      <c r="O47" s="1">
        <v>1646060</v>
      </c>
      <c r="P47" s="26">
        <f t="shared" si="1"/>
        <v>1646060</v>
      </c>
      <c r="R47" s="75"/>
      <c r="U47" s="77"/>
    </row>
    <row r="48" spans="1:21" s="5" customFormat="1" x14ac:dyDescent="0.25">
      <c r="A48" s="95">
        <v>39</v>
      </c>
      <c r="B48" s="278">
        <v>42713</v>
      </c>
      <c r="C48" s="5">
        <v>499</v>
      </c>
      <c r="E48" s="5">
        <v>3000036607</v>
      </c>
      <c r="F48" s="5" t="s">
        <v>361</v>
      </c>
      <c r="G48" s="5">
        <v>209</v>
      </c>
      <c r="H48" s="5" t="s">
        <v>416</v>
      </c>
      <c r="I48" s="5">
        <v>9499740023</v>
      </c>
      <c r="J48" s="279">
        <v>42699</v>
      </c>
      <c r="K48" s="279">
        <v>42704</v>
      </c>
      <c r="L48" s="5" t="s">
        <v>362</v>
      </c>
      <c r="M48" s="5">
        <v>20.25</v>
      </c>
      <c r="N48" s="5">
        <v>20.13</v>
      </c>
      <c r="O48" s="5">
        <f t="shared" ref="O48:O79" si="3">IF(N48&gt;M48,M48,N48)</f>
        <v>20.13</v>
      </c>
      <c r="P48" s="280">
        <f t="shared" ref="P48:P77" si="4">+K48+20-1</f>
        <v>42723</v>
      </c>
      <c r="Q48" s="5">
        <v>1954000</v>
      </c>
      <c r="R48" s="275">
        <f>(+Q48/M48*O48)</f>
        <v>1942420.7407407404</v>
      </c>
      <c r="S48" s="277">
        <v>42725</v>
      </c>
      <c r="T48" s="277">
        <v>42727</v>
      </c>
      <c r="U48" s="281"/>
    </row>
    <row r="49" spans="1:21" s="1" customFormat="1" x14ac:dyDescent="0.25">
      <c r="A49" s="84">
        <v>73</v>
      </c>
      <c r="B49" s="24">
        <v>42720</v>
      </c>
      <c r="C49" s="1">
        <v>499</v>
      </c>
      <c r="E49" s="1">
        <v>3000036607</v>
      </c>
      <c r="F49" s="1" t="s">
        <v>361</v>
      </c>
      <c r="G49" s="1">
        <v>223</v>
      </c>
      <c r="H49" s="1" t="s">
        <v>396</v>
      </c>
      <c r="I49" s="1">
        <v>9499740038</v>
      </c>
      <c r="J49" s="25">
        <v>42706</v>
      </c>
      <c r="K49" s="25">
        <v>42710</v>
      </c>
      <c r="L49" s="1" t="s">
        <v>362</v>
      </c>
      <c r="M49" s="1">
        <v>19.72</v>
      </c>
      <c r="N49" s="1">
        <v>19.72</v>
      </c>
      <c r="O49" s="1">
        <f t="shared" si="3"/>
        <v>19.72</v>
      </c>
      <c r="P49" s="7">
        <f t="shared" si="4"/>
        <v>42729</v>
      </c>
      <c r="Q49" s="1">
        <v>1903023</v>
      </c>
      <c r="R49" s="275">
        <f>(+Q49/M49*O49)</f>
        <v>1903023</v>
      </c>
      <c r="S49" s="277">
        <v>42725</v>
      </c>
      <c r="T49" s="277">
        <v>42727</v>
      </c>
      <c r="U49" s="77"/>
    </row>
    <row r="50" spans="1:21" s="21" customFormat="1" x14ac:dyDescent="0.25">
      <c r="A50" s="21">
        <v>40</v>
      </c>
      <c r="B50" s="51">
        <v>42713</v>
      </c>
      <c r="C50" s="21">
        <v>499</v>
      </c>
      <c r="E50" s="21">
        <v>3000036617</v>
      </c>
      <c r="F50" s="21" t="s">
        <v>363</v>
      </c>
      <c r="G50" s="21">
        <v>176</v>
      </c>
      <c r="H50" s="21" t="s">
        <v>407</v>
      </c>
      <c r="I50" s="21">
        <v>9499710024</v>
      </c>
      <c r="J50" s="52">
        <v>42698</v>
      </c>
      <c r="K50" s="52">
        <v>42704</v>
      </c>
      <c r="L50" s="21" t="s">
        <v>362</v>
      </c>
      <c r="M50" s="21">
        <v>19.704999999999998</v>
      </c>
      <c r="N50" s="21">
        <v>19.739999999999998</v>
      </c>
      <c r="O50" s="21">
        <f t="shared" si="3"/>
        <v>19.704999999999998</v>
      </c>
      <c r="P50" s="22">
        <f t="shared" si="4"/>
        <v>42723</v>
      </c>
      <c r="Q50" s="21">
        <v>1872030</v>
      </c>
      <c r="R50" s="275">
        <f>(+Q50/M50*O50)-7015</f>
        <v>1865015</v>
      </c>
      <c r="S50" s="277">
        <v>42725</v>
      </c>
      <c r="T50" s="277">
        <v>42727</v>
      </c>
      <c r="U50" s="124"/>
    </row>
    <row r="51" spans="1:21" s="1" customFormat="1" x14ac:dyDescent="0.25">
      <c r="A51" s="1">
        <v>80</v>
      </c>
      <c r="B51" s="24">
        <v>42720</v>
      </c>
      <c r="C51" s="1">
        <v>499</v>
      </c>
      <c r="E51" s="1">
        <v>3000036615</v>
      </c>
      <c r="F51" s="1" t="s">
        <v>363</v>
      </c>
      <c r="G51" s="1">
        <v>177</v>
      </c>
      <c r="H51" s="1" t="s">
        <v>403</v>
      </c>
      <c r="I51" s="1">
        <v>9499740030</v>
      </c>
      <c r="J51" s="25">
        <v>42699</v>
      </c>
      <c r="K51" s="25">
        <v>42705</v>
      </c>
      <c r="L51" s="1" t="s">
        <v>362</v>
      </c>
      <c r="M51" s="1">
        <v>19.905000000000001</v>
      </c>
      <c r="N51" s="1">
        <v>19.899999999999999</v>
      </c>
      <c r="O51" s="1">
        <f t="shared" si="3"/>
        <v>19.899999999999999</v>
      </c>
      <c r="P51" s="7">
        <f t="shared" si="4"/>
        <v>42724</v>
      </c>
      <c r="Q51" s="1">
        <v>1940773</v>
      </c>
      <c r="R51" s="275">
        <f>(+Q51/M51*O51)</f>
        <v>1940285.4910826425</v>
      </c>
      <c r="S51" s="277">
        <v>42725</v>
      </c>
      <c r="T51" s="277">
        <v>42727</v>
      </c>
      <c r="U51" s="77"/>
    </row>
    <row r="52" spans="1:21" s="1" customFormat="1" x14ac:dyDescent="0.25">
      <c r="A52" s="84">
        <v>41</v>
      </c>
      <c r="B52" s="24">
        <v>42713</v>
      </c>
      <c r="C52" s="1">
        <v>499</v>
      </c>
      <c r="E52" s="1">
        <v>3000036731</v>
      </c>
      <c r="F52" s="1" t="s">
        <v>169</v>
      </c>
      <c r="G52" s="1">
        <v>233</v>
      </c>
      <c r="H52" s="1" t="s">
        <v>408</v>
      </c>
      <c r="I52" s="1">
        <v>9499740021</v>
      </c>
      <c r="J52" s="25">
        <v>42698</v>
      </c>
      <c r="K52" s="25">
        <v>42704</v>
      </c>
      <c r="L52" s="1" t="s">
        <v>362</v>
      </c>
      <c r="M52" s="1">
        <v>20.52</v>
      </c>
      <c r="N52" s="1">
        <v>20.47</v>
      </c>
      <c r="O52" s="1">
        <f t="shared" si="3"/>
        <v>20.47</v>
      </c>
      <c r="P52" s="7">
        <f t="shared" si="4"/>
        <v>42723</v>
      </c>
      <c r="Q52" s="1">
        <v>2000700</v>
      </c>
      <c r="R52" s="275">
        <f>(+Q52/M52*O52)</f>
        <v>1995825</v>
      </c>
      <c r="S52" s="277">
        <v>42725</v>
      </c>
      <c r="T52" s="277">
        <v>42727</v>
      </c>
      <c r="U52" s="77"/>
    </row>
    <row r="53" spans="1:21" s="1" customFormat="1" x14ac:dyDescent="0.25">
      <c r="A53" s="1">
        <v>42</v>
      </c>
      <c r="B53" s="24">
        <v>42713</v>
      </c>
      <c r="C53" s="1">
        <v>499</v>
      </c>
      <c r="E53" s="1">
        <v>3000036761</v>
      </c>
      <c r="F53" s="1" t="s">
        <v>169</v>
      </c>
      <c r="G53" s="1">
        <v>234</v>
      </c>
      <c r="H53" s="1" t="s">
        <v>409</v>
      </c>
      <c r="I53" s="1">
        <v>9499740021</v>
      </c>
      <c r="J53" s="25">
        <v>42698</v>
      </c>
      <c r="K53" s="25">
        <v>42704</v>
      </c>
      <c r="L53" s="1" t="s">
        <v>362</v>
      </c>
      <c r="M53" s="1">
        <v>19.96</v>
      </c>
      <c r="N53" s="1">
        <v>19.899999999999999</v>
      </c>
      <c r="O53" s="1">
        <f t="shared" si="3"/>
        <v>19.899999999999999</v>
      </c>
      <c r="P53" s="7">
        <f t="shared" si="4"/>
        <v>42723</v>
      </c>
      <c r="Q53" s="1">
        <v>1946100</v>
      </c>
      <c r="R53" s="275">
        <f>(+Q53/M53*O53)</f>
        <v>1940249.9999999998</v>
      </c>
      <c r="S53" s="277">
        <v>42725</v>
      </c>
      <c r="T53" s="277">
        <v>42727</v>
      </c>
      <c r="U53" s="77"/>
    </row>
    <row r="54" spans="1:21" s="21" customFormat="1" x14ac:dyDescent="0.25">
      <c r="A54" s="21">
        <v>43</v>
      </c>
      <c r="B54" s="51">
        <v>42713</v>
      </c>
      <c r="C54" s="21">
        <v>499</v>
      </c>
      <c r="E54" s="21">
        <v>3000036612</v>
      </c>
      <c r="F54" s="21" t="s">
        <v>169</v>
      </c>
      <c r="G54" s="21">
        <v>235</v>
      </c>
      <c r="H54" s="21" t="s">
        <v>410</v>
      </c>
      <c r="I54" s="21">
        <v>9499740021</v>
      </c>
      <c r="J54" s="52">
        <v>42698</v>
      </c>
      <c r="K54" s="52">
        <v>42704</v>
      </c>
      <c r="L54" s="21" t="s">
        <v>362</v>
      </c>
      <c r="M54" s="21">
        <v>19.940000000000001</v>
      </c>
      <c r="N54" s="21">
        <v>19.88</v>
      </c>
      <c r="O54" s="21">
        <f t="shared" si="3"/>
        <v>19.88</v>
      </c>
      <c r="P54" s="22">
        <f t="shared" si="4"/>
        <v>42723</v>
      </c>
      <c r="Q54" s="21">
        <v>1944150</v>
      </c>
      <c r="R54" s="275">
        <f>(+Q54/M54*O54)-9363</f>
        <v>1928937</v>
      </c>
      <c r="S54" s="277">
        <v>42725</v>
      </c>
      <c r="T54" s="277">
        <v>42727</v>
      </c>
      <c r="U54" s="124"/>
    </row>
    <row r="55" spans="1:21" s="1" customFormat="1" x14ac:dyDescent="0.25">
      <c r="A55" s="84">
        <v>67</v>
      </c>
      <c r="B55" s="24">
        <v>42720</v>
      </c>
      <c r="C55" s="1">
        <v>499</v>
      </c>
      <c r="E55" s="1">
        <v>3000036719</v>
      </c>
      <c r="F55" s="1" t="s">
        <v>169</v>
      </c>
      <c r="G55" s="1">
        <v>236</v>
      </c>
      <c r="H55" s="1" t="s">
        <v>390</v>
      </c>
      <c r="I55" s="1">
        <v>9499740041</v>
      </c>
      <c r="J55" s="25">
        <v>42705</v>
      </c>
      <c r="K55" s="25">
        <v>42711</v>
      </c>
      <c r="L55" s="1" t="s">
        <v>362</v>
      </c>
      <c r="M55" s="1">
        <v>20.27</v>
      </c>
      <c r="N55" s="1">
        <v>20.28</v>
      </c>
      <c r="O55" s="1">
        <f t="shared" si="3"/>
        <v>20.27</v>
      </c>
      <c r="P55" s="7">
        <f t="shared" si="4"/>
        <v>42730</v>
      </c>
      <c r="Q55" s="1">
        <v>2087810</v>
      </c>
      <c r="R55" s="275">
        <f t="shared" ref="R55:R81" si="5">(+Q55/M55*O55)</f>
        <v>2087810</v>
      </c>
      <c r="S55" s="277">
        <v>42725</v>
      </c>
      <c r="T55" s="277">
        <v>42727</v>
      </c>
      <c r="U55" s="77"/>
    </row>
    <row r="56" spans="1:21" s="1" customFormat="1" x14ac:dyDescent="0.25">
      <c r="A56" s="1">
        <v>68</v>
      </c>
      <c r="B56" s="24">
        <v>42720</v>
      </c>
      <c r="C56" s="1">
        <v>499</v>
      </c>
      <c r="E56" s="1">
        <v>3000036719</v>
      </c>
      <c r="F56" s="1" t="s">
        <v>169</v>
      </c>
      <c r="G56" s="1">
        <v>237</v>
      </c>
      <c r="H56" s="1" t="s">
        <v>391</v>
      </c>
      <c r="I56" s="1">
        <v>9499740041</v>
      </c>
      <c r="J56" s="25">
        <v>42705</v>
      </c>
      <c r="K56" s="25">
        <v>42711</v>
      </c>
      <c r="L56" s="1" t="s">
        <v>362</v>
      </c>
      <c r="M56" s="1">
        <v>19.73</v>
      </c>
      <c r="N56" s="1">
        <v>19.75</v>
      </c>
      <c r="O56" s="1">
        <f t="shared" si="3"/>
        <v>19.73</v>
      </c>
      <c r="P56" s="7">
        <f t="shared" si="4"/>
        <v>42730</v>
      </c>
      <c r="Q56" s="1">
        <v>2032190</v>
      </c>
      <c r="R56" s="275">
        <f t="shared" si="5"/>
        <v>2032190</v>
      </c>
      <c r="S56" s="277">
        <v>42725</v>
      </c>
      <c r="T56" s="277">
        <v>42727</v>
      </c>
      <c r="U56" s="77"/>
    </row>
    <row r="57" spans="1:21" s="1" customFormat="1" x14ac:dyDescent="0.25">
      <c r="A57" s="1">
        <v>52</v>
      </c>
      <c r="B57" s="24">
        <v>42720</v>
      </c>
      <c r="C57" s="1">
        <v>499</v>
      </c>
      <c r="E57" s="1">
        <v>3000036627</v>
      </c>
      <c r="F57" s="1" t="s">
        <v>215</v>
      </c>
      <c r="G57" s="1">
        <v>243</v>
      </c>
      <c r="H57" s="1" t="s">
        <v>375</v>
      </c>
      <c r="I57" s="1">
        <v>9499740026</v>
      </c>
      <c r="J57" s="25">
        <v>42699</v>
      </c>
      <c r="K57" s="25">
        <v>42706</v>
      </c>
      <c r="L57" s="1" t="s">
        <v>362</v>
      </c>
      <c r="M57" s="1">
        <v>20</v>
      </c>
      <c r="N57" s="1">
        <v>19.95</v>
      </c>
      <c r="O57" s="1">
        <f t="shared" si="3"/>
        <v>19.95</v>
      </c>
      <c r="P57" s="7">
        <f t="shared" si="4"/>
        <v>42725</v>
      </c>
      <c r="Q57" s="1">
        <v>1950000</v>
      </c>
      <c r="R57" s="275">
        <f t="shared" si="5"/>
        <v>1945125</v>
      </c>
      <c r="S57" s="277">
        <v>42725</v>
      </c>
      <c r="T57" s="277">
        <v>42727</v>
      </c>
      <c r="U57" s="77"/>
    </row>
    <row r="58" spans="1:21" s="1" customFormat="1" x14ac:dyDescent="0.25">
      <c r="A58" s="1">
        <v>44</v>
      </c>
      <c r="B58" s="24">
        <v>42713</v>
      </c>
      <c r="C58" s="1">
        <v>499</v>
      </c>
      <c r="E58" s="1">
        <v>3000036762</v>
      </c>
      <c r="F58" s="1" t="s">
        <v>215</v>
      </c>
      <c r="G58" s="1">
        <v>244</v>
      </c>
      <c r="H58" s="1" t="s">
        <v>411</v>
      </c>
      <c r="I58" s="1">
        <v>9499740026</v>
      </c>
      <c r="J58" s="25">
        <v>42699</v>
      </c>
      <c r="K58" s="25">
        <v>42704</v>
      </c>
      <c r="L58" s="1" t="s">
        <v>362</v>
      </c>
      <c r="M58" s="1">
        <v>20.21</v>
      </c>
      <c r="N58" s="1">
        <v>20.23</v>
      </c>
      <c r="O58" s="1">
        <f t="shared" si="3"/>
        <v>20.21</v>
      </c>
      <c r="P58" s="7">
        <f t="shared" si="4"/>
        <v>42723</v>
      </c>
      <c r="Q58" s="1">
        <v>1970475</v>
      </c>
      <c r="R58" s="275">
        <f t="shared" si="5"/>
        <v>1970475</v>
      </c>
      <c r="S58" s="277">
        <v>42725</v>
      </c>
      <c r="T58" s="277">
        <v>42727</v>
      </c>
      <c r="U58" s="77"/>
    </row>
    <row r="59" spans="1:21" s="1" customFormat="1" x14ac:dyDescent="0.25">
      <c r="A59" s="84">
        <v>45</v>
      </c>
      <c r="B59" s="24">
        <v>42713</v>
      </c>
      <c r="C59" s="1">
        <v>499</v>
      </c>
      <c r="E59" s="1">
        <v>3000036529</v>
      </c>
      <c r="F59" s="1" t="s">
        <v>364</v>
      </c>
      <c r="G59" s="1">
        <v>69</v>
      </c>
      <c r="H59" s="1" t="s">
        <v>412</v>
      </c>
      <c r="I59" s="1">
        <v>9499740022</v>
      </c>
      <c r="J59" s="25">
        <v>42697</v>
      </c>
      <c r="K59" s="25">
        <v>42704</v>
      </c>
      <c r="L59" s="1" t="s">
        <v>362</v>
      </c>
      <c r="M59" s="1">
        <v>19.920000000000002</v>
      </c>
      <c r="N59" s="1">
        <v>19.940000000000001</v>
      </c>
      <c r="O59" s="1">
        <f t="shared" si="3"/>
        <v>19.920000000000002</v>
      </c>
      <c r="P59" s="7">
        <f t="shared" si="4"/>
        <v>42723</v>
      </c>
      <c r="Q59" s="1">
        <v>1912320</v>
      </c>
      <c r="R59" s="275">
        <f t="shared" si="5"/>
        <v>1912319.9999999998</v>
      </c>
      <c r="S59" s="277">
        <v>42725</v>
      </c>
      <c r="T59" s="277">
        <v>42727</v>
      </c>
      <c r="U59" s="77"/>
    </row>
    <row r="60" spans="1:21" s="1" customFormat="1" x14ac:dyDescent="0.25">
      <c r="A60" s="1">
        <v>46</v>
      </c>
      <c r="B60" s="24">
        <v>42713</v>
      </c>
      <c r="C60" s="1">
        <v>499</v>
      </c>
      <c r="E60" s="1">
        <v>3000036529</v>
      </c>
      <c r="F60" s="1" t="s">
        <v>364</v>
      </c>
      <c r="G60" s="1">
        <v>70</v>
      </c>
      <c r="H60" s="1" t="s">
        <v>413</v>
      </c>
      <c r="I60" s="1">
        <v>9499740022</v>
      </c>
      <c r="J60" s="25">
        <v>42697</v>
      </c>
      <c r="K60" s="25">
        <v>42704</v>
      </c>
      <c r="L60" s="1" t="s">
        <v>362</v>
      </c>
      <c r="M60" s="1">
        <v>19.75</v>
      </c>
      <c r="N60" s="1">
        <v>19.75</v>
      </c>
      <c r="O60" s="1">
        <f t="shared" si="3"/>
        <v>19.75</v>
      </c>
      <c r="P60" s="7">
        <f t="shared" si="4"/>
        <v>42723</v>
      </c>
      <c r="Q60" s="1">
        <v>1896000</v>
      </c>
      <c r="R60" s="275">
        <f t="shared" si="5"/>
        <v>1896000</v>
      </c>
      <c r="S60" s="277">
        <v>42725</v>
      </c>
      <c r="T60" s="277">
        <v>42727</v>
      </c>
      <c r="U60" s="77"/>
    </row>
    <row r="61" spans="1:21" s="1" customFormat="1" x14ac:dyDescent="0.25">
      <c r="A61" s="84">
        <v>47</v>
      </c>
      <c r="B61" s="24">
        <v>42713</v>
      </c>
      <c r="C61" s="1">
        <v>499</v>
      </c>
      <c r="E61" s="1">
        <v>3000036529</v>
      </c>
      <c r="F61" s="1" t="s">
        <v>364</v>
      </c>
      <c r="G61" s="1">
        <v>71</v>
      </c>
      <c r="H61" s="1" t="s">
        <v>414</v>
      </c>
      <c r="I61" s="1">
        <v>9499740022</v>
      </c>
      <c r="J61" s="25">
        <v>42698</v>
      </c>
      <c r="K61" s="25">
        <v>42704</v>
      </c>
      <c r="L61" s="1" t="s">
        <v>362</v>
      </c>
      <c r="M61" s="1">
        <v>20.23</v>
      </c>
      <c r="N61" s="1">
        <v>20.23</v>
      </c>
      <c r="O61" s="1">
        <f t="shared" si="3"/>
        <v>20.23</v>
      </c>
      <c r="P61" s="7">
        <f t="shared" si="4"/>
        <v>42723</v>
      </c>
      <c r="Q61" s="1">
        <v>1942080</v>
      </c>
      <c r="R61" s="275">
        <f t="shared" si="5"/>
        <v>1942080</v>
      </c>
      <c r="S61" s="277">
        <v>42725</v>
      </c>
      <c r="T61" s="277">
        <v>42727</v>
      </c>
      <c r="U61" s="77"/>
    </row>
    <row r="62" spans="1:21" s="1" customFormat="1" x14ac:dyDescent="0.25">
      <c r="A62" s="1">
        <v>48</v>
      </c>
      <c r="B62" s="24">
        <v>42713</v>
      </c>
      <c r="C62" s="1">
        <v>499</v>
      </c>
      <c r="E62" s="1">
        <v>3000036529</v>
      </c>
      <c r="F62" s="1" t="s">
        <v>364</v>
      </c>
      <c r="G62" s="1">
        <v>72</v>
      </c>
      <c r="H62" s="1" t="s">
        <v>415</v>
      </c>
      <c r="I62" s="1">
        <v>9499740025</v>
      </c>
      <c r="J62" s="25">
        <v>42699</v>
      </c>
      <c r="K62" s="25">
        <v>42704</v>
      </c>
      <c r="L62" s="1" t="s">
        <v>362</v>
      </c>
      <c r="M62" s="1">
        <v>19.78</v>
      </c>
      <c r="N62" s="1">
        <v>19.77</v>
      </c>
      <c r="O62" s="1">
        <f t="shared" si="3"/>
        <v>19.77</v>
      </c>
      <c r="P62" s="7">
        <f t="shared" si="4"/>
        <v>42723</v>
      </c>
      <c r="Q62" s="1">
        <v>1879100</v>
      </c>
      <c r="R62" s="275">
        <f t="shared" si="5"/>
        <v>1878150</v>
      </c>
      <c r="S62" s="277">
        <v>42725</v>
      </c>
      <c r="T62" s="277">
        <v>42727</v>
      </c>
      <c r="U62" s="77"/>
    </row>
    <row r="63" spans="1:21" s="1" customFormat="1" x14ac:dyDescent="0.25">
      <c r="A63" s="84">
        <v>81</v>
      </c>
      <c r="B63" s="24">
        <v>42720</v>
      </c>
      <c r="C63" s="1">
        <v>499</v>
      </c>
      <c r="E63" s="1">
        <v>3000036616</v>
      </c>
      <c r="F63" s="1" t="s">
        <v>364</v>
      </c>
      <c r="G63" s="1">
        <v>73</v>
      </c>
      <c r="H63" s="1" t="s">
        <v>404</v>
      </c>
      <c r="I63" s="1">
        <v>9499740028</v>
      </c>
      <c r="J63" s="25">
        <v>42700</v>
      </c>
      <c r="K63" s="25">
        <v>42705</v>
      </c>
      <c r="L63" s="1" t="s">
        <v>362</v>
      </c>
      <c r="M63" s="1">
        <v>20.12</v>
      </c>
      <c r="N63" s="1">
        <v>20.079999999999998</v>
      </c>
      <c r="O63" s="1">
        <f t="shared" si="3"/>
        <v>20.079999999999998</v>
      </c>
      <c r="P63" s="7">
        <f t="shared" si="4"/>
        <v>42724</v>
      </c>
      <c r="Q63" s="1">
        <v>1911400</v>
      </c>
      <c r="R63" s="275">
        <f t="shared" si="5"/>
        <v>1907599.9999999998</v>
      </c>
      <c r="S63" s="277">
        <v>42725</v>
      </c>
      <c r="T63" s="277">
        <v>42727</v>
      </c>
      <c r="U63" s="77"/>
    </row>
    <row r="64" spans="1:21" s="1" customFormat="1" x14ac:dyDescent="0.25">
      <c r="A64" s="1">
        <v>70</v>
      </c>
      <c r="B64" s="24">
        <v>42720</v>
      </c>
      <c r="C64" s="1">
        <v>499</v>
      </c>
      <c r="E64" s="1">
        <v>3000036613</v>
      </c>
      <c r="F64" s="1" t="s">
        <v>364</v>
      </c>
      <c r="G64" s="1">
        <v>74</v>
      </c>
      <c r="H64" s="1" t="s">
        <v>393</v>
      </c>
      <c r="I64" s="1">
        <v>9499740040</v>
      </c>
      <c r="J64" s="25">
        <v>42703</v>
      </c>
      <c r="K64" s="25">
        <v>42711</v>
      </c>
      <c r="L64" s="1" t="s">
        <v>362</v>
      </c>
      <c r="M64" s="1">
        <v>24.31</v>
      </c>
      <c r="N64" s="1">
        <v>24.26</v>
      </c>
      <c r="O64" s="1">
        <f t="shared" si="3"/>
        <v>24.26</v>
      </c>
      <c r="P64" s="7">
        <f t="shared" si="4"/>
        <v>42730</v>
      </c>
      <c r="Q64" s="1">
        <v>2370225</v>
      </c>
      <c r="R64" s="275">
        <f t="shared" si="5"/>
        <v>2365350</v>
      </c>
      <c r="S64" s="277">
        <v>42725</v>
      </c>
      <c r="T64" s="277">
        <v>42727</v>
      </c>
      <c r="U64" s="77"/>
    </row>
    <row r="65" spans="1:27" s="1" customFormat="1" x14ac:dyDescent="0.25">
      <c r="A65" s="84">
        <v>71</v>
      </c>
      <c r="B65" s="24">
        <v>42720</v>
      </c>
      <c r="C65" s="1">
        <v>499</v>
      </c>
      <c r="E65" s="1">
        <v>3000036613</v>
      </c>
      <c r="F65" s="1" t="s">
        <v>364</v>
      </c>
      <c r="G65" s="1">
        <v>75</v>
      </c>
      <c r="H65" s="1" t="s">
        <v>394</v>
      </c>
      <c r="I65" s="1">
        <v>9499740040</v>
      </c>
      <c r="J65" s="25">
        <v>42706</v>
      </c>
      <c r="K65" s="25">
        <v>42711</v>
      </c>
      <c r="L65" s="1" t="s">
        <v>362</v>
      </c>
      <c r="M65" s="1">
        <v>15.89</v>
      </c>
      <c r="N65" s="1">
        <v>15.89</v>
      </c>
      <c r="O65" s="1">
        <f t="shared" si="3"/>
        <v>15.89</v>
      </c>
      <c r="P65" s="7">
        <f t="shared" si="4"/>
        <v>42730</v>
      </c>
      <c r="Q65" s="1">
        <v>1549275</v>
      </c>
      <c r="R65" s="275">
        <f t="shared" si="5"/>
        <v>1549275</v>
      </c>
      <c r="S65" s="277">
        <v>42725</v>
      </c>
      <c r="T65" s="277">
        <v>42727</v>
      </c>
      <c r="U65" s="77"/>
    </row>
    <row r="66" spans="1:27" s="1" customFormat="1" x14ac:dyDescent="0.25">
      <c r="A66" s="84">
        <v>79</v>
      </c>
      <c r="B66" s="24">
        <v>42720</v>
      </c>
      <c r="C66" s="1">
        <v>499</v>
      </c>
      <c r="E66" s="1">
        <v>3000036884</v>
      </c>
      <c r="F66" s="1" t="s">
        <v>202</v>
      </c>
      <c r="G66" s="1">
        <v>209</v>
      </c>
      <c r="H66" s="1" t="s">
        <v>402</v>
      </c>
      <c r="I66" s="1">
        <v>9499740031</v>
      </c>
      <c r="J66" s="25">
        <v>42703</v>
      </c>
      <c r="K66" s="25">
        <v>42706</v>
      </c>
      <c r="L66" s="1" t="s">
        <v>362</v>
      </c>
      <c r="M66" s="1">
        <v>20.149999999999999</v>
      </c>
      <c r="N66" s="1">
        <v>20.149999999999999</v>
      </c>
      <c r="O66" s="1">
        <f t="shared" si="3"/>
        <v>20.149999999999999</v>
      </c>
      <c r="P66" s="7">
        <f t="shared" si="4"/>
        <v>42725</v>
      </c>
      <c r="Q66" s="1">
        <v>2075450</v>
      </c>
      <c r="R66" s="275">
        <f t="shared" si="5"/>
        <v>2075449.9999999998</v>
      </c>
      <c r="S66" s="277">
        <v>42725</v>
      </c>
      <c r="T66" s="277">
        <v>42727</v>
      </c>
      <c r="U66" s="77"/>
    </row>
    <row r="67" spans="1:27" s="1" customFormat="1" x14ac:dyDescent="0.25">
      <c r="A67" s="1">
        <v>78</v>
      </c>
      <c r="B67" s="24">
        <v>42720</v>
      </c>
      <c r="C67" s="1">
        <v>499</v>
      </c>
      <c r="E67" s="1">
        <v>3000036725</v>
      </c>
      <c r="F67" s="1" t="s">
        <v>202</v>
      </c>
      <c r="G67" s="1">
        <v>210</v>
      </c>
      <c r="H67" s="1" t="s">
        <v>401</v>
      </c>
      <c r="I67" s="1">
        <v>9499740031</v>
      </c>
      <c r="J67" s="25">
        <v>42703</v>
      </c>
      <c r="K67" s="25">
        <v>42710</v>
      </c>
      <c r="L67" s="1" t="s">
        <v>362</v>
      </c>
      <c r="M67" s="1">
        <v>20.170000000000002</v>
      </c>
      <c r="N67" s="1">
        <v>20.16</v>
      </c>
      <c r="O67" s="1">
        <f t="shared" si="3"/>
        <v>20.16</v>
      </c>
      <c r="P67" s="7">
        <f t="shared" si="4"/>
        <v>42729</v>
      </c>
      <c r="Q67" s="1">
        <v>2077510</v>
      </c>
      <c r="R67" s="275">
        <f t="shared" si="5"/>
        <v>2076479.9999999998</v>
      </c>
      <c r="S67" s="277">
        <v>42725</v>
      </c>
      <c r="T67" s="277">
        <v>42727</v>
      </c>
      <c r="U67" s="77"/>
    </row>
    <row r="68" spans="1:27" s="1" customFormat="1" x14ac:dyDescent="0.25">
      <c r="A68" s="1">
        <v>82</v>
      </c>
      <c r="B68" s="24">
        <v>42720</v>
      </c>
      <c r="C68" s="1">
        <v>499</v>
      </c>
      <c r="E68" s="1">
        <v>3000036611</v>
      </c>
      <c r="F68" s="1" t="s">
        <v>171</v>
      </c>
      <c r="G68" s="1">
        <v>80</v>
      </c>
      <c r="H68" s="1" t="s">
        <v>405</v>
      </c>
      <c r="I68" s="1">
        <v>9499740027</v>
      </c>
      <c r="J68" s="25">
        <v>42700</v>
      </c>
      <c r="K68" s="25">
        <v>42705</v>
      </c>
      <c r="L68" s="1" t="s">
        <v>362</v>
      </c>
      <c r="M68" s="1">
        <v>19.670000000000002</v>
      </c>
      <c r="N68" s="1">
        <v>19.670000000000002</v>
      </c>
      <c r="O68" s="1">
        <f t="shared" si="3"/>
        <v>19.670000000000002</v>
      </c>
      <c r="P68" s="7">
        <f t="shared" si="4"/>
        <v>42724</v>
      </c>
      <c r="Q68" s="1">
        <v>1917860</v>
      </c>
      <c r="R68" s="275">
        <f t="shared" si="5"/>
        <v>1917860</v>
      </c>
      <c r="S68" s="277">
        <v>42725</v>
      </c>
      <c r="T68" s="277">
        <v>42727</v>
      </c>
      <c r="U68" s="77"/>
    </row>
    <row r="69" spans="1:27" s="1" customFormat="1" x14ac:dyDescent="0.25">
      <c r="A69" s="84">
        <v>83</v>
      </c>
      <c r="B69" s="24">
        <v>42720</v>
      </c>
      <c r="C69" s="1">
        <v>499</v>
      </c>
      <c r="E69" s="1">
        <v>3000036611</v>
      </c>
      <c r="F69" s="1" t="s">
        <v>171</v>
      </c>
      <c r="G69" s="1">
        <v>81</v>
      </c>
      <c r="H69" s="1" t="s">
        <v>406</v>
      </c>
      <c r="I69" s="1">
        <v>9499740027</v>
      </c>
      <c r="J69" s="25">
        <v>42701</v>
      </c>
      <c r="K69" s="25">
        <v>42707</v>
      </c>
      <c r="L69" s="1" t="s">
        <v>362</v>
      </c>
      <c r="M69" s="1">
        <v>19.93</v>
      </c>
      <c r="N69" s="1">
        <v>19.940000000000001</v>
      </c>
      <c r="O69" s="1">
        <f t="shared" si="3"/>
        <v>19.93</v>
      </c>
      <c r="P69" s="7">
        <f t="shared" si="4"/>
        <v>42726</v>
      </c>
      <c r="Q69" s="1">
        <v>1943211</v>
      </c>
      <c r="R69" s="275">
        <f t="shared" si="5"/>
        <v>1943211</v>
      </c>
      <c r="S69" s="277">
        <v>42725</v>
      </c>
      <c r="T69" s="277">
        <v>42727</v>
      </c>
      <c r="U69" s="77"/>
    </row>
    <row r="70" spans="1:27" s="1" customFormat="1" x14ac:dyDescent="0.25">
      <c r="A70" s="84">
        <v>75</v>
      </c>
      <c r="B70" s="24">
        <v>42720</v>
      </c>
      <c r="C70" s="1">
        <v>499</v>
      </c>
      <c r="E70" s="1">
        <v>3000036602</v>
      </c>
      <c r="F70" s="1" t="s">
        <v>171</v>
      </c>
      <c r="G70" s="1">
        <v>85</v>
      </c>
      <c r="H70" s="1" t="s">
        <v>398</v>
      </c>
      <c r="I70" s="1">
        <v>9499740036</v>
      </c>
      <c r="J70" s="25">
        <v>42704</v>
      </c>
      <c r="K70" s="25">
        <v>42710</v>
      </c>
      <c r="L70" s="1" t="s">
        <v>362</v>
      </c>
      <c r="M70" s="1">
        <v>20.079999999999998</v>
      </c>
      <c r="N70" s="1">
        <v>20.079999999999998</v>
      </c>
      <c r="O70" s="1">
        <f t="shared" si="3"/>
        <v>20.079999999999998</v>
      </c>
      <c r="P70" s="7">
        <f t="shared" si="4"/>
        <v>42729</v>
      </c>
      <c r="Q70" s="1">
        <v>1937764</v>
      </c>
      <c r="R70" s="275">
        <f t="shared" si="5"/>
        <v>1937764</v>
      </c>
      <c r="S70" s="277">
        <v>42725</v>
      </c>
      <c r="T70" s="277">
        <v>42727</v>
      </c>
      <c r="U70" s="276"/>
      <c r="V70" s="26"/>
      <c r="W70" s="26"/>
      <c r="X70" s="26"/>
      <c r="Y70" s="26"/>
      <c r="Z70" s="26"/>
      <c r="AA70" s="26"/>
    </row>
    <row r="71" spans="1:27" s="1" customFormat="1" x14ac:dyDescent="0.25">
      <c r="A71" s="1">
        <v>72</v>
      </c>
      <c r="B71" s="24">
        <v>42720</v>
      </c>
      <c r="C71" s="1">
        <v>499</v>
      </c>
      <c r="E71" s="1">
        <v>3000036727</v>
      </c>
      <c r="F71" s="1" t="s">
        <v>201</v>
      </c>
      <c r="G71" s="1">
        <v>231</v>
      </c>
      <c r="H71" s="1" t="s">
        <v>395</v>
      </c>
      <c r="I71" s="1">
        <v>9499740039</v>
      </c>
      <c r="J71" s="25">
        <v>42704</v>
      </c>
      <c r="K71" s="25">
        <v>42710</v>
      </c>
      <c r="L71" s="1" t="s">
        <v>362</v>
      </c>
      <c r="M71" s="1">
        <v>19.8</v>
      </c>
      <c r="N71" s="1">
        <v>19.78</v>
      </c>
      <c r="O71" s="1">
        <f t="shared" si="3"/>
        <v>19.78</v>
      </c>
      <c r="P71" s="7">
        <f t="shared" si="4"/>
        <v>42729</v>
      </c>
      <c r="Q71" s="1">
        <v>1890951</v>
      </c>
      <c r="R71" s="275">
        <f t="shared" si="5"/>
        <v>1889040.9484848487</v>
      </c>
      <c r="S71" s="277">
        <v>42725</v>
      </c>
      <c r="T71" s="277">
        <v>42727</v>
      </c>
      <c r="U71" s="77"/>
    </row>
    <row r="72" spans="1:27" s="1" customFormat="1" x14ac:dyDescent="0.25">
      <c r="A72" s="84">
        <v>77</v>
      </c>
      <c r="B72" s="24">
        <v>42720</v>
      </c>
      <c r="C72" s="1">
        <v>499</v>
      </c>
      <c r="E72" s="1">
        <v>3000036609</v>
      </c>
      <c r="F72" s="1" t="s">
        <v>158</v>
      </c>
      <c r="G72" s="1">
        <v>140</v>
      </c>
      <c r="H72" s="1" t="s">
        <v>400</v>
      </c>
      <c r="I72" s="1">
        <v>9499740032</v>
      </c>
      <c r="J72" s="25">
        <v>42703</v>
      </c>
      <c r="K72" s="25">
        <v>42710</v>
      </c>
      <c r="L72" s="1" t="s">
        <v>362</v>
      </c>
      <c r="M72" s="1">
        <v>19.489999999999998</v>
      </c>
      <c r="N72" s="1">
        <v>19.440000000000001</v>
      </c>
      <c r="O72" s="1">
        <f t="shared" si="3"/>
        <v>19.440000000000001</v>
      </c>
      <c r="P72" s="7">
        <f t="shared" si="4"/>
        <v>42729</v>
      </c>
      <c r="Q72" s="1">
        <v>1900275</v>
      </c>
      <c r="R72" s="275">
        <f t="shared" si="5"/>
        <v>1895400.0000000005</v>
      </c>
      <c r="S72" s="277">
        <v>42725</v>
      </c>
      <c r="T72" s="277">
        <v>42727</v>
      </c>
      <c r="U72" s="77"/>
    </row>
    <row r="73" spans="1:27" s="1" customFormat="1" x14ac:dyDescent="0.25">
      <c r="A73" s="1">
        <v>74</v>
      </c>
      <c r="B73" s="24">
        <v>42720</v>
      </c>
      <c r="C73" s="1">
        <v>499</v>
      </c>
      <c r="E73" s="1">
        <v>3000036609</v>
      </c>
      <c r="F73" s="1" t="s">
        <v>158</v>
      </c>
      <c r="G73" s="1">
        <v>143</v>
      </c>
      <c r="H73" s="1" t="s">
        <v>397</v>
      </c>
      <c r="I73" s="1">
        <v>9499740037</v>
      </c>
      <c r="J73" s="25">
        <v>42706</v>
      </c>
      <c r="K73" s="25">
        <v>42710</v>
      </c>
      <c r="L73" s="1" t="s">
        <v>362</v>
      </c>
      <c r="M73" s="1">
        <v>19.61</v>
      </c>
      <c r="N73" s="1">
        <v>19.579999999999998</v>
      </c>
      <c r="O73" s="1">
        <f t="shared" si="3"/>
        <v>19.579999999999998</v>
      </c>
      <c r="P73" s="7">
        <f t="shared" si="4"/>
        <v>42729</v>
      </c>
      <c r="Q73" s="1">
        <v>1911975</v>
      </c>
      <c r="R73" s="275">
        <f t="shared" si="5"/>
        <v>1909049.9999999998</v>
      </c>
      <c r="S73" s="277">
        <v>42725</v>
      </c>
      <c r="T73" s="277">
        <v>42727</v>
      </c>
      <c r="U73" s="77"/>
    </row>
    <row r="74" spans="1:27" s="1" customFormat="1" x14ac:dyDescent="0.25">
      <c r="A74" s="1">
        <v>66</v>
      </c>
      <c r="B74" s="24">
        <v>42720</v>
      </c>
      <c r="C74" s="1">
        <v>499</v>
      </c>
      <c r="E74" s="1">
        <v>3000036724</v>
      </c>
      <c r="F74" s="1" t="s">
        <v>200</v>
      </c>
      <c r="G74" s="1">
        <v>242</v>
      </c>
      <c r="H74" s="1" t="s">
        <v>389</v>
      </c>
      <c r="I74" s="1">
        <v>9499740042</v>
      </c>
      <c r="J74" s="25">
        <v>42702</v>
      </c>
      <c r="K74" s="25">
        <v>42711</v>
      </c>
      <c r="L74" s="1" t="s">
        <v>362</v>
      </c>
      <c r="M74" s="1">
        <v>20.239999999999998</v>
      </c>
      <c r="N74" s="1">
        <v>20.23</v>
      </c>
      <c r="O74" s="1">
        <f t="shared" si="3"/>
        <v>20.23</v>
      </c>
      <c r="P74" s="7">
        <f t="shared" si="4"/>
        <v>42730</v>
      </c>
      <c r="Q74" s="1">
        <v>2084712</v>
      </c>
      <c r="R74" s="275">
        <f t="shared" si="5"/>
        <v>2083682.0039525693</v>
      </c>
      <c r="S74" s="277">
        <v>42725</v>
      </c>
      <c r="T74" s="277">
        <v>42727</v>
      </c>
      <c r="U74" s="77"/>
    </row>
    <row r="75" spans="1:27" s="1" customFormat="1" x14ac:dyDescent="0.25">
      <c r="A75" s="1">
        <v>76</v>
      </c>
      <c r="B75" s="24">
        <v>42720</v>
      </c>
      <c r="C75" s="1">
        <v>499</v>
      </c>
      <c r="E75" s="1">
        <v>3000036724</v>
      </c>
      <c r="F75" s="1" t="s">
        <v>200</v>
      </c>
      <c r="G75" s="1">
        <v>243</v>
      </c>
      <c r="H75" s="1" t="s">
        <v>399</v>
      </c>
      <c r="I75" s="1">
        <v>9499740034</v>
      </c>
      <c r="J75" s="25">
        <v>42702</v>
      </c>
      <c r="K75" s="25">
        <v>42710</v>
      </c>
      <c r="L75" s="1" t="s">
        <v>362</v>
      </c>
      <c r="M75" s="1">
        <v>19.920000000000002</v>
      </c>
      <c r="N75" s="1">
        <v>19.91</v>
      </c>
      <c r="O75" s="1">
        <f t="shared" si="3"/>
        <v>19.91</v>
      </c>
      <c r="P75" s="7">
        <f t="shared" si="4"/>
        <v>42729</v>
      </c>
      <c r="Q75" s="1">
        <v>2051753</v>
      </c>
      <c r="R75" s="275">
        <f t="shared" si="5"/>
        <v>2050723.0035140561</v>
      </c>
      <c r="S75" s="277">
        <v>42725</v>
      </c>
      <c r="T75" s="277">
        <v>42727</v>
      </c>
      <c r="U75" s="276"/>
      <c r="V75" s="26"/>
      <c r="W75" s="26"/>
      <c r="X75" s="26"/>
      <c r="Y75" s="26"/>
      <c r="Z75" s="26"/>
      <c r="AA75" s="26"/>
    </row>
    <row r="76" spans="1:27" s="18" customFormat="1" x14ac:dyDescent="0.25">
      <c r="A76" s="18">
        <v>92</v>
      </c>
      <c r="B76" s="60">
        <v>42723</v>
      </c>
      <c r="C76" s="18">
        <v>499</v>
      </c>
      <c r="E76" s="18">
        <v>3000036990</v>
      </c>
      <c r="F76" s="18" t="s">
        <v>200</v>
      </c>
      <c r="G76" s="18">
        <v>251</v>
      </c>
      <c r="H76" s="18" t="s">
        <v>428</v>
      </c>
      <c r="I76" s="18">
        <v>9499740052</v>
      </c>
      <c r="J76" s="61">
        <v>42711</v>
      </c>
      <c r="K76" s="61">
        <v>42719</v>
      </c>
      <c r="L76" s="18" t="s">
        <v>362</v>
      </c>
      <c r="M76" s="18">
        <v>19.809999999999999</v>
      </c>
      <c r="N76" s="18">
        <v>19.8</v>
      </c>
      <c r="O76" s="18">
        <f t="shared" si="3"/>
        <v>19.8</v>
      </c>
      <c r="P76" s="62">
        <f t="shared" si="4"/>
        <v>42738</v>
      </c>
      <c r="Q76" s="18">
        <v>2099830</v>
      </c>
      <c r="R76" s="275">
        <f t="shared" si="5"/>
        <v>2098770.0151438671</v>
      </c>
      <c r="S76" s="277">
        <v>42725</v>
      </c>
      <c r="T76" s="277">
        <v>42727</v>
      </c>
      <c r="U76" s="149"/>
    </row>
    <row r="77" spans="1:27" s="1" customFormat="1" x14ac:dyDescent="0.25">
      <c r="A77" s="1">
        <v>94</v>
      </c>
      <c r="B77" s="24">
        <v>42723</v>
      </c>
      <c r="C77" s="1">
        <v>499</v>
      </c>
      <c r="E77" s="1">
        <v>3000037007</v>
      </c>
      <c r="F77" s="1" t="s">
        <v>430</v>
      </c>
      <c r="G77" s="1">
        <v>72</v>
      </c>
      <c r="H77" s="1" t="s">
        <v>431</v>
      </c>
      <c r="I77" s="1">
        <v>9499740066</v>
      </c>
      <c r="J77" s="25">
        <v>42716</v>
      </c>
      <c r="K77" s="25">
        <v>42720</v>
      </c>
      <c r="L77" s="1" t="s">
        <v>362</v>
      </c>
      <c r="M77" s="1">
        <v>19.715</v>
      </c>
      <c r="N77" s="1">
        <v>19.649999999999999</v>
      </c>
      <c r="O77" s="1">
        <f t="shared" si="3"/>
        <v>19.649999999999999</v>
      </c>
      <c r="P77" s="7">
        <f t="shared" si="4"/>
        <v>42739</v>
      </c>
      <c r="Q77" s="1">
        <v>2068892</v>
      </c>
      <c r="R77" s="275">
        <f t="shared" si="5"/>
        <v>2062070.9003296979</v>
      </c>
      <c r="S77" s="277">
        <v>42725</v>
      </c>
      <c r="T77" s="277">
        <v>42727</v>
      </c>
      <c r="U77" s="77"/>
    </row>
    <row r="78" spans="1:27" s="1" customFormat="1" x14ac:dyDescent="0.25">
      <c r="A78" s="84">
        <v>95</v>
      </c>
      <c r="B78" s="24">
        <v>42726</v>
      </c>
      <c r="C78" s="1">
        <v>499</v>
      </c>
      <c r="E78" s="1">
        <v>3000037244</v>
      </c>
      <c r="F78" s="1" t="s">
        <v>433</v>
      </c>
      <c r="G78" s="1">
        <v>320</v>
      </c>
      <c r="H78" s="1" t="s">
        <v>434</v>
      </c>
      <c r="I78" s="1">
        <v>9499740068</v>
      </c>
      <c r="J78" s="25">
        <v>42715</v>
      </c>
      <c r="K78" s="25">
        <v>42715</v>
      </c>
      <c r="L78" s="1" t="s">
        <v>362</v>
      </c>
      <c r="M78" s="1">
        <v>19.920000000000002</v>
      </c>
      <c r="N78" s="1">
        <v>19.91</v>
      </c>
      <c r="O78" s="1">
        <f t="shared" si="3"/>
        <v>19.91</v>
      </c>
      <c r="P78" s="7">
        <f>+K78+4-1</f>
        <v>42718</v>
      </c>
      <c r="Q78" s="1">
        <v>1553000</v>
      </c>
      <c r="R78" s="275">
        <f t="shared" si="5"/>
        <v>1552220.3815261044</v>
      </c>
      <c r="S78" s="277">
        <v>42725</v>
      </c>
      <c r="T78" s="277">
        <v>42727</v>
      </c>
      <c r="U78" s="77"/>
    </row>
    <row r="79" spans="1:27" s="1" customFormat="1" x14ac:dyDescent="0.25">
      <c r="A79" s="84">
        <v>109</v>
      </c>
      <c r="B79" s="24">
        <v>42726</v>
      </c>
      <c r="C79" s="1">
        <v>499</v>
      </c>
      <c r="E79" s="1">
        <v>3000037200</v>
      </c>
      <c r="F79" s="1" t="s">
        <v>448</v>
      </c>
      <c r="G79" s="1">
        <v>65</v>
      </c>
      <c r="H79" s="270" t="s">
        <v>449</v>
      </c>
      <c r="I79" s="1">
        <v>9499740082</v>
      </c>
      <c r="J79" s="25">
        <v>42719</v>
      </c>
      <c r="K79" s="25">
        <v>42719</v>
      </c>
      <c r="L79" s="5" t="s">
        <v>362</v>
      </c>
      <c r="M79" s="1">
        <v>20.074999999999999</v>
      </c>
      <c r="N79" s="1">
        <v>20</v>
      </c>
      <c r="O79" s="1">
        <f t="shared" si="3"/>
        <v>20</v>
      </c>
      <c r="P79" s="7">
        <f>+K79+4-1</f>
        <v>42722</v>
      </c>
      <c r="Q79" s="1">
        <v>2188323</v>
      </c>
      <c r="R79" s="202">
        <f t="shared" si="5"/>
        <v>2180147.4470734745</v>
      </c>
      <c r="S79" s="277">
        <v>42732</v>
      </c>
      <c r="T79" s="277">
        <v>42735</v>
      </c>
      <c r="U79" s="77"/>
    </row>
    <row r="80" spans="1:27" s="63" customFormat="1" x14ac:dyDescent="0.25">
      <c r="A80" s="63">
        <v>69</v>
      </c>
      <c r="B80" s="110">
        <v>42720</v>
      </c>
      <c r="C80" s="63">
        <v>499</v>
      </c>
      <c r="E80" s="63">
        <v>3000036609</v>
      </c>
      <c r="F80" s="63" t="s">
        <v>158</v>
      </c>
      <c r="G80" s="63">
        <v>141</v>
      </c>
      <c r="H80" s="63" t="s">
        <v>392</v>
      </c>
      <c r="I80" s="63">
        <v>9499740035</v>
      </c>
      <c r="J80" s="111">
        <v>42705</v>
      </c>
      <c r="K80" s="111">
        <v>42711</v>
      </c>
      <c r="L80" s="63" t="s">
        <v>362</v>
      </c>
      <c r="M80" s="63">
        <v>19.43</v>
      </c>
      <c r="N80" s="63">
        <v>19.399999999999999</v>
      </c>
      <c r="O80" s="63">
        <f t="shared" ref="O80:O111" si="6">IF(N80&gt;M80,M80,N80)</f>
        <v>19.399999999999999</v>
      </c>
      <c r="P80" s="66">
        <f t="shared" ref="P80:P96" si="7">+K80+20-1</f>
        <v>42730</v>
      </c>
      <c r="Q80" s="63">
        <v>1894425</v>
      </c>
      <c r="R80" s="202">
        <f t="shared" si="5"/>
        <v>1891499.9999999998</v>
      </c>
      <c r="S80" s="277">
        <v>42732</v>
      </c>
      <c r="T80" s="277">
        <v>42735</v>
      </c>
      <c r="U80" s="113"/>
    </row>
    <row r="81" spans="1:21" s="1" customFormat="1" x14ac:dyDescent="0.25">
      <c r="A81" s="1">
        <v>60</v>
      </c>
      <c r="B81" s="24">
        <v>42720</v>
      </c>
      <c r="C81" s="1">
        <v>499</v>
      </c>
      <c r="E81" s="1">
        <v>3000036609</v>
      </c>
      <c r="F81" s="1" t="s">
        <v>158</v>
      </c>
      <c r="G81" s="1">
        <v>144</v>
      </c>
      <c r="H81" s="1" t="s">
        <v>383</v>
      </c>
      <c r="I81" s="1">
        <v>9499740047</v>
      </c>
      <c r="J81" s="25">
        <v>42707</v>
      </c>
      <c r="K81" s="25">
        <v>42713</v>
      </c>
      <c r="L81" s="1" t="s">
        <v>362</v>
      </c>
      <c r="M81" s="1">
        <v>19.46</v>
      </c>
      <c r="N81" s="1">
        <v>19.37</v>
      </c>
      <c r="O81" s="1">
        <f t="shared" si="6"/>
        <v>19.37</v>
      </c>
      <c r="P81" s="7">
        <f t="shared" si="7"/>
        <v>42732</v>
      </c>
      <c r="Q81" s="1">
        <v>1897350</v>
      </c>
      <c r="R81" s="199">
        <f t="shared" si="5"/>
        <v>1888575</v>
      </c>
      <c r="S81" s="277">
        <v>42732</v>
      </c>
      <c r="T81" s="277">
        <v>42735</v>
      </c>
      <c r="U81" s="77"/>
    </row>
    <row r="82" spans="1:21" s="21" customFormat="1" x14ac:dyDescent="0.25">
      <c r="A82" s="21">
        <v>51</v>
      </c>
      <c r="B82" s="51">
        <v>42720</v>
      </c>
      <c r="C82" s="21">
        <v>499</v>
      </c>
      <c r="E82" s="21">
        <v>3000036605</v>
      </c>
      <c r="F82" s="21" t="s">
        <v>363</v>
      </c>
      <c r="G82" s="21">
        <v>183</v>
      </c>
      <c r="H82" s="21" t="s">
        <v>374</v>
      </c>
      <c r="I82" s="21">
        <v>9499740029</v>
      </c>
      <c r="J82" s="52">
        <v>42700</v>
      </c>
      <c r="K82" s="52">
        <v>42712</v>
      </c>
      <c r="L82" s="21" t="s">
        <v>362</v>
      </c>
      <c r="M82" s="21">
        <v>19.635000000000002</v>
      </c>
      <c r="N82" s="21">
        <v>19.61</v>
      </c>
      <c r="O82" s="21">
        <f t="shared" si="6"/>
        <v>19.61</v>
      </c>
      <c r="P82" s="22">
        <f t="shared" si="7"/>
        <v>42731</v>
      </c>
      <c r="Q82" s="21">
        <v>1894820</v>
      </c>
      <c r="R82" s="199">
        <f>(+Q82/M82*O82)-21365</f>
        <v>1871042.4458874457</v>
      </c>
      <c r="S82" s="277">
        <v>42732</v>
      </c>
      <c r="T82" s="277">
        <v>42735</v>
      </c>
      <c r="U82" s="21" t="s">
        <v>347</v>
      </c>
    </row>
    <row r="83" spans="1:21" s="21" customFormat="1" x14ac:dyDescent="0.25">
      <c r="A83" s="21">
        <v>50</v>
      </c>
      <c r="B83" s="51">
        <v>42720</v>
      </c>
      <c r="C83" s="21">
        <v>499</v>
      </c>
      <c r="E83" s="21">
        <v>3000036619</v>
      </c>
      <c r="F83" s="21" t="s">
        <v>363</v>
      </c>
      <c r="G83" s="21">
        <v>184</v>
      </c>
      <c r="H83" s="21" t="s">
        <v>432</v>
      </c>
      <c r="I83" s="21">
        <v>9499740033</v>
      </c>
      <c r="J83" s="52">
        <v>42704</v>
      </c>
      <c r="K83" s="52">
        <v>42712</v>
      </c>
      <c r="L83" s="21" t="s">
        <v>362</v>
      </c>
      <c r="M83" s="21">
        <v>19.795000000000002</v>
      </c>
      <c r="N83" s="21">
        <v>19.77</v>
      </c>
      <c r="O83" s="21">
        <f t="shared" si="6"/>
        <v>19.77</v>
      </c>
      <c r="P83" s="22">
        <f t="shared" si="7"/>
        <v>42731</v>
      </c>
      <c r="Q83" s="21">
        <v>1900367</v>
      </c>
      <c r="R83" s="199">
        <f>(+Q83/M83*O83)-17447</f>
        <v>1880519.940641576</v>
      </c>
      <c r="S83" s="277">
        <v>42732</v>
      </c>
      <c r="T83" s="277">
        <v>42735</v>
      </c>
      <c r="U83" s="21" t="s">
        <v>347</v>
      </c>
    </row>
    <row r="84" spans="1:21" s="21" customFormat="1" x14ac:dyDescent="0.25">
      <c r="A84" s="21">
        <v>62</v>
      </c>
      <c r="B84" s="51">
        <v>42720</v>
      </c>
      <c r="C84" s="21">
        <v>499</v>
      </c>
      <c r="E84" s="21">
        <v>3000036899</v>
      </c>
      <c r="F84" s="21" t="s">
        <v>363</v>
      </c>
      <c r="G84" s="21">
        <v>186</v>
      </c>
      <c r="H84" s="21" t="s">
        <v>385</v>
      </c>
      <c r="I84" s="21">
        <v>9499740045</v>
      </c>
      <c r="J84" s="52">
        <v>42706</v>
      </c>
      <c r="K84" s="52">
        <v>42713</v>
      </c>
      <c r="L84" s="21" t="s">
        <v>362</v>
      </c>
      <c r="M84" s="21">
        <v>19.61</v>
      </c>
      <c r="N84" s="21">
        <v>19.64</v>
      </c>
      <c r="O84" s="21">
        <f t="shared" si="6"/>
        <v>19.61</v>
      </c>
      <c r="P84" s="22">
        <f t="shared" si="7"/>
        <v>42732</v>
      </c>
      <c r="Q84" s="21">
        <v>1941414</v>
      </c>
      <c r="R84" s="275">
        <f>(+Q84/M84*O84)-7315</f>
        <v>1934099</v>
      </c>
      <c r="S84" s="277">
        <v>42732</v>
      </c>
      <c r="T84" s="277">
        <v>42735</v>
      </c>
      <c r="U84" s="21" t="s">
        <v>347</v>
      </c>
    </row>
    <row r="85" spans="1:21" s="21" customFormat="1" x14ac:dyDescent="0.25">
      <c r="A85" s="21">
        <v>64</v>
      </c>
      <c r="B85" s="51">
        <v>42720</v>
      </c>
      <c r="C85" s="21">
        <v>499</v>
      </c>
      <c r="E85" s="21">
        <v>3000036628</v>
      </c>
      <c r="F85" s="21" t="s">
        <v>363</v>
      </c>
      <c r="G85" s="21">
        <v>187</v>
      </c>
      <c r="H85" s="21" t="s">
        <v>387</v>
      </c>
      <c r="I85" s="21">
        <v>9499740044</v>
      </c>
      <c r="J85" s="52">
        <v>42706</v>
      </c>
      <c r="K85" s="52">
        <v>42713</v>
      </c>
      <c r="L85" s="21" t="s">
        <v>362</v>
      </c>
      <c r="M85" s="21">
        <v>19.504999999999999</v>
      </c>
      <c r="N85" s="21">
        <v>19.53</v>
      </c>
      <c r="O85" s="21">
        <f t="shared" si="6"/>
        <v>19.504999999999999</v>
      </c>
      <c r="P85" s="22">
        <f t="shared" si="7"/>
        <v>42732</v>
      </c>
      <c r="Q85" s="21">
        <v>1901773</v>
      </c>
      <c r="R85" s="199">
        <f>(+Q85/M85*O85)-4876</f>
        <v>1896897</v>
      </c>
      <c r="S85" s="277">
        <v>42732</v>
      </c>
      <c r="T85" s="277">
        <v>42735</v>
      </c>
      <c r="U85" s="21" t="s">
        <v>347</v>
      </c>
    </row>
    <row r="86" spans="1:21" s="21" customFormat="1" x14ac:dyDescent="0.25">
      <c r="A86" s="21">
        <v>63</v>
      </c>
      <c r="B86" s="51">
        <v>42720</v>
      </c>
      <c r="C86" s="21">
        <v>499</v>
      </c>
      <c r="E86" s="21">
        <v>3000036628</v>
      </c>
      <c r="F86" s="21" t="s">
        <v>363</v>
      </c>
      <c r="G86" s="21">
        <v>188</v>
      </c>
      <c r="H86" s="21" t="s">
        <v>386</v>
      </c>
      <c r="I86" s="21">
        <v>9499740044</v>
      </c>
      <c r="J86" s="52">
        <v>42707</v>
      </c>
      <c r="K86" s="52">
        <v>42713</v>
      </c>
      <c r="L86" s="21" t="s">
        <v>362</v>
      </c>
      <c r="M86" s="21">
        <v>19.524999999999999</v>
      </c>
      <c r="N86" s="21">
        <v>19.54</v>
      </c>
      <c r="O86" s="21">
        <f t="shared" si="6"/>
        <v>19.524999999999999</v>
      </c>
      <c r="P86" s="22">
        <f t="shared" si="7"/>
        <v>42732</v>
      </c>
      <c r="Q86" s="21">
        <v>1903723</v>
      </c>
      <c r="R86" s="199">
        <f>(+Q86/M86*O86)-3280</f>
        <v>1900443</v>
      </c>
      <c r="S86" s="277">
        <v>42732</v>
      </c>
      <c r="T86" s="277">
        <v>42735</v>
      </c>
      <c r="U86" s="21" t="s">
        <v>347</v>
      </c>
    </row>
    <row r="87" spans="1:21" s="21" customFormat="1" x14ac:dyDescent="0.25">
      <c r="A87" s="21">
        <v>49</v>
      </c>
      <c r="B87" s="51">
        <v>42720</v>
      </c>
      <c r="C87" s="21">
        <v>499</v>
      </c>
      <c r="E87" s="21">
        <v>3000036628</v>
      </c>
      <c r="F87" s="21" t="s">
        <v>363</v>
      </c>
      <c r="G87" s="21">
        <v>189</v>
      </c>
      <c r="H87" s="21" t="s">
        <v>373</v>
      </c>
      <c r="I87" s="21">
        <v>9499740050</v>
      </c>
      <c r="J87" s="52">
        <v>42711</v>
      </c>
      <c r="K87" s="52">
        <v>42717</v>
      </c>
      <c r="L87" s="21" t="s">
        <v>362</v>
      </c>
      <c r="M87" s="21">
        <v>19.77</v>
      </c>
      <c r="N87" s="21">
        <v>19.78</v>
      </c>
      <c r="O87" s="21">
        <f t="shared" si="6"/>
        <v>19.77</v>
      </c>
      <c r="P87" s="22">
        <f t="shared" si="7"/>
        <v>42736</v>
      </c>
      <c r="Q87" s="21">
        <v>1927610</v>
      </c>
      <c r="R87" s="199">
        <f>(+Q87/M87*O87)-22874</f>
        <v>1904736</v>
      </c>
      <c r="S87" s="277">
        <v>42732</v>
      </c>
      <c r="T87" s="277">
        <v>42735</v>
      </c>
      <c r="U87" s="21" t="s">
        <v>347</v>
      </c>
    </row>
    <row r="88" spans="1:21" s="1" customFormat="1" x14ac:dyDescent="0.25">
      <c r="A88" s="84">
        <v>65</v>
      </c>
      <c r="B88" s="24">
        <v>42720</v>
      </c>
      <c r="C88" s="1">
        <v>499</v>
      </c>
      <c r="E88" s="1">
        <v>3000036616</v>
      </c>
      <c r="F88" s="1" t="s">
        <v>364</v>
      </c>
      <c r="G88" s="1">
        <v>76</v>
      </c>
      <c r="H88" s="1" t="s">
        <v>388</v>
      </c>
      <c r="I88" s="1">
        <v>9499740043</v>
      </c>
      <c r="J88" s="25">
        <v>42707</v>
      </c>
      <c r="K88" s="25">
        <v>42713</v>
      </c>
      <c r="L88" s="1" t="s">
        <v>362</v>
      </c>
      <c r="M88" s="1">
        <v>20.03</v>
      </c>
      <c r="N88" s="1">
        <v>19.989999999999998</v>
      </c>
      <c r="O88" s="1">
        <f t="shared" si="6"/>
        <v>19.989999999999998</v>
      </c>
      <c r="P88" s="7">
        <f t="shared" si="7"/>
        <v>42732</v>
      </c>
      <c r="Q88" s="1">
        <v>1902850</v>
      </c>
      <c r="R88" s="199">
        <f t="shared" ref="R88:R108" si="8">(+Q88/M88*O88)</f>
        <v>1899049.9999999998</v>
      </c>
      <c r="S88" s="277">
        <v>42732</v>
      </c>
      <c r="T88" s="277">
        <v>42735</v>
      </c>
      <c r="U88" s="77"/>
    </row>
    <row r="89" spans="1:21" s="1" customFormat="1" x14ac:dyDescent="0.25">
      <c r="A89" s="84">
        <v>53</v>
      </c>
      <c r="B89" s="24">
        <v>42720</v>
      </c>
      <c r="C89" s="1">
        <v>499</v>
      </c>
      <c r="E89" s="1">
        <v>3000036608</v>
      </c>
      <c r="F89" s="1" t="s">
        <v>364</v>
      </c>
      <c r="G89" s="1">
        <v>77</v>
      </c>
      <c r="H89" s="1" t="s">
        <v>376</v>
      </c>
      <c r="I89" s="1">
        <v>9499740049</v>
      </c>
      <c r="J89" s="25">
        <v>42709</v>
      </c>
      <c r="K89" s="25">
        <v>42713</v>
      </c>
      <c r="L89" s="1" t="s">
        <v>362</v>
      </c>
      <c r="M89" s="1">
        <v>20</v>
      </c>
      <c r="N89" s="1">
        <v>20</v>
      </c>
      <c r="O89" s="1">
        <f t="shared" si="6"/>
        <v>20</v>
      </c>
      <c r="P89" s="7">
        <f t="shared" si="7"/>
        <v>42732</v>
      </c>
      <c r="Q89" s="1">
        <v>1950000</v>
      </c>
      <c r="R89" s="199">
        <f t="shared" si="8"/>
        <v>1950000</v>
      </c>
      <c r="S89" s="277">
        <v>42732</v>
      </c>
      <c r="T89" s="277">
        <v>42735</v>
      </c>
      <c r="U89" s="77"/>
    </row>
    <row r="90" spans="1:21" s="1" customFormat="1" x14ac:dyDescent="0.25">
      <c r="A90" s="84">
        <v>55</v>
      </c>
      <c r="B90" s="24">
        <v>42720</v>
      </c>
      <c r="C90" s="1">
        <v>499</v>
      </c>
      <c r="E90" s="1">
        <v>3000036618</v>
      </c>
      <c r="F90" s="1" t="s">
        <v>371</v>
      </c>
      <c r="G90" s="1">
        <v>923</v>
      </c>
      <c r="H90" s="1" t="s">
        <v>378</v>
      </c>
      <c r="I90" s="1">
        <v>9499740048</v>
      </c>
      <c r="J90" s="25">
        <v>42709</v>
      </c>
      <c r="K90" s="25">
        <v>42714</v>
      </c>
      <c r="L90" s="1" t="s">
        <v>362</v>
      </c>
      <c r="M90" s="1">
        <v>16.13</v>
      </c>
      <c r="N90" s="1">
        <v>16.09</v>
      </c>
      <c r="O90" s="1">
        <f t="shared" si="6"/>
        <v>16.09</v>
      </c>
      <c r="P90" s="7">
        <f t="shared" si="7"/>
        <v>42733</v>
      </c>
      <c r="Q90" s="1">
        <v>1613000</v>
      </c>
      <c r="R90" s="199">
        <f t="shared" si="8"/>
        <v>1609000</v>
      </c>
      <c r="S90" s="277">
        <v>42732</v>
      </c>
      <c r="T90" s="277">
        <v>42735</v>
      </c>
      <c r="U90" s="77"/>
    </row>
    <row r="91" spans="1:21" s="1" customFormat="1" x14ac:dyDescent="0.25">
      <c r="A91" s="1">
        <v>54</v>
      </c>
      <c r="B91" s="24">
        <v>42720</v>
      </c>
      <c r="C91" s="1">
        <v>499</v>
      </c>
      <c r="E91" s="1">
        <v>3000036618</v>
      </c>
      <c r="F91" s="1" t="s">
        <v>371</v>
      </c>
      <c r="G91" s="1">
        <v>924</v>
      </c>
      <c r="H91" s="1" t="s">
        <v>377</v>
      </c>
      <c r="I91" s="1">
        <v>9499740048</v>
      </c>
      <c r="J91" s="25">
        <v>42709</v>
      </c>
      <c r="K91" s="25">
        <v>42713</v>
      </c>
      <c r="L91" s="1" t="s">
        <v>362</v>
      </c>
      <c r="M91" s="1">
        <v>15.99</v>
      </c>
      <c r="N91" s="1">
        <v>15.96</v>
      </c>
      <c r="O91" s="1">
        <f t="shared" si="6"/>
        <v>15.96</v>
      </c>
      <c r="P91" s="7">
        <f t="shared" si="7"/>
        <v>42732</v>
      </c>
      <c r="Q91" s="1">
        <v>1599000</v>
      </c>
      <c r="R91" s="199">
        <f t="shared" si="8"/>
        <v>1596000</v>
      </c>
      <c r="S91" s="277">
        <v>42732</v>
      </c>
      <c r="T91" s="277">
        <v>42735</v>
      </c>
      <c r="U91" s="77"/>
    </row>
    <row r="92" spans="1:21" s="1" customFormat="1" x14ac:dyDescent="0.25">
      <c r="A92" s="1">
        <v>58</v>
      </c>
      <c r="B92" s="24">
        <v>42720</v>
      </c>
      <c r="C92" s="1">
        <v>499</v>
      </c>
      <c r="E92" s="1">
        <v>3000036618</v>
      </c>
      <c r="F92" s="1" t="s">
        <v>371</v>
      </c>
      <c r="G92" s="1">
        <v>925</v>
      </c>
      <c r="H92" s="1" t="s">
        <v>381</v>
      </c>
      <c r="I92" s="1">
        <v>9499740048</v>
      </c>
      <c r="J92" s="25">
        <v>42709</v>
      </c>
      <c r="K92" s="25">
        <v>42714</v>
      </c>
      <c r="L92" s="1" t="s">
        <v>362</v>
      </c>
      <c r="M92" s="1">
        <v>16.059999999999999</v>
      </c>
      <c r="N92" s="1">
        <v>16.02</v>
      </c>
      <c r="O92" s="1">
        <f t="shared" si="6"/>
        <v>16.02</v>
      </c>
      <c r="P92" s="7">
        <f t="shared" si="7"/>
        <v>42733</v>
      </c>
      <c r="Q92" s="1">
        <v>1606000</v>
      </c>
      <c r="R92" s="199">
        <f t="shared" si="8"/>
        <v>1602000.0000000002</v>
      </c>
      <c r="S92" s="277">
        <v>42732</v>
      </c>
      <c r="T92" s="277">
        <v>42735</v>
      </c>
      <c r="U92" s="77"/>
    </row>
    <row r="93" spans="1:21" s="1" customFormat="1" x14ac:dyDescent="0.25">
      <c r="A93" s="1">
        <v>56</v>
      </c>
      <c r="B93" s="24">
        <v>42720</v>
      </c>
      <c r="C93" s="1">
        <v>499</v>
      </c>
      <c r="E93" s="1">
        <v>3000036618</v>
      </c>
      <c r="F93" s="1" t="s">
        <v>371</v>
      </c>
      <c r="G93" s="1">
        <v>926</v>
      </c>
      <c r="H93" s="1" t="s">
        <v>379</v>
      </c>
      <c r="I93" s="1">
        <v>9499740048</v>
      </c>
      <c r="J93" s="25">
        <v>42709</v>
      </c>
      <c r="K93" s="25">
        <v>42714</v>
      </c>
      <c r="L93" s="1" t="s">
        <v>362</v>
      </c>
      <c r="M93" s="1">
        <v>16.010000000000002</v>
      </c>
      <c r="N93" s="1">
        <v>15.96</v>
      </c>
      <c r="O93" s="1">
        <f t="shared" si="6"/>
        <v>15.96</v>
      </c>
      <c r="P93" s="7">
        <f t="shared" si="7"/>
        <v>42733</v>
      </c>
      <c r="Q93" s="1">
        <v>1601000</v>
      </c>
      <c r="R93" s="199">
        <f t="shared" si="8"/>
        <v>1595999.9999999998</v>
      </c>
      <c r="S93" s="277">
        <v>42732</v>
      </c>
      <c r="T93" s="277">
        <v>42735</v>
      </c>
      <c r="U93" s="77"/>
    </row>
    <row r="94" spans="1:21" s="1" customFormat="1" x14ac:dyDescent="0.25">
      <c r="A94" s="84">
        <v>57</v>
      </c>
      <c r="B94" s="24">
        <v>42720</v>
      </c>
      <c r="C94" s="1">
        <v>499</v>
      </c>
      <c r="E94" s="1">
        <v>3000036618</v>
      </c>
      <c r="F94" s="1" t="s">
        <v>371</v>
      </c>
      <c r="G94" s="1">
        <v>927</v>
      </c>
      <c r="H94" s="1" t="s">
        <v>380</v>
      </c>
      <c r="I94" s="1">
        <v>9499740048</v>
      </c>
      <c r="J94" s="25">
        <v>42709</v>
      </c>
      <c r="K94" s="25">
        <v>42714</v>
      </c>
      <c r="L94" s="1" t="s">
        <v>362</v>
      </c>
      <c r="M94" s="1">
        <v>20.239999999999998</v>
      </c>
      <c r="N94" s="1">
        <v>20.21</v>
      </c>
      <c r="O94" s="1">
        <f t="shared" si="6"/>
        <v>20.21</v>
      </c>
      <c r="P94" s="7">
        <f t="shared" si="7"/>
        <v>42733</v>
      </c>
      <c r="Q94" s="1">
        <v>2024000</v>
      </c>
      <c r="R94" s="199">
        <f t="shared" si="8"/>
        <v>2021000.0000000005</v>
      </c>
      <c r="S94" s="277">
        <v>42732</v>
      </c>
      <c r="T94" s="277">
        <v>42735</v>
      </c>
      <c r="U94" s="77"/>
    </row>
    <row r="95" spans="1:21" s="1" customFormat="1" x14ac:dyDescent="0.25">
      <c r="A95" s="84">
        <v>59</v>
      </c>
      <c r="B95" s="24">
        <v>42720</v>
      </c>
      <c r="C95" s="1">
        <v>499</v>
      </c>
      <c r="E95" s="1">
        <v>3000036618</v>
      </c>
      <c r="F95" s="1" t="s">
        <v>371</v>
      </c>
      <c r="G95" s="1">
        <v>928</v>
      </c>
      <c r="H95" s="1" t="s">
        <v>382</v>
      </c>
      <c r="I95" s="1">
        <v>9499740048</v>
      </c>
      <c r="J95" s="25">
        <v>42709</v>
      </c>
      <c r="K95" s="25">
        <v>42713</v>
      </c>
      <c r="L95" s="1" t="s">
        <v>362</v>
      </c>
      <c r="M95" s="1">
        <v>16.239999999999998</v>
      </c>
      <c r="N95" s="1">
        <v>16.21</v>
      </c>
      <c r="O95" s="1">
        <f t="shared" si="6"/>
        <v>16.21</v>
      </c>
      <c r="P95" s="7">
        <f t="shared" si="7"/>
        <v>42732</v>
      </c>
      <c r="Q95" s="1">
        <v>1624000</v>
      </c>
      <c r="R95" s="199">
        <f t="shared" si="8"/>
        <v>1621000.0000000002</v>
      </c>
      <c r="S95" s="277">
        <v>42732</v>
      </c>
      <c r="T95" s="277">
        <v>42735</v>
      </c>
      <c r="U95" s="77"/>
    </row>
    <row r="96" spans="1:21" s="1" customFormat="1" x14ac:dyDescent="0.25">
      <c r="A96" s="84">
        <v>61</v>
      </c>
      <c r="B96" s="24">
        <v>42720</v>
      </c>
      <c r="C96" s="1">
        <v>499</v>
      </c>
      <c r="E96" s="1">
        <v>3000036602</v>
      </c>
      <c r="F96" s="1" t="s">
        <v>171</v>
      </c>
      <c r="G96" s="1">
        <v>87</v>
      </c>
      <c r="H96" s="1" t="s">
        <v>384</v>
      </c>
      <c r="I96" s="1">
        <v>9499740046</v>
      </c>
      <c r="J96" s="25">
        <v>42707</v>
      </c>
      <c r="K96" s="25">
        <v>42713</v>
      </c>
      <c r="L96" s="1" t="s">
        <v>362</v>
      </c>
      <c r="M96" s="1">
        <v>19.45</v>
      </c>
      <c r="N96" s="1">
        <v>19.440000000000001</v>
      </c>
      <c r="O96" s="1">
        <f t="shared" si="6"/>
        <v>19.440000000000001</v>
      </c>
      <c r="P96" s="7">
        <f t="shared" si="7"/>
        <v>42732</v>
      </c>
      <c r="Q96" s="1">
        <v>1876968</v>
      </c>
      <c r="R96" s="199">
        <f t="shared" si="8"/>
        <v>1876002.977892031</v>
      </c>
      <c r="S96" s="277">
        <v>42732</v>
      </c>
      <c r="T96" s="277">
        <v>42735</v>
      </c>
      <c r="U96" s="77"/>
    </row>
    <row r="97" spans="1:21" s="1" customFormat="1" x14ac:dyDescent="0.25">
      <c r="A97" s="1">
        <v>90</v>
      </c>
      <c r="B97" s="24">
        <v>42723</v>
      </c>
      <c r="C97" s="1">
        <v>499</v>
      </c>
      <c r="E97" s="1">
        <v>3000037223</v>
      </c>
      <c r="F97" s="1" t="s">
        <v>425</v>
      </c>
      <c r="G97" s="1">
        <v>702</v>
      </c>
      <c r="H97" s="1" t="s">
        <v>426</v>
      </c>
      <c r="I97" s="1">
        <v>9499740067</v>
      </c>
      <c r="J97" s="25">
        <v>42717</v>
      </c>
      <c r="K97" s="25">
        <v>42719</v>
      </c>
      <c r="L97" s="1" t="s">
        <v>362</v>
      </c>
      <c r="M97" s="1">
        <v>19.34</v>
      </c>
      <c r="N97" s="1">
        <v>19.28</v>
      </c>
      <c r="O97" s="1">
        <f t="shared" si="6"/>
        <v>19.28</v>
      </c>
      <c r="P97" s="7">
        <f>+K97+4-1</f>
        <v>42722</v>
      </c>
      <c r="Q97" s="1">
        <v>1927038</v>
      </c>
      <c r="R97" s="26">
        <f t="shared" si="8"/>
        <v>1921059.5987590489</v>
      </c>
      <c r="S97" s="270">
        <v>42737</v>
      </c>
      <c r="T97" s="270">
        <v>42738</v>
      </c>
    </row>
    <row r="98" spans="1:21" s="1" customFormat="1" x14ac:dyDescent="0.25">
      <c r="A98" s="84">
        <v>141</v>
      </c>
      <c r="B98" s="24">
        <v>42737</v>
      </c>
      <c r="C98" s="1">
        <v>499</v>
      </c>
      <c r="E98" s="1">
        <v>3000037308</v>
      </c>
      <c r="F98" s="1" t="s">
        <v>425</v>
      </c>
      <c r="G98" s="1">
        <v>708</v>
      </c>
      <c r="H98" s="1" t="s">
        <v>426</v>
      </c>
      <c r="I98" s="1">
        <v>9499740104</v>
      </c>
      <c r="J98" s="25">
        <v>42726</v>
      </c>
      <c r="K98" s="25">
        <v>42728</v>
      </c>
      <c r="L98" s="1" t="s">
        <v>362</v>
      </c>
      <c r="M98" s="1">
        <v>20.234999999999999</v>
      </c>
      <c r="N98" s="1">
        <v>20.12</v>
      </c>
      <c r="O98" s="1">
        <f t="shared" si="6"/>
        <v>20.12</v>
      </c>
      <c r="P98" s="7">
        <f>+K98+4-1</f>
        <v>42731</v>
      </c>
      <c r="Q98" s="1">
        <v>2257518</v>
      </c>
      <c r="R98" s="36">
        <f t="shared" si="8"/>
        <v>2244688.0237212749</v>
      </c>
      <c r="S98" s="270">
        <v>42739</v>
      </c>
      <c r="T98" s="270">
        <v>42740</v>
      </c>
    </row>
    <row r="99" spans="1:21" s="1" customFormat="1" x14ac:dyDescent="0.25">
      <c r="A99" s="84">
        <v>85</v>
      </c>
      <c r="B99" s="24">
        <v>42723</v>
      </c>
      <c r="C99" s="1">
        <v>499</v>
      </c>
      <c r="E99" s="1">
        <v>3000036999</v>
      </c>
      <c r="F99" s="1" t="s">
        <v>417</v>
      </c>
      <c r="G99" s="1">
        <v>62</v>
      </c>
      <c r="H99" s="1" t="s">
        <v>419</v>
      </c>
      <c r="I99" s="1">
        <v>9499740053</v>
      </c>
      <c r="J99" s="25">
        <v>42711</v>
      </c>
      <c r="K99" s="25">
        <v>42718</v>
      </c>
      <c r="L99" s="1" t="s">
        <v>362</v>
      </c>
      <c r="M99" s="1">
        <v>16.37</v>
      </c>
      <c r="N99" s="1">
        <v>16.39</v>
      </c>
      <c r="O99" s="1">
        <f t="shared" si="6"/>
        <v>16.37</v>
      </c>
      <c r="P99" s="7">
        <f t="shared" ref="P99:P108" si="9">+K99+20-1</f>
        <v>42737</v>
      </c>
      <c r="Q99" s="1">
        <v>1735220</v>
      </c>
      <c r="R99" s="36">
        <f t="shared" si="8"/>
        <v>1735220</v>
      </c>
      <c r="S99" s="270">
        <v>42739</v>
      </c>
      <c r="T99" s="270">
        <v>42740</v>
      </c>
    </row>
    <row r="100" spans="1:21" s="1" customFormat="1" x14ac:dyDescent="0.25">
      <c r="A100" s="1">
        <v>84</v>
      </c>
      <c r="B100" s="24">
        <v>42723</v>
      </c>
      <c r="C100" s="1">
        <v>499</v>
      </c>
      <c r="E100" s="1">
        <v>3000036999</v>
      </c>
      <c r="F100" s="1" t="s">
        <v>417</v>
      </c>
      <c r="G100" s="1">
        <v>63</v>
      </c>
      <c r="H100" s="1" t="s">
        <v>418</v>
      </c>
      <c r="I100" s="1">
        <v>9499740053</v>
      </c>
      <c r="J100" s="25">
        <v>42711</v>
      </c>
      <c r="K100" s="25">
        <v>42718</v>
      </c>
      <c r="L100" s="1" t="s">
        <v>362</v>
      </c>
      <c r="M100" s="1">
        <v>24.18</v>
      </c>
      <c r="N100" s="1">
        <v>240140</v>
      </c>
      <c r="O100" s="1">
        <f t="shared" si="6"/>
        <v>24.18</v>
      </c>
      <c r="P100" s="7">
        <f t="shared" si="9"/>
        <v>42737</v>
      </c>
      <c r="Q100" s="1">
        <v>2563080</v>
      </c>
      <c r="R100" s="36">
        <f t="shared" si="8"/>
        <v>2563080</v>
      </c>
      <c r="S100" s="270">
        <v>42739</v>
      </c>
      <c r="T100" s="270">
        <v>42740</v>
      </c>
    </row>
    <row r="101" spans="1:21" s="1" customFormat="1" x14ac:dyDescent="0.25">
      <c r="A101" s="1">
        <v>86</v>
      </c>
      <c r="B101" s="24">
        <v>42723</v>
      </c>
      <c r="C101" s="1">
        <v>499</v>
      </c>
      <c r="E101" s="1">
        <v>3000036608</v>
      </c>
      <c r="F101" s="1" t="s">
        <v>364</v>
      </c>
      <c r="G101" s="1">
        <v>78</v>
      </c>
      <c r="H101" s="1" t="s">
        <v>420</v>
      </c>
      <c r="I101" s="1">
        <v>9499740056</v>
      </c>
      <c r="J101" s="25">
        <v>42712</v>
      </c>
      <c r="K101" s="25">
        <v>42718</v>
      </c>
      <c r="L101" s="1" t="s">
        <v>362</v>
      </c>
      <c r="M101" s="1">
        <v>20.2</v>
      </c>
      <c r="N101" s="1">
        <v>20.16</v>
      </c>
      <c r="O101" s="1">
        <f t="shared" si="6"/>
        <v>20.16</v>
      </c>
      <c r="P101" s="7">
        <f t="shared" si="9"/>
        <v>42737</v>
      </c>
      <c r="Q101" s="1">
        <v>1969500</v>
      </c>
      <c r="R101" s="36">
        <f t="shared" si="8"/>
        <v>1965600</v>
      </c>
      <c r="S101" s="270">
        <v>42739</v>
      </c>
      <c r="T101" s="270">
        <v>42740</v>
      </c>
    </row>
    <row r="102" spans="1:21" s="1" customFormat="1" x14ac:dyDescent="0.25">
      <c r="A102" s="1">
        <v>104</v>
      </c>
      <c r="B102" s="24">
        <v>42726</v>
      </c>
      <c r="C102" s="1">
        <v>499</v>
      </c>
      <c r="E102" s="1">
        <v>3000036604</v>
      </c>
      <c r="F102" s="1" t="s">
        <v>364</v>
      </c>
      <c r="G102" s="1">
        <v>80</v>
      </c>
      <c r="H102" s="1" t="s">
        <v>443</v>
      </c>
      <c r="I102" s="1">
        <v>9499740071</v>
      </c>
      <c r="J102" s="25">
        <v>42716</v>
      </c>
      <c r="K102" s="25">
        <v>42720</v>
      </c>
      <c r="L102" s="5" t="s">
        <v>362</v>
      </c>
      <c r="M102" s="1">
        <v>19.739999999999998</v>
      </c>
      <c r="N102" s="1">
        <v>19.77</v>
      </c>
      <c r="O102" s="1">
        <f t="shared" si="6"/>
        <v>19.739999999999998</v>
      </c>
      <c r="P102" s="7">
        <f t="shared" si="9"/>
        <v>42739</v>
      </c>
      <c r="Q102" s="1">
        <v>1904910</v>
      </c>
      <c r="R102" s="36">
        <f t="shared" si="8"/>
        <v>1904910.0000000002</v>
      </c>
      <c r="S102" s="270">
        <v>42739</v>
      </c>
      <c r="T102" s="270">
        <v>42740</v>
      </c>
    </row>
    <row r="103" spans="1:21" s="21" customFormat="1" x14ac:dyDescent="0.25">
      <c r="A103" s="84">
        <v>105</v>
      </c>
      <c r="B103" s="24">
        <v>42726</v>
      </c>
      <c r="C103" s="1">
        <v>499</v>
      </c>
      <c r="D103" s="1"/>
      <c r="E103" s="1">
        <v>3000036604</v>
      </c>
      <c r="F103" s="1" t="s">
        <v>364</v>
      </c>
      <c r="G103" s="1">
        <v>81</v>
      </c>
      <c r="H103" s="1" t="s">
        <v>444</v>
      </c>
      <c r="I103" s="1">
        <v>9499740070</v>
      </c>
      <c r="J103" s="25">
        <v>42716</v>
      </c>
      <c r="K103" s="25">
        <v>42720</v>
      </c>
      <c r="L103" s="5" t="s">
        <v>362</v>
      </c>
      <c r="M103" s="1">
        <v>19.96</v>
      </c>
      <c r="N103" s="1">
        <v>19.97</v>
      </c>
      <c r="O103" s="1">
        <f t="shared" si="6"/>
        <v>19.96</v>
      </c>
      <c r="P103" s="7">
        <f t="shared" si="9"/>
        <v>42739</v>
      </c>
      <c r="Q103" s="1">
        <v>2115760</v>
      </c>
      <c r="R103" s="36">
        <f t="shared" si="8"/>
        <v>2115760</v>
      </c>
      <c r="S103" s="270">
        <v>42739</v>
      </c>
      <c r="T103" s="270">
        <v>42740</v>
      </c>
    </row>
    <row r="104" spans="1:21" s="1" customFormat="1" x14ac:dyDescent="0.25">
      <c r="A104" s="84">
        <v>87</v>
      </c>
      <c r="B104" s="24">
        <v>42723</v>
      </c>
      <c r="C104" s="1">
        <v>499</v>
      </c>
      <c r="E104" s="1">
        <v>3000036998</v>
      </c>
      <c r="F104" s="1" t="s">
        <v>363</v>
      </c>
      <c r="G104" s="1">
        <v>190</v>
      </c>
      <c r="H104" s="1" t="s">
        <v>421</v>
      </c>
      <c r="I104" s="1">
        <v>9499740054</v>
      </c>
      <c r="J104" s="25">
        <v>42713</v>
      </c>
      <c r="K104" s="25">
        <v>42718</v>
      </c>
      <c r="L104" s="1" t="s">
        <v>362</v>
      </c>
      <c r="M104" s="1">
        <v>19.7</v>
      </c>
      <c r="N104" s="1">
        <v>19.75</v>
      </c>
      <c r="O104" s="1">
        <f t="shared" si="6"/>
        <v>19.7</v>
      </c>
      <c r="P104" s="7">
        <f t="shared" si="9"/>
        <v>42737</v>
      </c>
      <c r="Q104" s="1">
        <v>2088168</v>
      </c>
      <c r="R104" s="36">
        <f t="shared" si="8"/>
        <v>2088168</v>
      </c>
      <c r="S104" s="270">
        <v>42739</v>
      </c>
      <c r="T104" s="270">
        <v>42740</v>
      </c>
    </row>
    <row r="105" spans="1:21" s="1" customFormat="1" x14ac:dyDescent="0.25">
      <c r="A105" s="1">
        <v>88</v>
      </c>
      <c r="B105" s="24">
        <v>42723</v>
      </c>
      <c r="C105" s="1">
        <v>499</v>
      </c>
      <c r="E105" s="1">
        <v>3000036603</v>
      </c>
      <c r="F105" s="1" t="s">
        <v>422</v>
      </c>
      <c r="G105" s="1">
        <v>161</v>
      </c>
      <c r="H105" s="1" t="s">
        <v>423</v>
      </c>
      <c r="I105" s="1">
        <v>9499740051</v>
      </c>
      <c r="J105" s="25">
        <v>42712</v>
      </c>
      <c r="K105" s="25">
        <v>42718</v>
      </c>
      <c r="L105" s="1" t="s">
        <v>362</v>
      </c>
      <c r="M105" s="1">
        <v>19.989999999999998</v>
      </c>
      <c r="N105" s="1">
        <v>19.97</v>
      </c>
      <c r="O105" s="1">
        <f t="shared" si="6"/>
        <v>19.97</v>
      </c>
      <c r="P105" s="7">
        <f t="shared" si="9"/>
        <v>42737</v>
      </c>
      <c r="Q105" s="1">
        <v>1929035</v>
      </c>
      <c r="R105" s="36">
        <f t="shared" si="8"/>
        <v>1927105.0000000002</v>
      </c>
      <c r="S105" s="270">
        <v>42739</v>
      </c>
      <c r="T105" s="270">
        <v>42740</v>
      </c>
    </row>
    <row r="106" spans="1:21" s="1" customFormat="1" x14ac:dyDescent="0.25">
      <c r="A106" s="84">
        <v>89</v>
      </c>
      <c r="B106" s="24">
        <v>42723</v>
      </c>
      <c r="C106" s="1">
        <v>499</v>
      </c>
      <c r="E106" s="1">
        <v>3000036606</v>
      </c>
      <c r="F106" s="1" t="s">
        <v>158</v>
      </c>
      <c r="G106" s="1">
        <v>146</v>
      </c>
      <c r="H106" s="1" t="s">
        <v>424</v>
      </c>
      <c r="I106" s="1">
        <v>9499740055</v>
      </c>
      <c r="J106" s="25">
        <v>42712</v>
      </c>
      <c r="K106" s="25">
        <v>42718</v>
      </c>
      <c r="L106" s="1" t="s">
        <v>362</v>
      </c>
      <c r="M106" s="1">
        <v>19.75</v>
      </c>
      <c r="N106" s="1">
        <v>19.72</v>
      </c>
      <c r="O106" s="1">
        <f t="shared" si="6"/>
        <v>19.72</v>
      </c>
      <c r="P106" s="7">
        <f t="shared" si="9"/>
        <v>42737</v>
      </c>
      <c r="Q106" s="1">
        <v>1905875</v>
      </c>
      <c r="R106" s="36">
        <f t="shared" si="8"/>
        <v>1902980</v>
      </c>
      <c r="S106" s="270">
        <v>42739</v>
      </c>
      <c r="T106" s="270">
        <v>42740</v>
      </c>
    </row>
    <row r="107" spans="1:21" s="1" customFormat="1" x14ac:dyDescent="0.25">
      <c r="A107" s="84">
        <v>99</v>
      </c>
      <c r="B107" s="24">
        <v>42726</v>
      </c>
      <c r="C107" s="1">
        <v>499</v>
      </c>
      <c r="E107" s="5">
        <v>3000036721</v>
      </c>
      <c r="F107" s="5" t="s">
        <v>158</v>
      </c>
      <c r="G107" s="5">
        <v>150</v>
      </c>
      <c r="H107" s="5" t="s">
        <v>438</v>
      </c>
      <c r="I107" s="1">
        <v>9499740072</v>
      </c>
      <c r="J107" s="25">
        <v>42716</v>
      </c>
      <c r="K107" s="25">
        <v>42720</v>
      </c>
      <c r="L107" s="5" t="s">
        <v>362</v>
      </c>
      <c r="M107" s="5">
        <v>19.45</v>
      </c>
      <c r="N107" s="5">
        <v>19.46</v>
      </c>
      <c r="O107" s="5">
        <f t="shared" si="6"/>
        <v>19.45</v>
      </c>
      <c r="P107" s="7">
        <f t="shared" si="9"/>
        <v>42739</v>
      </c>
      <c r="Q107" s="5">
        <v>2003350</v>
      </c>
      <c r="R107" s="36">
        <f t="shared" si="8"/>
        <v>2003350</v>
      </c>
      <c r="S107" s="270">
        <v>42739</v>
      </c>
      <c r="T107" s="270">
        <v>42740</v>
      </c>
    </row>
    <row r="108" spans="1:21" s="21" customFormat="1" x14ac:dyDescent="0.25">
      <c r="A108" s="84">
        <v>93</v>
      </c>
      <c r="B108" s="24">
        <v>42723</v>
      </c>
      <c r="C108" s="1">
        <v>499</v>
      </c>
      <c r="D108" s="1"/>
      <c r="E108" s="1">
        <v>3000036990</v>
      </c>
      <c r="F108" s="1" t="s">
        <v>200</v>
      </c>
      <c r="G108" s="1">
        <v>249</v>
      </c>
      <c r="H108" s="1" t="s">
        <v>429</v>
      </c>
      <c r="I108" s="1">
        <v>9499740052</v>
      </c>
      <c r="J108" s="25">
        <v>42711</v>
      </c>
      <c r="K108" s="25">
        <v>42718</v>
      </c>
      <c r="L108" s="1" t="s">
        <v>362</v>
      </c>
      <c r="M108" s="1">
        <v>20.239999999999998</v>
      </c>
      <c r="N108" s="1">
        <v>20.22</v>
      </c>
      <c r="O108" s="1">
        <f t="shared" si="6"/>
        <v>20.22</v>
      </c>
      <c r="P108" s="7">
        <f t="shared" si="9"/>
        <v>42737</v>
      </c>
      <c r="Q108" s="1">
        <v>2145408</v>
      </c>
      <c r="R108" s="36">
        <f t="shared" si="8"/>
        <v>2143288.0316205537</v>
      </c>
      <c r="S108" s="270">
        <v>42739</v>
      </c>
      <c r="T108" s="270">
        <v>42740</v>
      </c>
    </row>
    <row r="109" spans="1:21" s="1" customFormat="1" x14ac:dyDescent="0.25">
      <c r="A109" s="1">
        <v>130</v>
      </c>
      <c r="B109" s="24">
        <v>42737</v>
      </c>
      <c r="C109" s="1">
        <v>499</v>
      </c>
      <c r="E109" s="1">
        <v>3000037291</v>
      </c>
      <c r="F109" s="1" t="s">
        <v>492</v>
      </c>
      <c r="G109" s="16" t="s">
        <v>493</v>
      </c>
      <c r="H109" s="1" t="s">
        <v>494</v>
      </c>
      <c r="I109" s="1">
        <v>9499740086</v>
      </c>
      <c r="J109" s="25">
        <v>42719</v>
      </c>
      <c r="K109" s="25">
        <v>42735</v>
      </c>
      <c r="L109" s="1" t="s">
        <v>362</v>
      </c>
      <c r="O109" s="1">
        <f t="shared" si="6"/>
        <v>0</v>
      </c>
      <c r="P109" s="7">
        <f>+K109+4-1</f>
        <v>42738</v>
      </c>
      <c r="Q109" s="1">
        <v>15812</v>
      </c>
      <c r="R109" s="26"/>
      <c r="S109" s="270">
        <v>42739</v>
      </c>
      <c r="T109" s="270">
        <v>42740</v>
      </c>
    </row>
    <row r="110" spans="1:21" s="1" customFormat="1" x14ac:dyDescent="0.25">
      <c r="A110" s="84">
        <v>131</v>
      </c>
      <c r="B110" s="24">
        <v>42737</v>
      </c>
      <c r="C110" s="1">
        <v>499</v>
      </c>
      <c r="E110" s="1">
        <v>3000037291</v>
      </c>
      <c r="F110" s="1" t="s">
        <v>492</v>
      </c>
      <c r="G110" s="16">
        <v>1047</v>
      </c>
      <c r="H110" s="1" t="s">
        <v>494</v>
      </c>
      <c r="I110" s="1">
        <v>9499740086</v>
      </c>
      <c r="J110" s="25">
        <v>42719</v>
      </c>
      <c r="K110" s="25">
        <v>42735</v>
      </c>
      <c r="L110" s="1" t="s">
        <v>362</v>
      </c>
      <c r="M110" s="1">
        <v>20.079999999999998</v>
      </c>
      <c r="N110" s="1">
        <v>19.989999999999998</v>
      </c>
      <c r="O110" s="1">
        <f t="shared" si="6"/>
        <v>19.989999999999998</v>
      </c>
      <c r="P110" s="7">
        <f>+K110+4-1</f>
        <v>42738</v>
      </c>
      <c r="Q110" s="1">
        <v>2213900</v>
      </c>
      <c r="R110" s="36">
        <f>(+Q110/M110*O110)-15812</f>
        <v>2188165.141434263</v>
      </c>
      <c r="S110" s="270">
        <v>42739</v>
      </c>
      <c r="T110" s="270">
        <v>42740</v>
      </c>
      <c r="U110" s="21" t="s">
        <v>347</v>
      </c>
    </row>
    <row r="111" spans="1:21" x14ac:dyDescent="0.25">
      <c r="A111" s="271">
        <v>91</v>
      </c>
      <c r="B111" s="90">
        <v>42723</v>
      </c>
      <c r="C111" s="91">
        <v>499</v>
      </c>
      <c r="D111" s="287"/>
      <c r="E111" s="287">
        <v>3000037088</v>
      </c>
      <c r="F111" s="91" t="s">
        <v>201</v>
      </c>
      <c r="G111" s="287">
        <v>256</v>
      </c>
      <c r="H111" s="287" t="s">
        <v>427</v>
      </c>
      <c r="I111" s="287">
        <v>9499740065</v>
      </c>
      <c r="J111" s="92">
        <v>42714</v>
      </c>
      <c r="K111" s="92">
        <v>42720</v>
      </c>
      <c r="L111" s="287" t="s">
        <v>362</v>
      </c>
      <c r="M111" s="287">
        <v>19.91</v>
      </c>
      <c r="N111" s="287">
        <v>19.87</v>
      </c>
      <c r="O111" s="287">
        <f t="shared" si="6"/>
        <v>19.87</v>
      </c>
      <c r="P111" s="94">
        <f t="shared" ref="P111:P116" si="10">+K111+20-1</f>
        <v>42739</v>
      </c>
      <c r="Q111" s="287">
        <v>2060876</v>
      </c>
      <c r="R111" s="288">
        <f t="shared" ref="R111:R117" si="11">(+Q111/M111*O111)</f>
        <v>2056735.6162732295</v>
      </c>
      <c r="S111" s="270">
        <v>42739</v>
      </c>
      <c r="T111" s="270">
        <v>42740</v>
      </c>
    </row>
    <row r="112" spans="1:21" s="1" customFormat="1" x14ac:dyDescent="0.25">
      <c r="A112" s="1">
        <v>106</v>
      </c>
      <c r="B112" s="24">
        <v>42726</v>
      </c>
      <c r="C112" s="1">
        <v>499</v>
      </c>
      <c r="E112" s="1">
        <v>3000036723</v>
      </c>
      <c r="F112" s="1" t="s">
        <v>371</v>
      </c>
      <c r="G112" s="1">
        <v>959</v>
      </c>
      <c r="H112" s="1" t="s">
        <v>445</v>
      </c>
      <c r="I112" s="1">
        <v>9499740069</v>
      </c>
      <c r="J112" s="25">
        <v>42716</v>
      </c>
      <c r="K112" s="25">
        <v>42720</v>
      </c>
      <c r="L112" s="5" t="s">
        <v>362</v>
      </c>
      <c r="M112" s="1">
        <v>20.079999999999998</v>
      </c>
      <c r="N112" s="1">
        <v>20.04</v>
      </c>
      <c r="O112" s="1">
        <f t="shared" ref="O112:O143" si="12">IF(N112&gt;M112,M112,N112)</f>
        <v>20.04</v>
      </c>
      <c r="P112" s="7">
        <f t="shared" si="10"/>
        <v>42739</v>
      </c>
      <c r="Q112" s="1">
        <v>2068240</v>
      </c>
      <c r="R112" s="36">
        <f t="shared" si="11"/>
        <v>2064120.0000000002</v>
      </c>
      <c r="S112" s="289">
        <v>42739</v>
      </c>
      <c r="T112" s="270">
        <v>42740</v>
      </c>
    </row>
    <row r="113" spans="1:21" s="1" customFormat="1" x14ac:dyDescent="0.25">
      <c r="A113" s="84">
        <v>107</v>
      </c>
      <c r="B113" s="24">
        <v>42726</v>
      </c>
      <c r="C113" s="1">
        <v>499</v>
      </c>
      <c r="E113" s="1">
        <v>3000036723</v>
      </c>
      <c r="F113" s="1" t="s">
        <v>371</v>
      </c>
      <c r="G113" s="1">
        <v>961</v>
      </c>
      <c r="H113" s="1" t="s">
        <v>446</v>
      </c>
      <c r="I113" s="1">
        <v>9499740069</v>
      </c>
      <c r="J113" s="25">
        <v>42716</v>
      </c>
      <c r="K113" s="25">
        <v>42720</v>
      </c>
      <c r="L113" s="5" t="s">
        <v>362</v>
      </c>
      <c r="M113" s="1">
        <v>20.14</v>
      </c>
      <c r="N113" s="1">
        <v>20.09</v>
      </c>
      <c r="O113" s="1">
        <f t="shared" si="12"/>
        <v>20.09</v>
      </c>
      <c r="P113" s="7">
        <f t="shared" si="10"/>
        <v>42739</v>
      </c>
      <c r="Q113" s="1">
        <v>2074420</v>
      </c>
      <c r="R113" s="36">
        <f t="shared" si="11"/>
        <v>2069270</v>
      </c>
      <c r="S113" s="289">
        <v>42739</v>
      </c>
      <c r="T113" s="270">
        <v>42740</v>
      </c>
    </row>
    <row r="114" spans="1:21" s="1" customFormat="1" x14ac:dyDescent="0.25">
      <c r="A114" s="84">
        <v>97</v>
      </c>
      <c r="B114" s="24">
        <v>42726</v>
      </c>
      <c r="C114" s="1">
        <v>499</v>
      </c>
      <c r="E114" s="5">
        <v>3000036720</v>
      </c>
      <c r="F114" s="1" t="s">
        <v>361</v>
      </c>
      <c r="G114" s="5">
        <v>228</v>
      </c>
      <c r="H114" s="5" t="s">
        <v>436</v>
      </c>
      <c r="I114" s="5">
        <v>9499740077</v>
      </c>
      <c r="J114" s="25">
        <v>42717</v>
      </c>
      <c r="K114" s="25">
        <v>42721</v>
      </c>
      <c r="L114" s="5" t="s">
        <v>362</v>
      </c>
      <c r="M114" s="5">
        <v>19.88</v>
      </c>
      <c r="N114" s="5">
        <v>19.95</v>
      </c>
      <c r="O114" s="5">
        <f t="shared" si="12"/>
        <v>19.88</v>
      </c>
      <c r="P114" s="7">
        <f t="shared" si="10"/>
        <v>42740</v>
      </c>
      <c r="Q114" s="5">
        <v>2047631</v>
      </c>
      <c r="R114" s="36">
        <f t="shared" si="11"/>
        <v>2047631.0000000002</v>
      </c>
      <c r="S114" s="270">
        <v>42739</v>
      </c>
      <c r="T114" s="270">
        <v>42740</v>
      </c>
    </row>
    <row r="115" spans="1:21" s="1" customFormat="1" x14ac:dyDescent="0.25">
      <c r="A115" s="1">
        <v>102</v>
      </c>
      <c r="B115" s="24">
        <v>42726</v>
      </c>
      <c r="C115" s="1">
        <v>499</v>
      </c>
      <c r="E115" s="1">
        <v>3000037164</v>
      </c>
      <c r="F115" s="1" t="s">
        <v>192</v>
      </c>
      <c r="G115" s="1">
        <v>36</v>
      </c>
      <c r="H115" s="1" t="s">
        <v>441</v>
      </c>
      <c r="I115" s="1">
        <v>9499740074</v>
      </c>
      <c r="J115" s="25">
        <v>42717</v>
      </c>
      <c r="K115" s="25">
        <v>42721</v>
      </c>
      <c r="L115" s="5" t="s">
        <v>362</v>
      </c>
      <c r="M115" s="1">
        <v>21.04</v>
      </c>
      <c r="N115" s="1">
        <v>21.03</v>
      </c>
      <c r="O115" s="1">
        <f t="shared" si="12"/>
        <v>21.03</v>
      </c>
      <c r="P115" s="7">
        <f t="shared" si="10"/>
        <v>42740</v>
      </c>
      <c r="Q115" s="1">
        <v>1972500</v>
      </c>
      <c r="R115" s="36">
        <f t="shared" si="11"/>
        <v>1971562.5</v>
      </c>
      <c r="S115" s="270">
        <v>42739</v>
      </c>
      <c r="T115" s="270">
        <v>42740</v>
      </c>
    </row>
    <row r="116" spans="1:21" s="1" customFormat="1" x14ac:dyDescent="0.25">
      <c r="A116" s="84">
        <v>103</v>
      </c>
      <c r="B116" s="24">
        <v>42726</v>
      </c>
      <c r="C116" s="1">
        <v>499</v>
      </c>
      <c r="E116" s="1">
        <v>3000037164</v>
      </c>
      <c r="F116" s="1" t="s">
        <v>192</v>
      </c>
      <c r="G116" s="1">
        <v>37</v>
      </c>
      <c r="H116" s="1" t="s">
        <v>442</v>
      </c>
      <c r="I116" s="1">
        <v>9499740074</v>
      </c>
      <c r="J116" s="25">
        <v>42717</v>
      </c>
      <c r="K116" s="25">
        <v>42721</v>
      </c>
      <c r="L116" s="5" t="s">
        <v>362</v>
      </c>
      <c r="M116" s="1">
        <v>21.09</v>
      </c>
      <c r="N116" s="1">
        <v>21.06</v>
      </c>
      <c r="O116" s="1">
        <f t="shared" si="12"/>
        <v>21.06</v>
      </c>
      <c r="P116" s="7">
        <f t="shared" si="10"/>
        <v>42740</v>
      </c>
      <c r="Q116" s="1">
        <v>1977190</v>
      </c>
      <c r="R116" s="36">
        <f t="shared" si="11"/>
        <v>1974377.496443812</v>
      </c>
      <c r="S116" s="270">
        <v>42739</v>
      </c>
      <c r="T116" s="270">
        <v>42740</v>
      </c>
    </row>
    <row r="117" spans="1:21" s="1" customFormat="1" x14ac:dyDescent="0.25">
      <c r="A117" s="84">
        <v>147</v>
      </c>
      <c r="B117" s="24">
        <v>42741</v>
      </c>
      <c r="C117" s="1">
        <v>499</v>
      </c>
      <c r="E117" s="1">
        <v>3000037696</v>
      </c>
      <c r="F117" s="1" t="s">
        <v>507</v>
      </c>
      <c r="G117" s="1">
        <v>2307</v>
      </c>
      <c r="H117" s="1" t="s">
        <v>508</v>
      </c>
      <c r="I117" s="1">
        <v>9499740132</v>
      </c>
      <c r="J117" s="25">
        <v>42731</v>
      </c>
      <c r="K117" s="25">
        <v>42731</v>
      </c>
      <c r="L117" s="1" t="s">
        <v>362</v>
      </c>
      <c r="M117" s="1">
        <v>20.62</v>
      </c>
      <c r="N117" s="1">
        <v>20.62</v>
      </c>
      <c r="O117" s="1">
        <f t="shared" si="12"/>
        <v>20.62</v>
      </c>
      <c r="P117" s="7">
        <f>+K117+4-1</f>
        <v>42734</v>
      </c>
      <c r="Q117" s="1">
        <v>2268200</v>
      </c>
      <c r="R117" s="36">
        <f t="shared" si="11"/>
        <v>2268200</v>
      </c>
      <c r="S117" s="270">
        <v>42741</v>
      </c>
      <c r="T117" s="270">
        <v>42745</v>
      </c>
    </row>
    <row r="118" spans="1:21" s="1" customFormat="1" x14ac:dyDescent="0.25">
      <c r="A118" s="21">
        <v>96</v>
      </c>
      <c r="B118" s="51">
        <v>42726</v>
      </c>
      <c r="C118" s="21">
        <v>499</v>
      </c>
      <c r="D118" s="21"/>
      <c r="E118" s="21">
        <v>3000037188</v>
      </c>
      <c r="F118" s="21" t="s">
        <v>363</v>
      </c>
      <c r="G118" s="21">
        <v>194</v>
      </c>
      <c r="H118" s="21" t="s">
        <v>435</v>
      </c>
      <c r="I118" s="21">
        <v>9499740075</v>
      </c>
      <c r="J118" s="52">
        <v>42717</v>
      </c>
      <c r="K118" s="52">
        <v>42723</v>
      </c>
      <c r="L118" s="21" t="s">
        <v>362</v>
      </c>
      <c r="M118" s="21">
        <v>19.649999999999999</v>
      </c>
      <c r="N118" s="21">
        <v>19.7</v>
      </c>
      <c r="O118" s="21">
        <f t="shared" si="12"/>
        <v>19.649999999999999</v>
      </c>
      <c r="P118" s="22">
        <f t="shared" ref="P118:P154" si="13">+K118+20-1</f>
        <v>42742</v>
      </c>
      <c r="Q118" s="21">
        <v>2181079</v>
      </c>
      <c r="R118" s="36">
        <f>(+Q118/M118*O118)-25742</f>
        <v>2155337</v>
      </c>
      <c r="S118" s="270">
        <v>42741</v>
      </c>
      <c r="T118" s="133">
        <v>42744</v>
      </c>
      <c r="U118" s="21" t="s">
        <v>347</v>
      </c>
    </row>
    <row r="119" spans="1:21" s="1" customFormat="1" x14ac:dyDescent="0.25">
      <c r="A119" s="21">
        <v>100</v>
      </c>
      <c r="B119" s="51">
        <v>42726</v>
      </c>
      <c r="C119" s="21">
        <v>499</v>
      </c>
      <c r="D119" s="21"/>
      <c r="E119" s="21">
        <v>3000036721</v>
      </c>
      <c r="F119" s="21" t="s">
        <v>158</v>
      </c>
      <c r="G119" s="21">
        <v>151</v>
      </c>
      <c r="H119" s="21" t="s">
        <v>439</v>
      </c>
      <c r="I119" s="21">
        <v>9499740073</v>
      </c>
      <c r="J119" s="52">
        <v>42717</v>
      </c>
      <c r="K119" s="52">
        <v>42723</v>
      </c>
      <c r="L119" s="27" t="s">
        <v>362</v>
      </c>
      <c r="M119" s="21">
        <v>19.559999999999999</v>
      </c>
      <c r="N119" s="21">
        <v>19.53</v>
      </c>
      <c r="O119" s="21">
        <f t="shared" si="12"/>
        <v>19.53</v>
      </c>
      <c r="P119" s="22">
        <f t="shared" si="13"/>
        <v>42742</v>
      </c>
      <c r="Q119" s="21">
        <v>2014680</v>
      </c>
      <c r="R119" s="36">
        <f>(+Q119/M119*O119)-4082</f>
        <v>2007508.0000000002</v>
      </c>
      <c r="S119" s="270">
        <v>42741</v>
      </c>
      <c r="T119" s="133">
        <v>42744</v>
      </c>
      <c r="U119" s="21" t="s">
        <v>347</v>
      </c>
    </row>
    <row r="120" spans="1:21" s="1" customFormat="1" x14ac:dyDescent="0.25">
      <c r="A120" s="84">
        <v>121</v>
      </c>
      <c r="B120" s="24">
        <v>42734</v>
      </c>
      <c r="C120" s="1">
        <v>499</v>
      </c>
      <c r="E120" s="1">
        <v>3000037180</v>
      </c>
      <c r="F120" s="1" t="s">
        <v>158</v>
      </c>
      <c r="G120" s="16" t="s">
        <v>468</v>
      </c>
      <c r="J120" s="25">
        <v>42730</v>
      </c>
      <c r="K120" s="25">
        <v>42725</v>
      </c>
      <c r="L120" s="1" t="s">
        <v>362</v>
      </c>
      <c r="O120" s="1">
        <f t="shared" si="12"/>
        <v>0</v>
      </c>
      <c r="P120" s="7">
        <f t="shared" si="13"/>
        <v>42744</v>
      </c>
      <c r="Q120" s="1">
        <v>16816</v>
      </c>
      <c r="R120" s="36"/>
      <c r="S120" s="270">
        <v>42741</v>
      </c>
      <c r="T120" s="133">
        <v>42744</v>
      </c>
    </row>
    <row r="121" spans="1:21" s="1" customFormat="1" x14ac:dyDescent="0.25">
      <c r="A121" s="1">
        <v>122</v>
      </c>
      <c r="B121" s="24">
        <v>42734</v>
      </c>
      <c r="C121" s="1">
        <v>499</v>
      </c>
      <c r="E121" s="1">
        <v>3000037180</v>
      </c>
      <c r="F121" s="1" t="s">
        <v>158</v>
      </c>
      <c r="G121" s="16">
        <v>153</v>
      </c>
      <c r="H121" s="1" t="s">
        <v>469</v>
      </c>
      <c r="I121" s="1">
        <v>9499740079</v>
      </c>
      <c r="J121" s="25">
        <v>42718</v>
      </c>
      <c r="K121" s="25">
        <v>42725</v>
      </c>
      <c r="L121" s="1" t="s">
        <v>362</v>
      </c>
      <c r="M121" s="1">
        <v>19.940000000000001</v>
      </c>
      <c r="N121" s="1">
        <v>19.899999999999999</v>
      </c>
      <c r="O121" s="1">
        <f t="shared" si="12"/>
        <v>19.899999999999999</v>
      </c>
      <c r="P121" s="7">
        <f t="shared" si="13"/>
        <v>42744</v>
      </c>
      <c r="Q121" s="1">
        <v>2213340</v>
      </c>
      <c r="R121" s="36">
        <f>(+Q121/M121*O121)-16816</f>
        <v>2192084</v>
      </c>
      <c r="S121" s="270">
        <v>42741</v>
      </c>
      <c r="T121" s="133">
        <v>42744</v>
      </c>
      <c r="U121" s="21" t="s">
        <v>347</v>
      </c>
    </row>
    <row r="122" spans="1:21" s="1" customFormat="1" x14ac:dyDescent="0.25">
      <c r="A122" s="1">
        <v>98</v>
      </c>
      <c r="B122" s="24">
        <v>42726</v>
      </c>
      <c r="C122" s="1">
        <v>499</v>
      </c>
      <c r="E122" s="5">
        <v>3000036606</v>
      </c>
      <c r="F122" s="5" t="s">
        <v>158</v>
      </c>
      <c r="G122" s="5">
        <v>149</v>
      </c>
      <c r="H122" s="5" t="s">
        <v>437</v>
      </c>
      <c r="I122" s="1">
        <v>9499740064</v>
      </c>
      <c r="J122" s="25">
        <v>42714</v>
      </c>
      <c r="K122" s="25">
        <v>42724</v>
      </c>
      <c r="L122" s="5" t="s">
        <v>362</v>
      </c>
      <c r="M122" s="5">
        <v>19.13</v>
      </c>
      <c r="N122" s="5">
        <v>19.079999999999998</v>
      </c>
      <c r="O122" s="5">
        <f t="shared" si="12"/>
        <v>19.079999999999998</v>
      </c>
      <c r="P122" s="7">
        <f t="shared" si="13"/>
        <v>42743</v>
      </c>
      <c r="Q122" s="5">
        <v>1846045</v>
      </c>
      <c r="R122" s="36">
        <f>(+Q122/M122*O122)-19214</f>
        <v>1822005.9999999998</v>
      </c>
      <c r="S122" s="270">
        <v>42741</v>
      </c>
      <c r="T122" s="133">
        <v>42744</v>
      </c>
      <c r="U122" s="21" t="s">
        <v>347</v>
      </c>
    </row>
    <row r="123" spans="1:21" s="1" customFormat="1" x14ac:dyDescent="0.25">
      <c r="A123" s="84">
        <v>123</v>
      </c>
      <c r="B123" s="24">
        <v>42734</v>
      </c>
      <c r="C123" s="1">
        <v>499</v>
      </c>
      <c r="E123" s="1">
        <v>3000037324</v>
      </c>
      <c r="F123" s="1" t="s">
        <v>456</v>
      </c>
      <c r="G123" s="16" t="s">
        <v>470</v>
      </c>
      <c r="J123" s="25">
        <v>42730</v>
      </c>
      <c r="K123" s="25">
        <v>42723</v>
      </c>
      <c r="L123" s="1" t="s">
        <v>362</v>
      </c>
      <c r="O123" s="1">
        <f t="shared" si="12"/>
        <v>0</v>
      </c>
      <c r="P123" s="7">
        <f t="shared" si="13"/>
        <v>42742</v>
      </c>
      <c r="Q123" s="1">
        <v>37334</v>
      </c>
      <c r="R123" s="36"/>
      <c r="S123" s="270">
        <v>42741</v>
      </c>
      <c r="T123" s="133">
        <v>42744</v>
      </c>
    </row>
    <row r="124" spans="1:21" s="1" customFormat="1" x14ac:dyDescent="0.25">
      <c r="A124" s="1">
        <v>124</v>
      </c>
      <c r="B124" s="24">
        <v>42734</v>
      </c>
      <c r="C124" s="1">
        <v>499</v>
      </c>
      <c r="E124" s="1">
        <v>3000037324</v>
      </c>
      <c r="F124" s="1" t="s">
        <v>456</v>
      </c>
      <c r="G124" s="16">
        <v>61</v>
      </c>
      <c r="H124" s="1" t="s">
        <v>471</v>
      </c>
      <c r="I124" s="1">
        <v>9499740076</v>
      </c>
      <c r="J124" s="25">
        <v>42717</v>
      </c>
      <c r="K124" s="25">
        <v>42723</v>
      </c>
      <c r="L124" s="1" t="s">
        <v>362</v>
      </c>
      <c r="M124" s="1">
        <v>15.68</v>
      </c>
      <c r="N124" s="1">
        <v>15.7</v>
      </c>
      <c r="O124" s="1">
        <f t="shared" si="12"/>
        <v>15.68</v>
      </c>
      <c r="P124" s="7">
        <f t="shared" si="13"/>
        <v>42742</v>
      </c>
      <c r="Q124" s="1">
        <v>1740422</v>
      </c>
      <c r="R124" s="36">
        <f>(+Q124/M124*O124)-37334</f>
        <v>1703088</v>
      </c>
      <c r="S124" s="270">
        <v>42741</v>
      </c>
      <c r="T124" s="133">
        <v>42744</v>
      </c>
    </row>
    <row r="125" spans="1:21" s="1" customFormat="1" x14ac:dyDescent="0.25">
      <c r="A125" s="84">
        <v>139</v>
      </c>
      <c r="B125" s="24">
        <v>42739</v>
      </c>
      <c r="C125" s="1">
        <v>499</v>
      </c>
      <c r="E125" s="1">
        <v>3000037305</v>
      </c>
      <c r="F125" s="1" t="s">
        <v>456</v>
      </c>
      <c r="G125" s="16" t="s">
        <v>501</v>
      </c>
      <c r="H125" s="1" t="s">
        <v>502</v>
      </c>
      <c r="I125" s="1">
        <v>9499740089</v>
      </c>
      <c r="J125" s="25">
        <v>42739</v>
      </c>
      <c r="K125" s="25">
        <v>42728</v>
      </c>
      <c r="L125" s="1" t="s">
        <v>362</v>
      </c>
      <c r="O125" s="1">
        <f t="shared" si="12"/>
        <v>0</v>
      </c>
      <c r="P125" s="7">
        <f t="shared" si="13"/>
        <v>42747</v>
      </c>
      <c r="Q125" s="1">
        <v>26502</v>
      </c>
      <c r="R125" s="36"/>
      <c r="S125" s="270">
        <v>42741</v>
      </c>
      <c r="T125" s="133">
        <v>42744</v>
      </c>
    </row>
    <row r="126" spans="1:21" s="1" customFormat="1" x14ac:dyDescent="0.25">
      <c r="A126" s="1">
        <v>140</v>
      </c>
      <c r="B126" s="24">
        <v>42739</v>
      </c>
      <c r="C126" s="1">
        <v>499</v>
      </c>
      <c r="E126" s="1">
        <v>3000037305</v>
      </c>
      <c r="F126" s="1" t="s">
        <v>456</v>
      </c>
      <c r="G126" s="16">
        <v>62</v>
      </c>
      <c r="H126" s="1" t="s">
        <v>502</v>
      </c>
      <c r="I126" s="1">
        <v>9499740089</v>
      </c>
      <c r="J126" s="25">
        <v>42719</v>
      </c>
      <c r="K126" s="25">
        <v>42728</v>
      </c>
      <c r="L126" s="1" t="s">
        <v>362</v>
      </c>
      <c r="M126" s="1">
        <v>23.61</v>
      </c>
      <c r="N126" s="1">
        <v>23.65</v>
      </c>
      <c r="O126" s="1">
        <f t="shared" si="12"/>
        <v>23.61</v>
      </c>
      <c r="P126" s="7">
        <f t="shared" si="13"/>
        <v>42747</v>
      </c>
      <c r="Q126" s="1">
        <v>2620624</v>
      </c>
      <c r="R126" s="36">
        <f>(+Q126/M126*O126)-26502</f>
        <v>2594122</v>
      </c>
      <c r="S126" s="270">
        <v>42741</v>
      </c>
      <c r="T126" s="133">
        <v>42744</v>
      </c>
    </row>
    <row r="127" spans="1:21" s="1" customFormat="1" x14ac:dyDescent="0.25">
      <c r="A127" s="1">
        <v>116</v>
      </c>
      <c r="B127" s="24">
        <v>42732</v>
      </c>
      <c r="C127" s="1">
        <v>499</v>
      </c>
      <c r="E127" s="1">
        <v>3000037305</v>
      </c>
      <c r="F127" s="1" t="s">
        <v>456</v>
      </c>
      <c r="G127" s="1">
        <v>64</v>
      </c>
      <c r="H127" s="1" t="s">
        <v>457</v>
      </c>
      <c r="I127" s="1">
        <v>9499740084</v>
      </c>
      <c r="J127" s="25">
        <v>42720</v>
      </c>
      <c r="K127" s="25">
        <v>42726</v>
      </c>
      <c r="L127" s="5" t="s">
        <v>362</v>
      </c>
      <c r="M127" s="1">
        <v>19.489999999999998</v>
      </c>
      <c r="N127" s="1">
        <v>19.46</v>
      </c>
      <c r="O127" s="1">
        <f t="shared" si="12"/>
        <v>19.46</v>
      </c>
      <c r="P127" s="7">
        <f t="shared" si="13"/>
        <v>42745</v>
      </c>
      <c r="Q127" s="1">
        <v>2163319</v>
      </c>
      <c r="R127" s="36">
        <f t="shared" ref="R127:R142" si="14">(+Q127/M127*O127)</f>
        <v>2159989.109286814</v>
      </c>
      <c r="S127" s="270">
        <v>42741</v>
      </c>
      <c r="T127" s="133">
        <v>42744</v>
      </c>
    </row>
    <row r="128" spans="1:21" s="1" customFormat="1" x14ac:dyDescent="0.25">
      <c r="A128" s="84">
        <v>101</v>
      </c>
      <c r="B128" s="24">
        <v>42726</v>
      </c>
      <c r="C128" s="1">
        <v>499</v>
      </c>
      <c r="E128" s="1">
        <v>3000036995</v>
      </c>
      <c r="F128" s="1" t="s">
        <v>361</v>
      </c>
      <c r="G128" s="1">
        <v>229</v>
      </c>
      <c r="H128" s="1" t="s">
        <v>440</v>
      </c>
      <c r="I128" s="1">
        <v>9499740080</v>
      </c>
      <c r="J128" s="25">
        <v>42718</v>
      </c>
      <c r="K128" s="25">
        <v>42724</v>
      </c>
      <c r="L128" s="5" t="s">
        <v>362</v>
      </c>
      <c r="M128" s="1">
        <v>24.41</v>
      </c>
      <c r="N128" s="1">
        <v>24.42</v>
      </c>
      <c r="O128" s="1">
        <f t="shared" si="12"/>
        <v>24.41</v>
      </c>
      <c r="P128" s="7">
        <f t="shared" si="13"/>
        <v>42743</v>
      </c>
      <c r="Q128" s="1">
        <v>2587670</v>
      </c>
      <c r="R128" s="36">
        <f t="shared" si="14"/>
        <v>2587670</v>
      </c>
      <c r="S128" s="270">
        <v>42741</v>
      </c>
      <c r="T128" s="133">
        <v>42744</v>
      </c>
    </row>
    <row r="129" spans="1:20" s="1" customFormat="1" x14ac:dyDescent="0.25">
      <c r="A129" s="1">
        <v>114</v>
      </c>
      <c r="B129" s="24">
        <v>42732</v>
      </c>
      <c r="C129" s="1">
        <v>499</v>
      </c>
      <c r="E129" s="1">
        <v>3000036995</v>
      </c>
      <c r="F129" s="1" t="s">
        <v>361</v>
      </c>
      <c r="G129" s="1">
        <v>230</v>
      </c>
      <c r="H129" s="1" t="s">
        <v>454</v>
      </c>
      <c r="I129" s="1">
        <v>9499740080</v>
      </c>
      <c r="J129" s="25">
        <v>42718</v>
      </c>
      <c r="K129" s="25">
        <v>42725</v>
      </c>
      <c r="L129" s="5" t="s">
        <v>362</v>
      </c>
      <c r="M129" s="1">
        <v>15.61</v>
      </c>
      <c r="N129" s="1">
        <v>15.62</v>
      </c>
      <c r="O129" s="1">
        <f t="shared" si="12"/>
        <v>15.61</v>
      </c>
      <c r="P129" s="7">
        <f t="shared" si="13"/>
        <v>42744</v>
      </c>
      <c r="Q129" s="1">
        <v>1654794</v>
      </c>
      <c r="R129" s="36">
        <f t="shared" si="14"/>
        <v>1654794</v>
      </c>
      <c r="S129" s="270">
        <v>42741</v>
      </c>
      <c r="T129" s="133">
        <v>42744</v>
      </c>
    </row>
    <row r="130" spans="1:20" s="1" customFormat="1" x14ac:dyDescent="0.25">
      <c r="A130" s="84">
        <v>113</v>
      </c>
      <c r="B130" s="24">
        <v>42732</v>
      </c>
      <c r="C130" s="1">
        <v>499</v>
      </c>
      <c r="E130" s="1">
        <v>3000036720</v>
      </c>
      <c r="F130" s="1" t="s">
        <v>361</v>
      </c>
      <c r="G130" s="1">
        <v>231</v>
      </c>
      <c r="H130" s="1" t="s">
        <v>453</v>
      </c>
      <c r="I130" s="1">
        <v>9499740101</v>
      </c>
      <c r="J130" s="25">
        <v>42723</v>
      </c>
      <c r="K130" s="25">
        <v>42727</v>
      </c>
      <c r="L130" s="5" t="s">
        <v>362</v>
      </c>
      <c r="M130" s="1">
        <v>20.07</v>
      </c>
      <c r="N130" s="1">
        <v>20.04</v>
      </c>
      <c r="O130" s="1">
        <f t="shared" si="12"/>
        <v>20.04</v>
      </c>
      <c r="P130" s="7">
        <f t="shared" si="13"/>
        <v>42746</v>
      </c>
      <c r="Q130" s="1">
        <v>2067406</v>
      </c>
      <c r="R130" s="36">
        <f t="shared" si="14"/>
        <v>2064315.7070254108</v>
      </c>
      <c r="S130" s="270">
        <v>42741</v>
      </c>
      <c r="T130" s="133">
        <v>42744</v>
      </c>
    </row>
    <row r="131" spans="1:20" s="1" customFormat="1" x14ac:dyDescent="0.25">
      <c r="A131" s="1">
        <v>142</v>
      </c>
      <c r="B131" s="24">
        <v>42737</v>
      </c>
      <c r="C131" s="1">
        <v>499</v>
      </c>
      <c r="E131" s="1">
        <v>3000037184</v>
      </c>
      <c r="F131" s="1" t="s">
        <v>361</v>
      </c>
      <c r="G131" s="1">
        <v>232</v>
      </c>
      <c r="H131" s="1" t="s">
        <v>491</v>
      </c>
      <c r="I131" s="1">
        <v>9499740102</v>
      </c>
      <c r="J131" s="25">
        <v>42723</v>
      </c>
      <c r="K131" s="25">
        <v>42728</v>
      </c>
      <c r="L131" s="1" t="s">
        <v>362</v>
      </c>
      <c r="M131" s="1">
        <v>20.260000000000002</v>
      </c>
      <c r="N131" s="1">
        <v>20.23</v>
      </c>
      <c r="O131" s="1">
        <f t="shared" si="12"/>
        <v>20.23</v>
      </c>
      <c r="P131" s="7">
        <f t="shared" si="13"/>
        <v>42747</v>
      </c>
      <c r="Q131" s="1">
        <v>2248993</v>
      </c>
      <c r="R131" s="36">
        <f t="shared" si="14"/>
        <v>2245662.8030602168</v>
      </c>
      <c r="S131" s="270">
        <v>42741</v>
      </c>
      <c r="T131" s="133">
        <v>42744</v>
      </c>
    </row>
    <row r="132" spans="1:20" s="1" customFormat="1" x14ac:dyDescent="0.25">
      <c r="A132" s="1">
        <v>108</v>
      </c>
      <c r="B132" s="24">
        <v>42726</v>
      </c>
      <c r="C132" s="1">
        <v>499</v>
      </c>
      <c r="E132" s="1">
        <v>3000036723</v>
      </c>
      <c r="F132" s="1" t="s">
        <v>371</v>
      </c>
      <c r="G132" s="1">
        <v>965</v>
      </c>
      <c r="H132" s="1" t="s">
        <v>447</v>
      </c>
      <c r="I132" s="1">
        <v>9499740078</v>
      </c>
      <c r="J132" s="25">
        <v>42718</v>
      </c>
      <c r="K132" s="25">
        <v>42724</v>
      </c>
      <c r="L132" s="5" t="s">
        <v>362</v>
      </c>
      <c r="M132" s="1">
        <v>20.260000000000002</v>
      </c>
      <c r="N132" s="1">
        <v>20.23</v>
      </c>
      <c r="O132" s="1">
        <f t="shared" si="12"/>
        <v>20.23</v>
      </c>
      <c r="P132" s="7">
        <f t="shared" si="13"/>
        <v>42743</v>
      </c>
      <c r="Q132" s="1">
        <v>2086780</v>
      </c>
      <c r="R132" s="36">
        <f t="shared" si="14"/>
        <v>2083689.9999999998</v>
      </c>
      <c r="S132" s="270">
        <v>42741</v>
      </c>
      <c r="T132" s="133">
        <v>42744</v>
      </c>
    </row>
    <row r="133" spans="1:20" s="1" customFormat="1" x14ac:dyDescent="0.25">
      <c r="A133" s="1">
        <v>110</v>
      </c>
      <c r="B133" s="24">
        <v>42732</v>
      </c>
      <c r="C133" s="1">
        <v>499</v>
      </c>
      <c r="E133" s="1">
        <v>3000036991</v>
      </c>
      <c r="F133" s="1" t="s">
        <v>371</v>
      </c>
      <c r="G133" s="1">
        <v>971</v>
      </c>
      <c r="H133" s="1" t="s">
        <v>450</v>
      </c>
      <c r="I133" s="1">
        <v>9499740083</v>
      </c>
      <c r="J133" s="25">
        <v>42719</v>
      </c>
      <c r="K133" s="25">
        <v>42725</v>
      </c>
      <c r="L133" s="5" t="s">
        <v>362</v>
      </c>
      <c r="M133" s="1">
        <v>24.09</v>
      </c>
      <c r="N133" s="1">
        <v>24.02</v>
      </c>
      <c r="O133" s="1">
        <f t="shared" si="12"/>
        <v>24.02</v>
      </c>
      <c r="P133" s="7">
        <f t="shared" si="13"/>
        <v>42744</v>
      </c>
      <c r="Q133" s="1">
        <v>2553541</v>
      </c>
      <c r="R133" s="36">
        <f t="shared" si="14"/>
        <v>2546120.9970942298</v>
      </c>
      <c r="S133" s="270">
        <v>42741</v>
      </c>
      <c r="T133" s="133">
        <v>42744</v>
      </c>
    </row>
    <row r="134" spans="1:20" s="1" customFormat="1" x14ac:dyDescent="0.25">
      <c r="A134" s="84">
        <v>111</v>
      </c>
      <c r="B134" s="24">
        <v>42732</v>
      </c>
      <c r="C134" s="1">
        <v>499</v>
      </c>
      <c r="E134" s="1">
        <v>3000036991</v>
      </c>
      <c r="F134" s="1" t="s">
        <v>371</v>
      </c>
      <c r="G134" s="1">
        <v>974</v>
      </c>
      <c r="H134" s="1" t="s">
        <v>451</v>
      </c>
      <c r="I134" s="1">
        <v>9499740085</v>
      </c>
      <c r="J134" s="25">
        <v>42719</v>
      </c>
      <c r="K134" s="25">
        <v>42726</v>
      </c>
      <c r="L134" s="5" t="s">
        <v>362</v>
      </c>
      <c r="M134" s="1">
        <v>16.239999999999998</v>
      </c>
      <c r="N134" s="1">
        <v>16.22</v>
      </c>
      <c r="O134" s="1">
        <f t="shared" si="12"/>
        <v>16.22</v>
      </c>
      <c r="P134" s="7">
        <f t="shared" si="13"/>
        <v>42745</v>
      </c>
      <c r="Q134" s="1">
        <v>1721441</v>
      </c>
      <c r="R134" s="36">
        <f t="shared" si="14"/>
        <v>1719320.998768473</v>
      </c>
      <c r="S134" s="270">
        <v>42741</v>
      </c>
      <c r="T134" s="133">
        <v>42744</v>
      </c>
    </row>
    <row r="135" spans="1:20" s="1" customFormat="1" x14ac:dyDescent="0.25">
      <c r="A135" s="1">
        <v>112</v>
      </c>
      <c r="B135" s="24">
        <v>42732</v>
      </c>
      <c r="C135" s="1">
        <v>499</v>
      </c>
      <c r="E135" s="1">
        <v>3000036723</v>
      </c>
      <c r="F135" s="1" t="s">
        <v>371</v>
      </c>
      <c r="G135" s="1">
        <v>964</v>
      </c>
      <c r="H135" s="1" t="s">
        <v>452</v>
      </c>
      <c r="I135" s="1">
        <v>9499740095</v>
      </c>
      <c r="J135" s="25">
        <v>42718</v>
      </c>
      <c r="K135" s="25">
        <v>42726</v>
      </c>
      <c r="L135" s="5" t="s">
        <v>362</v>
      </c>
      <c r="M135" s="1">
        <v>20.37</v>
      </c>
      <c r="N135" s="1">
        <v>20.34</v>
      </c>
      <c r="O135" s="1">
        <f t="shared" si="12"/>
        <v>20.34</v>
      </c>
      <c r="P135" s="7">
        <f t="shared" si="13"/>
        <v>42745</v>
      </c>
      <c r="Q135" s="1">
        <v>2098110</v>
      </c>
      <c r="R135" s="36">
        <f t="shared" si="14"/>
        <v>2095020</v>
      </c>
      <c r="S135" s="270">
        <v>42741</v>
      </c>
      <c r="T135" s="133">
        <v>42744</v>
      </c>
    </row>
    <row r="136" spans="1:20" s="1" customFormat="1" x14ac:dyDescent="0.25">
      <c r="A136" s="84">
        <v>115</v>
      </c>
      <c r="B136" s="24">
        <v>42732</v>
      </c>
      <c r="C136" s="1">
        <v>499</v>
      </c>
      <c r="E136" s="1">
        <v>3000036727</v>
      </c>
      <c r="F136" s="1" t="s">
        <v>201</v>
      </c>
      <c r="G136" s="1">
        <v>258</v>
      </c>
      <c r="H136" s="1" t="s">
        <v>455</v>
      </c>
      <c r="I136" s="1">
        <v>9499740081</v>
      </c>
      <c r="J136" s="25">
        <v>42718</v>
      </c>
      <c r="K136" s="25">
        <v>42725</v>
      </c>
      <c r="L136" s="5" t="s">
        <v>362</v>
      </c>
      <c r="M136" s="1">
        <v>19.75</v>
      </c>
      <c r="N136" s="1">
        <v>19.71</v>
      </c>
      <c r="O136" s="1">
        <f t="shared" si="12"/>
        <v>19.71</v>
      </c>
      <c r="P136" s="7">
        <f t="shared" si="13"/>
        <v>42744</v>
      </c>
      <c r="Q136" s="1">
        <v>1886176</v>
      </c>
      <c r="R136" s="36">
        <f t="shared" si="14"/>
        <v>1882355.896708861</v>
      </c>
      <c r="S136" s="270">
        <v>42741</v>
      </c>
      <c r="T136" s="133">
        <v>42744</v>
      </c>
    </row>
    <row r="137" spans="1:20" s="1" customFormat="1" x14ac:dyDescent="0.25">
      <c r="A137" s="84">
        <v>117</v>
      </c>
      <c r="B137" s="24">
        <v>42732</v>
      </c>
      <c r="C137" s="1">
        <v>499</v>
      </c>
      <c r="E137" s="1">
        <v>3000037088</v>
      </c>
      <c r="F137" s="1" t="s">
        <v>201</v>
      </c>
      <c r="G137" s="1">
        <v>260</v>
      </c>
      <c r="H137" s="1" t="s">
        <v>375</v>
      </c>
      <c r="I137" s="1">
        <v>9499740087</v>
      </c>
      <c r="J137" s="25">
        <v>42722</v>
      </c>
      <c r="K137" s="25">
        <v>42726</v>
      </c>
      <c r="L137" s="1" t="s">
        <v>362</v>
      </c>
      <c r="M137" s="1">
        <v>20.05</v>
      </c>
      <c r="N137" s="1">
        <v>20.03</v>
      </c>
      <c r="O137" s="1">
        <f t="shared" si="12"/>
        <v>20.03</v>
      </c>
      <c r="P137" s="7">
        <f t="shared" si="13"/>
        <v>42745</v>
      </c>
      <c r="Q137" s="1">
        <v>2075367</v>
      </c>
      <c r="R137" s="36">
        <f t="shared" si="14"/>
        <v>2073296.8084788029</v>
      </c>
      <c r="S137" s="270">
        <v>42741</v>
      </c>
      <c r="T137" s="133">
        <v>42744</v>
      </c>
    </row>
    <row r="138" spans="1:20" s="1" customFormat="1" x14ac:dyDescent="0.25">
      <c r="A138" s="1">
        <v>120</v>
      </c>
      <c r="B138" s="24">
        <v>42732</v>
      </c>
      <c r="C138" s="1">
        <v>499</v>
      </c>
      <c r="E138" s="1">
        <v>3000037011</v>
      </c>
      <c r="F138" s="1" t="s">
        <v>430</v>
      </c>
      <c r="G138" s="1">
        <v>73</v>
      </c>
      <c r="H138" s="1" t="s">
        <v>460</v>
      </c>
      <c r="I138" s="1">
        <v>9499740096</v>
      </c>
      <c r="J138" s="25">
        <v>42730</v>
      </c>
      <c r="K138" s="25">
        <v>42725</v>
      </c>
      <c r="L138" s="1" t="s">
        <v>362</v>
      </c>
      <c r="M138" s="1">
        <v>19.594999999999999</v>
      </c>
      <c r="N138" s="1">
        <v>19.54</v>
      </c>
      <c r="O138" s="1">
        <f t="shared" si="12"/>
        <v>19.54</v>
      </c>
      <c r="P138" s="7">
        <f t="shared" si="13"/>
        <v>42744</v>
      </c>
      <c r="Q138" s="1">
        <v>2025143</v>
      </c>
      <c r="R138" s="36">
        <f t="shared" si="14"/>
        <v>2019458.7507017097</v>
      </c>
      <c r="S138" s="270">
        <v>42741</v>
      </c>
      <c r="T138" s="270">
        <v>42745</v>
      </c>
    </row>
    <row r="139" spans="1:20" s="1" customFormat="1" x14ac:dyDescent="0.25">
      <c r="A139" s="1">
        <v>140</v>
      </c>
      <c r="B139" s="24">
        <v>42737</v>
      </c>
      <c r="C139" s="1">
        <v>499</v>
      </c>
      <c r="E139" s="1">
        <v>3000037011</v>
      </c>
      <c r="F139" s="1" t="s">
        <v>430</v>
      </c>
      <c r="G139" s="1">
        <v>74</v>
      </c>
      <c r="H139" s="1" t="s">
        <v>490</v>
      </c>
      <c r="I139" s="1">
        <v>9499740105</v>
      </c>
      <c r="J139" s="25">
        <v>42726</v>
      </c>
      <c r="K139" s="25">
        <v>42728</v>
      </c>
      <c r="L139" s="1" t="s">
        <v>362</v>
      </c>
      <c r="M139" s="1">
        <v>19.82</v>
      </c>
      <c r="N139" s="1">
        <v>19.739999999999998</v>
      </c>
      <c r="O139" s="1">
        <f t="shared" si="12"/>
        <v>19.739999999999998</v>
      </c>
      <c r="P139" s="7">
        <f t="shared" si="13"/>
        <v>42747</v>
      </c>
      <c r="Q139" s="1">
        <v>2048397</v>
      </c>
      <c r="R139" s="36">
        <f t="shared" si="14"/>
        <v>2040128.9999999998</v>
      </c>
      <c r="S139" s="270">
        <v>42741</v>
      </c>
      <c r="T139" s="270">
        <v>42745</v>
      </c>
    </row>
    <row r="140" spans="1:20" s="1" customFormat="1" x14ac:dyDescent="0.25">
      <c r="A140" s="1">
        <v>118</v>
      </c>
      <c r="B140" s="24">
        <v>42732</v>
      </c>
      <c r="C140" s="1">
        <v>499</v>
      </c>
      <c r="E140" s="1">
        <v>3000036718</v>
      </c>
      <c r="F140" s="1" t="s">
        <v>171</v>
      </c>
      <c r="G140" s="1">
        <v>90</v>
      </c>
      <c r="H140" s="1" t="s">
        <v>458</v>
      </c>
      <c r="I140" s="1">
        <v>9499740091</v>
      </c>
      <c r="J140" s="25">
        <v>42718</v>
      </c>
      <c r="K140" s="25">
        <v>42726</v>
      </c>
      <c r="L140" s="1" t="s">
        <v>362</v>
      </c>
      <c r="M140" s="1">
        <v>15.93</v>
      </c>
      <c r="N140" s="1">
        <v>15.89</v>
      </c>
      <c r="O140" s="1">
        <f t="shared" si="12"/>
        <v>15.89</v>
      </c>
      <c r="P140" s="7">
        <f t="shared" si="13"/>
        <v>42745</v>
      </c>
      <c r="Q140" s="1">
        <v>1640783</v>
      </c>
      <c r="R140" s="36">
        <f t="shared" si="14"/>
        <v>1636663.0175768989</v>
      </c>
      <c r="S140" s="270">
        <v>42741</v>
      </c>
      <c r="T140" s="270">
        <v>42744</v>
      </c>
    </row>
    <row r="141" spans="1:20" s="1" customFormat="1" x14ac:dyDescent="0.25">
      <c r="A141" s="84">
        <v>119</v>
      </c>
      <c r="B141" s="24">
        <v>42732</v>
      </c>
      <c r="C141" s="1">
        <v>499</v>
      </c>
      <c r="E141" s="1">
        <v>3000036996</v>
      </c>
      <c r="F141" s="1" t="s">
        <v>364</v>
      </c>
      <c r="G141" s="1">
        <v>82</v>
      </c>
      <c r="H141" s="1" t="s">
        <v>459</v>
      </c>
      <c r="I141" s="1">
        <v>9499740092</v>
      </c>
      <c r="J141" s="25">
        <v>42720</v>
      </c>
      <c r="K141" s="25">
        <v>42726</v>
      </c>
      <c r="L141" s="1" t="s">
        <v>362</v>
      </c>
      <c r="M141" s="1">
        <v>19.78</v>
      </c>
      <c r="N141" s="1">
        <v>19.760000000000002</v>
      </c>
      <c r="O141" s="1">
        <f t="shared" si="12"/>
        <v>19.760000000000002</v>
      </c>
      <c r="P141" s="7">
        <f t="shared" si="13"/>
        <v>42745</v>
      </c>
      <c r="Q141" s="1">
        <v>2096680</v>
      </c>
      <c r="R141" s="36">
        <f t="shared" si="14"/>
        <v>2094560.0000000002</v>
      </c>
      <c r="S141" s="270">
        <v>42741</v>
      </c>
      <c r="T141" s="270">
        <v>42744</v>
      </c>
    </row>
    <row r="142" spans="1:20" s="1" customFormat="1" x14ac:dyDescent="0.25">
      <c r="A142" s="84">
        <v>125</v>
      </c>
      <c r="B142" s="24">
        <v>42737</v>
      </c>
      <c r="C142" s="1">
        <v>499</v>
      </c>
      <c r="E142" s="1">
        <v>3000037313</v>
      </c>
      <c r="F142" s="1" t="s">
        <v>497</v>
      </c>
      <c r="G142" s="1">
        <v>177</v>
      </c>
      <c r="H142" s="1" t="s">
        <v>475</v>
      </c>
      <c r="I142" s="1">
        <v>9499740103</v>
      </c>
      <c r="J142" s="25">
        <v>42723</v>
      </c>
      <c r="K142" s="25">
        <v>42728</v>
      </c>
      <c r="L142" s="1" t="s">
        <v>362</v>
      </c>
      <c r="M142" s="1">
        <v>19.690000000000001</v>
      </c>
      <c r="N142" s="1">
        <v>19.670000000000002</v>
      </c>
      <c r="O142" s="1">
        <f t="shared" si="12"/>
        <v>19.670000000000002</v>
      </c>
      <c r="P142" s="7">
        <f t="shared" si="13"/>
        <v>42747</v>
      </c>
      <c r="Q142" s="1">
        <v>2087109</v>
      </c>
      <c r="R142" s="36">
        <f t="shared" si="14"/>
        <v>2084989.0314880651</v>
      </c>
      <c r="S142" s="270">
        <v>42741</v>
      </c>
      <c r="T142" s="270">
        <v>42744</v>
      </c>
    </row>
    <row r="143" spans="1:20" s="1" customFormat="1" x14ac:dyDescent="0.25">
      <c r="A143" s="84">
        <v>135</v>
      </c>
      <c r="B143" s="24">
        <v>42739</v>
      </c>
      <c r="C143" s="1">
        <v>499</v>
      </c>
      <c r="E143" s="1">
        <v>3000037313</v>
      </c>
      <c r="F143" s="1" t="s">
        <v>497</v>
      </c>
      <c r="G143" s="16" t="s">
        <v>498</v>
      </c>
      <c r="H143" s="1" t="s">
        <v>499</v>
      </c>
      <c r="I143" s="1">
        <v>9499740088</v>
      </c>
      <c r="J143" s="25">
        <v>42739</v>
      </c>
      <c r="K143" s="25">
        <v>42728</v>
      </c>
      <c r="L143" s="1" t="s">
        <v>362</v>
      </c>
      <c r="O143" s="1">
        <f t="shared" si="12"/>
        <v>0</v>
      </c>
      <c r="P143" s="7">
        <f t="shared" si="13"/>
        <v>42747</v>
      </c>
      <c r="Q143" s="1">
        <v>12590</v>
      </c>
      <c r="R143" s="36"/>
      <c r="S143" s="270">
        <v>42741</v>
      </c>
      <c r="T143" s="270">
        <v>42744</v>
      </c>
    </row>
    <row r="144" spans="1:20" s="1" customFormat="1" x14ac:dyDescent="0.25">
      <c r="A144" s="1">
        <v>136</v>
      </c>
      <c r="B144" s="24">
        <v>42739</v>
      </c>
      <c r="C144" s="1">
        <v>499</v>
      </c>
      <c r="E144" s="1">
        <v>3000037313</v>
      </c>
      <c r="F144" s="1" t="s">
        <v>497</v>
      </c>
      <c r="G144" s="16">
        <v>175</v>
      </c>
      <c r="H144" s="1" t="s">
        <v>499</v>
      </c>
      <c r="I144" s="1">
        <v>9499740088</v>
      </c>
      <c r="J144" s="25">
        <v>42721</v>
      </c>
      <c r="K144" s="25">
        <v>42728</v>
      </c>
      <c r="L144" s="1" t="s">
        <v>362</v>
      </c>
      <c r="M144" s="1">
        <v>19.25</v>
      </c>
      <c r="N144" s="1">
        <v>19.27</v>
      </c>
      <c r="O144" s="1">
        <f t="shared" ref="O144:O175" si="15">IF(N144&gt;M144,M144,N144)</f>
        <v>19.25</v>
      </c>
      <c r="P144" s="7">
        <f t="shared" si="13"/>
        <v>42747</v>
      </c>
      <c r="Q144" s="1">
        <v>2040469</v>
      </c>
      <c r="R144" s="36">
        <f>(+Q144/M144*O144)-12590</f>
        <v>2027879</v>
      </c>
      <c r="S144" s="270">
        <v>42741</v>
      </c>
      <c r="T144" s="270">
        <v>42744</v>
      </c>
    </row>
    <row r="145" spans="1:20" s="1" customFormat="1" x14ac:dyDescent="0.25">
      <c r="A145" s="1">
        <v>132</v>
      </c>
      <c r="B145" s="24">
        <v>42737</v>
      </c>
      <c r="C145" s="1">
        <v>499</v>
      </c>
      <c r="E145" s="5">
        <v>3000037430</v>
      </c>
      <c r="F145" s="18" t="s">
        <v>363</v>
      </c>
      <c r="G145" s="5">
        <v>203</v>
      </c>
      <c r="H145" s="5" t="s">
        <v>482</v>
      </c>
      <c r="I145" s="5">
        <v>9499740114</v>
      </c>
      <c r="J145" s="25">
        <v>42725</v>
      </c>
      <c r="K145" s="25">
        <v>42731</v>
      </c>
      <c r="L145" s="5" t="s">
        <v>362</v>
      </c>
      <c r="M145" s="5">
        <v>20.6</v>
      </c>
      <c r="N145" s="5">
        <v>20.59</v>
      </c>
      <c r="O145" s="1">
        <f t="shared" si="15"/>
        <v>20.59</v>
      </c>
      <c r="P145" s="47">
        <f t="shared" si="13"/>
        <v>42750</v>
      </c>
      <c r="Q145" s="5">
        <v>2348511</v>
      </c>
      <c r="R145" s="36">
        <f>(+Q145/M145*O145)</f>
        <v>2347370.9461165047</v>
      </c>
      <c r="S145" s="270">
        <v>42746</v>
      </c>
      <c r="T145" s="270">
        <v>42748</v>
      </c>
    </row>
    <row r="146" spans="1:20" s="1" customFormat="1" x14ac:dyDescent="0.25">
      <c r="A146" s="84">
        <v>133</v>
      </c>
      <c r="B146" s="24">
        <v>42737</v>
      </c>
      <c r="C146" s="1">
        <v>499</v>
      </c>
      <c r="E146" s="1">
        <v>3000037164</v>
      </c>
      <c r="F146" s="1" t="s">
        <v>192</v>
      </c>
      <c r="G146" s="1">
        <v>38</v>
      </c>
      <c r="H146" s="1" t="s">
        <v>483</v>
      </c>
      <c r="I146" s="1">
        <v>9499740113</v>
      </c>
      <c r="J146" s="25">
        <v>42725</v>
      </c>
      <c r="K146" s="25">
        <v>42731</v>
      </c>
      <c r="L146" s="1" t="s">
        <v>362</v>
      </c>
      <c r="M146" s="1">
        <v>17.61</v>
      </c>
      <c r="N146" s="1">
        <v>17.57</v>
      </c>
      <c r="O146" s="1">
        <f t="shared" si="15"/>
        <v>17.57</v>
      </c>
      <c r="P146" s="47">
        <f t="shared" si="13"/>
        <v>42750</v>
      </c>
      <c r="Q146" s="1">
        <v>1650940</v>
      </c>
      <c r="R146" s="36">
        <f>(+Q146/M146*O146)</f>
        <v>1647189.9943214084</v>
      </c>
      <c r="S146" s="270">
        <v>42746</v>
      </c>
      <c r="T146" s="270">
        <v>42748</v>
      </c>
    </row>
    <row r="147" spans="1:20" s="1" customFormat="1" x14ac:dyDescent="0.25">
      <c r="A147" s="1">
        <v>134</v>
      </c>
      <c r="B147" s="24">
        <v>42737</v>
      </c>
      <c r="C147" s="1">
        <v>499</v>
      </c>
      <c r="E147" s="1">
        <v>3000037296</v>
      </c>
      <c r="F147" s="1" t="s">
        <v>364</v>
      </c>
      <c r="G147" s="1">
        <v>109</v>
      </c>
      <c r="H147" s="1" t="s">
        <v>484</v>
      </c>
      <c r="I147" s="1">
        <v>9499740112</v>
      </c>
      <c r="J147" s="25">
        <v>42725</v>
      </c>
      <c r="K147" s="25">
        <v>42731</v>
      </c>
      <c r="L147" s="1" t="s">
        <v>362</v>
      </c>
      <c r="M147" s="1">
        <v>19.72</v>
      </c>
      <c r="N147" s="1">
        <v>19.71</v>
      </c>
      <c r="O147" s="1">
        <f t="shared" si="15"/>
        <v>19.71</v>
      </c>
      <c r="P147" s="47">
        <f t="shared" si="13"/>
        <v>42750</v>
      </c>
      <c r="Q147" s="1">
        <v>2188920</v>
      </c>
      <c r="R147" s="36">
        <f>(+Q147/M147*O147)</f>
        <v>2187810</v>
      </c>
      <c r="S147" s="270">
        <v>42746</v>
      </c>
      <c r="T147" s="270">
        <v>42748</v>
      </c>
    </row>
    <row r="148" spans="1:20" s="1" customFormat="1" x14ac:dyDescent="0.25">
      <c r="A148" s="84">
        <v>135</v>
      </c>
      <c r="B148" s="24">
        <v>42737</v>
      </c>
      <c r="C148" s="1">
        <v>499</v>
      </c>
      <c r="E148" s="1">
        <v>3000037185</v>
      </c>
      <c r="F148" s="1" t="s">
        <v>364</v>
      </c>
      <c r="G148" s="1">
        <v>83</v>
      </c>
      <c r="H148" s="1" t="s">
        <v>485</v>
      </c>
      <c r="I148" s="1">
        <v>9499740111</v>
      </c>
      <c r="J148" s="25">
        <v>42721</v>
      </c>
      <c r="K148" s="25">
        <v>42731</v>
      </c>
      <c r="L148" s="1" t="s">
        <v>362</v>
      </c>
      <c r="M148" s="1">
        <v>19.86</v>
      </c>
      <c r="N148" s="1">
        <v>19.8</v>
      </c>
      <c r="O148" s="1">
        <f t="shared" si="15"/>
        <v>19.8</v>
      </c>
      <c r="P148" s="47">
        <f t="shared" si="13"/>
        <v>42750</v>
      </c>
      <c r="Q148" s="1">
        <v>2204460</v>
      </c>
      <c r="R148" s="36">
        <f>(+Q148/M148*O148)</f>
        <v>2197800</v>
      </c>
      <c r="S148" s="270">
        <v>42746</v>
      </c>
      <c r="T148" s="270">
        <v>42748</v>
      </c>
    </row>
    <row r="149" spans="1:20" s="1" customFormat="1" x14ac:dyDescent="0.25">
      <c r="A149" s="1">
        <v>136</v>
      </c>
      <c r="B149" s="24">
        <v>42737</v>
      </c>
      <c r="C149" s="1">
        <v>499</v>
      </c>
      <c r="E149" s="1">
        <v>3000036718</v>
      </c>
      <c r="F149" s="1" t="s">
        <v>171</v>
      </c>
      <c r="G149" s="1">
        <v>98</v>
      </c>
      <c r="H149" s="1" t="s">
        <v>486</v>
      </c>
      <c r="I149" s="1">
        <v>9499740110</v>
      </c>
      <c r="J149" s="25">
        <v>42725</v>
      </c>
      <c r="K149" s="25">
        <v>42731</v>
      </c>
      <c r="L149" s="1" t="s">
        <v>362</v>
      </c>
      <c r="M149" s="1">
        <v>23.93</v>
      </c>
      <c r="N149" s="1">
        <v>23.93</v>
      </c>
      <c r="O149" s="1">
        <f t="shared" si="15"/>
        <v>23.93</v>
      </c>
      <c r="P149" s="47">
        <f t="shared" si="13"/>
        <v>42750</v>
      </c>
      <c r="Q149" s="1">
        <v>2464780</v>
      </c>
      <c r="R149" s="36">
        <f>(+Q149/M149*O149)</f>
        <v>2464780</v>
      </c>
      <c r="S149" s="270">
        <v>42746</v>
      </c>
      <c r="T149" s="270">
        <v>42748</v>
      </c>
    </row>
    <row r="150" spans="1:20" s="1" customFormat="1" x14ac:dyDescent="0.25">
      <c r="A150" s="84">
        <v>137</v>
      </c>
      <c r="B150" s="24">
        <v>42737</v>
      </c>
      <c r="C150" s="1">
        <v>499</v>
      </c>
      <c r="E150" s="1">
        <v>3000037293</v>
      </c>
      <c r="F150" s="1" t="s">
        <v>371</v>
      </c>
      <c r="G150" s="1">
        <v>1003</v>
      </c>
      <c r="H150" s="1" t="s">
        <v>487</v>
      </c>
      <c r="I150" s="1">
        <v>9499740107</v>
      </c>
      <c r="J150" s="25">
        <v>42724</v>
      </c>
      <c r="K150" s="25">
        <v>42731</v>
      </c>
      <c r="L150" s="1" t="s">
        <v>362</v>
      </c>
      <c r="M150" s="1">
        <v>19.63</v>
      </c>
      <c r="N150" s="1">
        <v>19.600000000000001</v>
      </c>
      <c r="O150" s="1">
        <f t="shared" si="15"/>
        <v>19.600000000000001</v>
      </c>
      <c r="P150" s="47">
        <f t="shared" si="13"/>
        <v>42750</v>
      </c>
      <c r="Q150" s="1">
        <v>2120041</v>
      </c>
      <c r="R150" s="36" t="e">
        <f>(#REF!+Q150/M150*O150)</f>
        <v>#REF!</v>
      </c>
      <c r="S150" s="270">
        <v>42746</v>
      </c>
      <c r="T150" s="270">
        <v>42748</v>
      </c>
    </row>
    <row r="151" spans="1:20" s="1" customFormat="1" x14ac:dyDescent="0.25">
      <c r="A151" s="1">
        <v>138</v>
      </c>
      <c r="B151" s="24">
        <v>42737</v>
      </c>
      <c r="C151" s="1">
        <v>499</v>
      </c>
      <c r="E151" s="1">
        <v>3000037292</v>
      </c>
      <c r="F151" s="1" t="s">
        <v>371</v>
      </c>
      <c r="G151" s="1">
        <v>1009</v>
      </c>
      <c r="H151" s="1" t="s">
        <v>488</v>
      </c>
      <c r="I151" s="1">
        <v>9499740108</v>
      </c>
      <c r="J151" s="25">
        <v>42726</v>
      </c>
      <c r="K151" s="25">
        <v>42731</v>
      </c>
      <c r="L151" s="1" t="s">
        <v>362</v>
      </c>
      <c r="M151" s="1">
        <v>20.059999999999999</v>
      </c>
      <c r="N151" s="1">
        <v>20.02</v>
      </c>
      <c r="O151" s="1">
        <f t="shared" si="15"/>
        <v>20.02</v>
      </c>
      <c r="P151" s="47">
        <f t="shared" si="13"/>
        <v>42750</v>
      </c>
      <c r="Q151" s="1">
        <v>2226659</v>
      </c>
      <c r="R151" s="36">
        <f t="shared" ref="R151:R167" si="16">(+Q151/M151*O151)</f>
        <v>2222219.001994018</v>
      </c>
      <c r="S151" s="270">
        <v>42746</v>
      </c>
      <c r="T151" s="270">
        <v>42748</v>
      </c>
    </row>
    <row r="152" spans="1:20" s="1" customFormat="1" x14ac:dyDescent="0.25">
      <c r="A152" s="84">
        <v>139</v>
      </c>
      <c r="B152" s="24">
        <v>42737</v>
      </c>
      <c r="C152" s="1">
        <v>499</v>
      </c>
      <c r="E152" s="1">
        <v>3000037293</v>
      </c>
      <c r="F152" s="1" t="s">
        <v>371</v>
      </c>
      <c r="G152" s="1">
        <v>1006</v>
      </c>
      <c r="H152" s="1" t="s">
        <v>489</v>
      </c>
      <c r="I152" s="1">
        <v>9499740106</v>
      </c>
      <c r="J152" s="25">
        <v>42725</v>
      </c>
      <c r="K152" s="25">
        <v>42731</v>
      </c>
      <c r="L152" s="1" t="s">
        <v>362</v>
      </c>
      <c r="M152" s="1">
        <v>19.96</v>
      </c>
      <c r="N152" s="1">
        <v>19.89</v>
      </c>
      <c r="O152" s="1">
        <f t="shared" si="15"/>
        <v>19.89</v>
      </c>
      <c r="P152" s="47">
        <f t="shared" si="13"/>
        <v>42750</v>
      </c>
      <c r="Q152" s="1">
        <v>2155681</v>
      </c>
      <c r="R152" s="36">
        <f t="shared" si="16"/>
        <v>2148120.9964929861</v>
      </c>
      <c r="S152" s="270">
        <v>42746</v>
      </c>
      <c r="T152" s="270">
        <v>42748</v>
      </c>
    </row>
    <row r="153" spans="1:20" s="1" customFormat="1" x14ac:dyDescent="0.25">
      <c r="A153" s="1">
        <v>130</v>
      </c>
      <c r="B153" s="24">
        <v>42737</v>
      </c>
      <c r="C153" s="1">
        <v>499</v>
      </c>
      <c r="E153" s="1">
        <v>3000037292</v>
      </c>
      <c r="F153" s="1" t="s">
        <v>371</v>
      </c>
      <c r="G153" s="1">
        <v>1007</v>
      </c>
      <c r="H153" s="1" t="s">
        <v>480</v>
      </c>
      <c r="I153" s="1">
        <v>9499740109</v>
      </c>
      <c r="J153" s="25">
        <v>42725</v>
      </c>
      <c r="K153" s="25">
        <v>42732</v>
      </c>
      <c r="L153" s="1" t="s">
        <v>362</v>
      </c>
      <c r="M153" s="1">
        <v>19.91</v>
      </c>
      <c r="N153" s="1">
        <v>19.87</v>
      </c>
      <c r="O153" s="1">
        <f t="shared" si="15"/>
        <v>19.87</v>
      </c>
      <c r="P153" s="47">
        <f t="shared" si="13"/>
        <v>42751</v>
      </c>
      <c r="Q153" s="1">
        <v>2210009</v>
      </c>
      <c r="R153" s="36">
        <f t="shared" si="16"/>
        <v>2205569.0020090407</v>
      </c>
      <c r="S153" s="270">
        <v>42746</v>
      </c>
      <c r="T153" s="270">
        <v>42748</v>
      </c>
    </row>
    <row r="154" spans="1:20" s="1" customFormat="1" x14ac:dyDescent="0.25">
      <c r="A154" s="84">
        <v>131</v>
      </c>
      <c r="B154" s="24">
        <v>42737</v>
      </c>
      <c r="C154" s="1">
        <v>499</v>
      </c>
      <c r="E154" s="1">
        <v>3000037292</v>
      </c>
      <c r="F154" s="1" t="s">
        <v>371</v>
      </c>
      <c r="G154" s="1">
        <v>1011</v>
      </c>
      <c r="H154" s="1" t="s">
        <v>481</v>
      </c>
      <c r="I154" s="1">
        <v>9499740115</v>
      </c>
      <c r="J154" s="25">
        <v>42726</v>
      </c>
      <c r="K154" s="25">
        <v>42732</v>
      </c>
      <c r="L154" s="1" t="s">
        <v>362</v>
      </c>
      <c r="M154" s="1">
        <v>20.010000000000002</v>
      </c>
      <c r="N154" s="1">
        <v>19.93</v>
      </c>
      <c r="O154" s="1">
        <f t="shared" si="15"/>
        <v>19.93</v>
      </c>
      <c r="P154" s="47">
        <f t="shared" si="13"/>
        <v>42751</v>
      </c>
      <c r="Q154" s="1">
        <v>2221109</v>
      </c>
      <c r="R154" s="36">
        <f t="shared" si="16"/>
        <v>2212229.0039980006</v>
      </c>
      <c r="S154" s="270">
        <v>42746</v>
      </c>
      <c r="T154" s="270">
        <v>42748</v>
      </c>
    </row>
    <row r="155" spans="1:20" s="1" customFormat="1" x14ac:dyDescent="0.25">
      <c r="A155" s="84">
        <v>151</v>
      </c>
      <c r="B155" s="24">
        <v>42745</v>
      </c>
      <c r="C155" s="1">
        <v>499</v>
      </c>
      <c r="E155" s="1">
        <v>3000037002</v>
      </c>
      <c r="F155" s="1" t="s">
        <v>199</v>
      </c>
      <c r="G155" s="1">
        <v>5907</v>
      </c>
      <c r="H155" s="1" t="s">
        <v>520</v>
      </c>
      <c r="I155" s="1">
        <v>9499740144</v>
      </c>
      <c r="J155" s="25">
        <v>42739</v>
      </c>
      <c r="K155" s="25">
        <v>42742</v>
      </c>
      <c r="L155" s="1" t="s">
        <v>362</v>
      </c>
      <c r="M155" s="1">
        <v>19.925000000000001</v>
      </c>
      <c r="N155" s="1">
        <v>19.89</v>
      </c>
      <c r="O155" s="1">
        <f t="shared" si="15"/>
        <v>19.89</v>
      </c>
      <c r="P155" s="7">
        <f>+K155+10-1</f>
        <v>42751</v>
      </c>
      <c r="Q155" s="1">
        <v>2006448</v>
      </c>
      <c r="R155" s="36">
        <f t="shared" si="16"/>
        <v>2002923.4991217062</v>
      </c>
      <c r="S155" s="270">
        <v>42746</v>
      </c>
      <c r="T155" s="270">
        <v>42748</v>
      </c>
    </row>
    <row r="156" spans="1:20" s="1" customFormat="1" x14ac:dyDescent="0.25">
      <c r="A156" s="84">
        <v>149</v>
      </c>
      <c r="B156" s="24">
        <v>42741</v>
      </c>
      <c r="C156" s="1">
        <v>499</v>
      </c>
      <c r="E156" s="1">
        <v>3000037299</v>
      </c>
      <c r="F156" s="1" t="s">
        <v>509</v>
      </c>
      <c r="G156" s="1">
        <v>1144</v>
      </c>
      <c r="H156" s="1" t="s">
        <v>511</v>
      </c>
      <c r="I156" s="1">
        <v>9499740131</v>
      </c>
      <c r="J156" s="25">
        <v>42733</v>
      </c>
      <c r="K156" s="25">
        <v>42739</v>
      </c>
      <c r="L156" s="1" t="s">
        <v>362</v>
      </c>
      <c r="M156" s="1">
        <v>19.89</v>
      </c>
      <c r="N156" s="1">
        <v>19.850000000000001</v>
      </c>
      <c r="O156" s="1">
        <f t="shared" si="15"/>
        <v>19.850000000000001</v>
      </c>
      <c r="P156" s="47">
        <f>+K156+4-1</f>
        <v>42742</v>
      </c>
      <c r="Q156" s="1">
        <v>2187900</v>
      </c>
      <c r="R156" s="36">
        <f t="shared" si="16"/>
        <v>2183500</v>
      </c>
      <c r="S156" s="24">
        <v>42754</v>
      </c>
      <c r="T156" s="24">
        <v>42754</v>
      </c>
    </row>
    <row r="157" spans="1:20" s="1" customFormat="1" x14ac:dyDescent="0.25">
      <c r="A157" s="1">
        <v>150</v>
      </c>
      <c r="B157" s="24">
        <v>42741</v>
      </c>
      <c r="C157" s="1">
        <v>499</v>
      </c>
      <c r="E157" s="1">
        <v>3000037299</v>
      </c>
      <c r="F157" s="1" t="s">
        <v>509</v>
      </c>
      <c r="G157" s="1">
        <v>1140</v>
      </c>
      <c r="H157" s="1" t="s">
        <v>512</v>
      </c>
      <c r="I157" s="1">
        <v>9499740131</v>
      </c>
      <c r="J157" s="25">
        <v>42733</v>
      </c>
      <c r="K157" s="25">
        <v>42739</v>
      </c>
      <c r="L157" s="1" t="s">
        <v>362</v>
      </c>
      <c r="M157" s="1">
        <v>19.96</v>
      </c>
      <c r="N157" s="1">
        <v>19.96</v>
      </c>
      <c r="O157" s="1">
        <f t="shared" si="15"/>
        <v>19.96</v>
      </c>
      <c r="P157" s="47">
        <f>+K157+4-1</f>
        <v>42742</v>
      </c>
      <c r="Q157" s="1">
        <v>2195600</v>
      </c>
      <c r="R157" s="36">
        <f t="shared" si="16"/>
        <v>2195600</v>
      </c>
      <c r="S157" s="24">
        <v>42754</v>
      </c>
      <c r="T157" s="24">
        <v>42755</v>
      </c>
    </row>
    <row r="158" spans="1:20" s="1" customFormat="1" x14ac:dyDescent="0.25">
      <c r="A158" s="1">
        <v>156</v>
      </c>
      <c r="B158" s="24">
        <v>42745</v>
      </c>
      <c r="C158" s="1">
        <v>499</v>
      </c>
      <c r="E158" s="1">
        <v>3000037594</v>
      </c>
      <c r="F158" s="1" t="s">
        <v>509</v>
      </c>
      <c r="G158" s="1">
        <v>1148</v>
      </c>
      <c r="H158" s="1" t="s">
        <v>525</v>
      </c>
      <c r="I158" s="1">
        <v>9499740136</v>
      </c>
      <c r="J158" s="25">
        <v>42734</v>
      </c>
      <c r="K158" s="25">
        <v>42738</v>
      </c>
      <c r="L158" s="1" t="s">
        <v>362</v>
      </c>
      <c r="M158" s="1">
        <v>19.829999999999998</v>
      </c>
      <c r="N158" s="1">
        <v>19.8</v>
      </c>
      <c r="O158" s="1">
        <f t="shared" si="15"/>
        <v>19.8</v>
      </c>
      <c r="P158" s="7">
        <f>+K158+20-1</f>
        <v>42757</v>
      </c>
      <c r="Q158" s="1">
        <v>2161414</v>
      </c>
      <c r="R158" s="36">
        <f t="shared" si="16"/>
        <v>2158144.0847201212</v>
      </c>
      <c r="S158" s="24">
        <v>42754</v>
      </c>
      <c r="T158" s="24">
        <v>42755</v>
      </c>
    </row>
    <row r="159" spans="1:20" s="1" customFormat="1" x14ac:dyDescent="0.25">
      <c r="A159" s="1">
        <v>148</v>
      </c>
      <c r="B159" s="24">
        <v>42741</v>
      </c>
      <c r="C159" s="1">
        <v>499</v>
      </c>
      <c r="E159" s="1">
        <v>3000037594</v>
      </c>
      <c r="F159" s="1" t="s">
        <v>509</v>
      </c>
      <c r="G159" s="1">
        <v>1152</v>
      </c>
      <c r="H159" s="1" t="s">
        <v>510</v>
      </c>
      <c r="I159" s="1">
        <v>9499740136</v>
      </c>
      <c r="J159" s="25">
        <v>42734</v>
      </c>
      <c r="K159" s="25">
        <v>42739</v>
      </c>
      <c r="L159" s="1" t="s">
        <v>362</v>
      </c>
      <c r="M159" s="1">
        <v>19.72</v>
      </c>
      <c r="N159" s="1">
        <v>19.760000000000002</v>
      </c>
      <c r="O159" s="1">
        <f t="shared" si="15"/>
        <v>19.72</v>
      </c>
      <c r="P159" s="47">
        <f>+K159+20-1</f>
        <v>42758</v>
      </c>
      <c r="Q159" s="1">
        <v>2149425</v>
      </c>
      <c r="R159" s="36">
        <f t="shared" si="16"/>
        <v>2149425</v>
      </c>
      <c r="S159" s="24">
        <v>42754</v>
      </c>
      <c r="T159" s="24">
        <v>42755</v>
      </c>
    </row>
    <row r="160" spans="1:20" s="1" customFormat="1" x14ac:dyDescent="0.25">
      <c r="A160" s="1">
        <v>178</v>
      </c>
      <c r="B160" s="24">
        <v>42751</v>
      </c>
      <c r="C160" s="1">
        <v>499</v>
      </c>
      <c r="E160" s="1">
        <v>3000037754</v>
      </c>
      <c r="F160" s="1" t="s">
        <v>548</v>
      </c>
      <c r="G160" s="1">
        <v>253</v>
      </c>
      <c r="H160" s="1" t="s">
        <v>549</v>
      </c>
      <c r="I160" s="1">
        <v>9499740149</v>
      </c>
      <c r="J160" s="25">
        <v>42737</v>
      </c>
      <c r="K160" s="25">
        <v>42745</v>
      </c>
      <c r="L160" s="1" t="s">
        <v>362</v>
      </c>
      <c r="M160" s="1">
        <v>19.035</v>
      </c>
      <c r="N160" s="1">
        <v>18.95</v>
      </c>
      <c r="O160" s="1">
        <f t="shared" si="15"/>
        <v>18.95</v>
      </c>
      <c r="P160" s="7">
        <f>+K160+4-1</f>
        <v>42748</v>
      </c>
      <c r="Q160" s="1">
        <v>1827360</v>
      </c>
      <c r="R160" s="36">
        <f t="shared" si="16"/>
        <v>1819200</v>
      </c>
      <c r="S160" s="24">
        <v>42754</v>
      </c>
      <c r="T160" s="24">
        <v>42755</v>
      </c>
    </row>
    <row r="161" spans="1:20" s="1" customFormat="1" x14ac:dyDescent="0.25">
      <c r="A161" s="1">
        <v>126</v>
      </c>
      <c r="B161" s="24">
        <v>42737</v>
      </c>
      <c r="C161" s="1">
        <v>499</v>
      </c>
      <c r="E161" s="1">
        <v>3000037520</v>
      </c>
      <c r="F161" s="1" t="s">
        <v>476</v>
      </c>
      <c r="G161" s="1">
        <v>240</v>
      </c>
      <c r="H161" s="1" t="s">
        <v>477</v>
      </c>
      <c r="I161" s="1">
        <v>9499740120</v>
      </c>
      <c r="J161" s="25">
        <v>42727</v>
      </c>
      <c r="K161" s="25">
        <v>42733</v>
      </c>
      <c r="L161" s="1" t="s">
        <v>362</v>
      </c>
      <c r="M161" s="1">
        <v>19.95</v>
      </c>
      <c r="N161" s="1">
        <v>19.96</v>
      </c>
      <c r="O161" s="1">
        <f t="shared" si="15"/>
        <v>19.95</v>
      </c>
      <c r="P161" s="47">
        <f t="shared" ref="P161:P175" si="17">+K161+20-1</f>
        <v>42752</v>
      </c>
      <c r="Q161" s="1">
        <v>2224425</v>
      </c>
      <c r="R161" s="36">
        <f t="shared" si="16"/>
        <v>2224425</v>
      </c>
      <c r="S161" s="24">
        <v>42754</v>
      </c>
      <c r="T161" s="24">
        <v>42754</v>
      </c>
    </row>
    <row r="162" spans="1:20" s="1" customFormat="1" x14ac:dyDescent="0.25">
      <c r="A162" s="1">
        <v>142</v>
      </c>
      <c r="B162" s="24">
        <v>42741</v>
      </c>
      <c r="C162" s="1">
        <v>499</v>
      </c>
      <c r="E162" s="1">
        <v>3000037520</v>
      </c>
      <c r="F162" s="1" t="s">
        <v>476</v>
      </c>
      <c r="G162" s="1">
        <v>241</v>
      </c>
      <c r="H162" s="1" t="s">
        <v>504</v>
      </c>
      <c r="I162" s="1">
        <v>9499740126</v>
      </c>
      <c r="J162" s="25">
        <v>42731</v>
      </c>
      <c r="K162" s="25">
        <v>42739</v>
      </c>
      <c r="L162" s="1" t="s">
        <v>362</v>
      </c>
      <c r="M162" s="1">
        <v>20.02</v>
      </c>
      <c r="N162" s="1">
        <v>19.98</v>
      </c>
      <c r="O162" s="1">
        <f t="shared" si="15"/>
        <v>19.98</v>
      </c>
      <c r="P162" s="47">
        <f t="shared" si="17"/>
        <v>42758</v>
      </c>
      <c r="Q162" s="1">
        <v>2232230</v>
      </c>
      <c r="R162" s="36">
        <f t="shared" si="16"/>
        <v>2227770</v>
      </c>
      <c r="S162" s="24">
        <v>42754</v>
      </c>
      <c r="T162" s="24">
        <v>42754</v>
      </c>
    </row>
    <row r="163" spans="1:20" s="1" customFormat="1" x14ac:dyDescent="0.25">
      <c r="A163" s="84">
        <v>127</v>
      </c>
      <c r="B163" s="24">
        <v>42737</v>
      </c>
      <c r="C163" s="1">
        <v>499</v>
      </c>
      <c r="E163" s="1">
        <v>3000037303</v>
      </c>
      <c r="F163" s="1" t="s">
        <v>456</v>
      </c>
      <c r="G163" s="1">
        <v>65</v>
      </c>
      <c r="H163" s="1" t="s">
        <v>373</v>
      </c>
      <c r="I163" s="1">
        <v>9499740118</v>
      </c>
      <c r="J163" s="25">
        <v>42728</v>
      </c>
      <c r="K163" s="25">
        <v>42733</v>
      </c>
      <c r="L163" s="1" t="s">
        <v>362</v>
      </c>
      <c r="M163" s="1">
        <v>20.02</v>
      </c>
      <c r="N163" s="1">
        <v>20.05</v>
      </c>
      <c r="O163" s="1">
        <f t="shared" si="15"/>
        <v>20.02</v>
      </c>
      <c r="P163" s="47">
        <f t="shared" si="17"/>
        <v>42752</v>
      </c>
      <c r="Q163" s="1">
        <v>2162111</v>
      </c>
      <c r="R163" s="36">
        <f t="shared" si="16"/>
        <v>2162111</v>
      </c>
      <c r="S163" s="24">
        <v>42754</v>
      </c>
      <c r="T163" s="24">
        <v>42754</v>
      </c>
    </row>
    <row r="164" spans="1:20" s="1" customFormat="1" x14ac:dyDescent="0.25">
      <c r="A164" s="1">
        <v>128</v>
      </c>
      <c r="B164" s="24">
        <v>42737</v>
      </c>
      <c r="C164" s="1">
        <v>499</v>
      </c>
      <c r="E164" s="1">
        <v>3000037088</v>
      </c>
      <c r="F164" s="1" t="s">
        <v>201</v>
      </c>
      <c r="G164" s="1">
        <v>265</v>
      </c>
      <c r="H164" s="1" t="s">
        <v>478</v>
      </c>
      <c r="I164" s="1">
        <v>9499740121</v>
      </c>
      <c r="J164" s="25">
        <v>42728</v>
      </c>
      <c r="K164" s="25">
        <v>42733</v>
      </c>
      <c r="L164" s="1" t="s">
        <v>362</v>
      </c>
      <c r="M164" s="1">
        <v>20.16</v>
      </c>
      <c r="N164" s="1">
        <v>20.14</v>
      </c>
      <c r="O164" s="1">
        <f t="shared" si="15"/>
        <v>20.14</v>
      </c>
      <c r="P164" s="47">
        <f t="shared" si="17"/>
        <v>42752</v>
      </c>
      <c r="Q164" s="1">
        <v>2086754</v>
      </c>
      <c r="R164" s="36">
        <f t="shared" si="16"/>
        <v>2084683.8075396826</v>
      </c>
      <c r="S164" s="24">
        <v>42754</v>
      </c>
      <c r="T164" s="24">
        <v>42755</v>
      </c>
    </row>
    <row r="165" spans="1:20" s="1" customFormat="1" x14ac:dyDescent="0.25">
      <c r="A165" s="84">
        <v>141</v>
      </c>
      <c r="B165" s="24">
        <v>42741</v>
      </c>
      <c r="C165" s="1">
        <v>499</v>
      </c>
      <c r="E165" s="1">
        <v>3000036726</v>
      </c>
      <c r="F165" s="1" t="s">
        <v>201</v>
      </c>
      <c r="G165" s="1">
        <v>301</v>
      </c>
      <c r="H165" s="1" t="s">
        <v>503</v>
      </c>
      <c r="I165" s="1">
        <v>9499740137</v>
      </c>
      <c r="J165" s="25">
        <v>42398</v>
      </c>
      <c r="K165" s="25">
        <v>42739</v>
      </c>
      <c r="L165" s="1" t="s">
        <v>362</v>
      </c>
      <c r="M165" s="1">
        <v>19.95</v>
      </c>
      <c r="N165" s="1">
        <v>19.96</v>
      </c>
      <c r="O165" s="1">
        <f t="shared" si="15"/>
        <v>19.95</v>
      </c>
      <c r="P165" s="47">
        <f t="shared" si="17"/>
        <v>42758</v>
      </c>
      <c r="Q165" s="1">
        <v>1975888</v>
      </c>
      <c r="R165" s="36">
        <f t="shared" si="16"/>
        <v>1975888</v>
      </c>
      <c r="S165" s="24">
        <v>42754</v>
      </c>
      <c r="T165" s="24">
        <v>42755</v>
      </c>
    </row>
    <row r="166" spans="1:20" s="1" customFormat="1" x14ac:dyDescent="0.25">
      <c r="A166" s="1">
        <v>154</v>
      </c>
      <c r="B166" s="24">
        <v>42745</v>
      </c>
      <c r="C166" s="1">
        <v>499</v>
      </c>
      <c r="E166" s="1">
        <v>3000037433</v>
      </c>
      <c r="F166" s="1" t="s">
        <v>201</v>
      </c>
      <c r="G166" s="1">
        <v>314</v>
      </c>
      <c r="H166" s="1" t="s">
        <v>522</v>
      </c>
      <c r="I166" s="1">
        <v>9499740142</v>
      </c>
      <c r="J166" s="25">
        <v>42736</v>
      </c>
      <c r="K166" s="25">
        <v>42741</v>
      </c>
      <c r="L166" s="1" t="s">
        <v>362</v>
      </c>
      <c r="M166" s="1">
        <v>20.079999999999998</v>
      </c>
      <c r="N166" s="1">
        <v>20.05</v>
      </c>
      <c r="O166" s="1">
        <f t="shared" si="15"/>
        <v>20.05</v>
      </c>
      <c r="P166" s="7">
        <f t="shared" si="17"/>
        <v>42760</v>
      </c>
      <c r="Q166" s="1">
        <v>2279806</v>
      </c>
      <c r="R166" s="36">
        <f t="shared" si="16"/>
        <v>2276399.9153386457</v>
      </c>
      <c r="S166" s="24">
        <v>42754</v>
      </c>
      <c r="T166" s="24">
        <v>42755</v>
      </c>
    </row>
    <row r="167" spans="1:20" s="1" customFormat="1" x14ac:dyDescent="0.25">
      <c r="A167" s="1">
        <v>174</v>
      </c>
      <c r="B167" s="24">
        <v>42751</v>
      </c>
      <c r="C167" s="1">
        <v>499</v>
      </c>
      <c r="E167" s="1">
        <v>3000037433</v>
      </c>
      <c r="F167" s="1" t="s">
        <v>201</v>
      </c>
      <c r="G167" s="1">
        <v>316</v>
      </c>
      <c r="H167" s="1" t="s">
        <v>544</v>
      </c>
      <c r="I167" s="1">
        <v>9499740151</v>
      </c>
      <c r="J167" s="25">
        <v>42740</v>
      </c>
      <c r="K167" s="25">
        <v>42745</v>
      </c>
      <c r="L167" s="1" t="s">
        <v>362</v>
      </c>
      <c r="M167" s="1">
        <v>20.079999999999998</v>
      </c>
      <c r="N167" s="1">
        <v>20.05</v>
      </c>
      <c r="O167" s="1">
        <f t="shared" si="15"/>
        <v>20.05</v>
      </c>
      <c r="P167" s="7">
        <f t="shared" si="17"/>
        <v>42764</v>
      </c>
      <c r="Q167" s="1">
        <v>2279806</v>
      </c>
      <c r="R167" s="36">
        <f t="shared" si="16"/>
        <v>2276399.9153386457</v>
      </c>
      <c r="S167" s="24">
        <v>42754</v>
      </c>
      <c r="T167" s="24">
        <v>42755</v>
      </c>
    </row>
    <row r="168" spans="1:20" s="1" customFormat="1" x14ac:dyDescent="0.25">
      <c r="A168" s="84">
        <v>137</v>
      </c>
      <c r="B168" s="24">
        <v>42739</v>
      </c>
      <c r="C168" s="1">
        <v>499</v>
      </c>
      <c r="E168" s="1">
        <v>3000039698</v>
      </c>
      <c r="F168" s="18" t="s">
        <v>363</v>
      </c>
      <c r="G168" s="16" t="s">
        <v>500</v>
      </c>
      <c r="H168" s="1" t="s">
        <v>432</v>
      </c>
      <c r="I168" s="1">
        <v>9499740117</v>
      </c>
      <c r="J168" s="25">
        <v>42739</v>
      </c>
      <c r="K168" s="25">
        <v>42733</v>
      </c>
      <c r="L168" s="1" t="s">
        <v>362</v>
      </c>
      <c r="O168" s="1">
        <f t="shared" si="15"/>
        <v>0</v>
      </c>
      <c r="P168" s="47">
        <f t="shared" si="17"/>
        <v>42752</v>
      </c>
      <c r="Q168" s="1">
        <v>25242</v>
      </c>
      <c r="R168" s="36"/>
      <c r="S168" s="24">
        <v>42754</v>
      </c>
      <c r="T168" s="24">
        <v>42754</v>
      </c>
    </row>
    <row r="169" spans="1:20" s="1" customFormat="1" x14ac:dyDescent="0.25">
      <c r="A169" s="1">
        <v>138</v>
      </c>
      <c r="B169" s="24">
        <v>42739</v>
      </c>
      <c r="C169" s="1">
        <v>499</v>
      </c>
      <c r="E169" s="1">
        <v>3000039698</v>
      </c>
      <c r="F169" s="18" t="s">
        <v>363</v>
      </c>
      <c r="G169" s="16">
        <v>202</v>
      </c>
      <c r="H169" s="1" t="s">
        <v>432</v>
      </c>
      <c r="I169" s="1">
        <v>9499740117</v>
      </c>
      <c r="J169" s="25">
        <v>42725</v>
      </c>
      <c r="K169" s="25">
        <v>42733</v>
      </c>
      <c r="L169" s="1" t="s">
        <v>362</v>
      </c>
      <c r="M169" s="1">
        <v>19.72</v>
      </c>
      <c r="N169" s="1">
        <v>19.75</v>
      </c>
      <c r="O169" s="1">
        <f t="shared" si="15"/>
        <v>19.72</v>
      </c>
      <c r="P169" s="47">
        <f t="shared" si="17"/>
        <v>42752</v>
      </c>
      <c r="Q169" s="1">
        <v>2090288</v>
      </c>
      <c r="R169" s="36">
        <f>(+Q169/M169*O169)-25242</f>
        <v>2065046</v>
      </c>
      <c r="S169" s="24">
        <v>42754</v>
      </c>
      <c r="T169" s="24">
        <v>42754</v>
      </c>
    </row>
    <row r="170" spans="1:20" s="1" customFormat="1" x14ac:dyDescent="0.25">
      <c r="A170" s="84">
        <v>129</v>
      </c>
      <c r="B170" s="24">
        <v>42737</v>
      </c>
      <c r="C170" s="1">
        <v>499</v>
      </c>
      <c r="E170" s="1">
        <v>3000037430</v>
      </c>
      <c r="F170" s="18" t="s">
        <v>363</v>
      </c>
      <c r="G170" s="1">
        <v>212</v>
      </c>
      <c r="H170" s="1" t="s">
        <v>479</v>
      </c>
      <c r="I170" s="1">
        <v>9499740119</v>
      </c>
      <c r="J170" s="25">
        <v>42728</v>
      </c>
      <c r="K170" s="25">
        <v>42733</v>
      </c>
      <c r="L170" s="1" t="s">
        <v>362</v>
      </c>
      <c r="M170" s="1">
        <v>19.489999999999998</v>
      </c>
      <c r="N170" s="1">
        <v>19.440000000000001</v>
      </c>
      <c r="O170" s="1">
        <f t="shared" si="15"/>
        <v>19.440000000000001</v>
      </c>
      <c r="P170" s="47">
        <f t="shared" si="17"/>
        <v>42752</v>
      </c>
      <c r="Q170" s="1">
        <v>2221965</v>
      </c>
      <c r="R170" s="36">
        <f t="shared" ref="R170:R187" si="18">(+Q170/M170*O170)</f>
        <v>2216264.7306310935</v>
      </c>
      <c r="S170" s="24">
        <v>42754</v>
      </c>
      <c r="T170" s="24">
        <v>42754</v>
      </c>
    </row>
    <row r="171" spans="1:20" s="1" customFormat="1" x14ac:dyDescent="0.25">
      <c r="A171" s="1">
        <v>132</v>
      </c>
      <c r="B171" s="24">
        <v>42739</v>
      </c>
      <c r="C171" s="1">
        <v>499</v>
      </c>
      <c r="E171" s="1">
        <v>3000037011</v>
      </c>
      <c r="F171" s="1" t="s">
        <v>430</v>
      </c>
      <c r="G171" s="1">
        <v>75</v>
      </c>
      <c r="H171" s="1" t="s">
        <v>495</v>
      </c>
      <c r="I171" s="1">
        <v>9499740125</v>
      </c>
      <c r="J171" s="25">
        <v>42730</v>
      </c>
      <c r="K171" s="25">
        <v>42734</v>
      </c>
      <c r="L171" s="1" t="s">
        <v>362</v>
      </c>
      <c r="M171" s="1">
        <v>19.905000000000001</v>
      </c>
      <c r="N171" s="1">
        <v>19.809999999999999</v>
      </c>
      <c r="O171" s="1">
        <f t="shared" si="15"/>
        <v>19.809999999999999</v>
      </c>
      <c r="P171" s="47">
        <f t="shared" si="17"/>
        <v>42753</v>
      </c>
      <c r="Q171" s="1">
        <v>2057182</v>
      </c>
      <c r="R171" s="36">
        <f t="shared" si="18"/>
        <v>2047363.7488068321</v>
      </c>
      <c r="S171" s="24">
        <v>42754</v>
      </c>
      <c r="T171" s="24">
        <v>42755</v>
      </c>
    </row>
    <row r="172" spans="1:20" s="1" customFormat="1" x14ac:dyDescent="0.25">
      <c r="A172" s="84">
        <v>143</v>
      </c>
      <c r="B172" s="24">
        <v>42741</v>
      </c>
      <c r="C172" s="1">
        <v>499</v>
      </c>
      <c r="E172" s="1">
        <v>3000037013</v>
      </c>
      <c r="F172" s="1" t="s">
        <v>430</v>
      </c>
      <c r="G172" s="1">
        <v>76</v>
      </c>
      <c r="H172" s="1" t="s">
        <v>505</v>
      </c>
      <c r="I172" s="1">
        <v>9499740138</v>
      </c>
      <c r="J172" s="25">
        <v>42735</v>
      </c>
      <c r="K172" s="25">
        <v>42738</v>
      </c>
      <c r="L172" s="1" t="s">
        <v>362</v>
      </c>
      <c r="M172" s="1">
        <v>19.984999999999999</v>
      </c>
      <c r="N172" s="1">
        <v>19.93</v>
      </c>
      <c r="O172" s="1">
        <f t="shared" si="15"/>
        <v>19.93</v>
      </c>
      <c r="P172" s="47">
        <f t="shared" si="17"/>
        <v>42757</v>
      </c>
      <c r="Q172" s="1">
        <v>2224331</v>
      </c>
      <c r="R172" s="36">
        <f t="shared" si="18"/>
        <v>2218209.4986239681</v>
      </c>
      <c r="S172" s="24">
        <v>42754</v>
      </c>
      <c r="T172" s="24">
        <v>42755</v>
      </c>
    </row>
    <row r="173" spans="1:20" s="1" customFormat="1" x14ac:dyDescent="0.25">
      <c r="A173" s="84">
        <v>133</v>
      </c>
      <c r="B173" s="24">
        <v>42739</v>
      </c>
      <c r="C173" s="1">
        <v>499</v>
      </c>
      <c r="E173" s="1">
        <v>3000037432</v>
      </c>
      <c r="F173" s="1" t="s">
        <v>448</v>
      </c>
      <c r="G173" s="1">
        <v>68</v>
      </c>
      <c r="H173" s="1" t="s">
        <v>496</v>
      </c>
      <c r="I173" s="1">
        <v>9499740124</v>
      </c>
      <c r="J173" s="25">
        <v>42732</v>
      </c>
      <c r="K173" s="25">
        <v>42734</v>
      </c>
      <c r="L173" s="1" t="s">
        <v>362</v>
      </c>
      <c r="M173" s="1">
        <v>20.434999999999999</v>
      </c>
      <c r="N173" s="1">
        <v>20.36</v>
      </c>
      <c r="O173" s="1">
        <f t="shared" si="15"/>
        <v>20.36</v>
      </c>
      <c r="P173" s="47">
        <f t="shared" si="17"/>
        <v>42753</v>
      </c>
      <c r="Q173" s="1">
        <v>2339914</v>
      </c>
      <c r="R173" s="36">
        <f t="shared" si="18"/>
        <v>2331326.1091264989</v>
      </c>
      <c r="S173" s="24">
        <v>42754</v>
      </c>
      <c r="T173" s="24">
        <v>42755</v>
      </c>
    </row>
    <row r="174" spans="1:20" s="1" customFormat="1" x14ac:dyDescent="0.25">
      <c r="A174" s="1">
        <v>146</v>
      </c>
      <c r="B174" s="24">
        <v>42741</v>
      </c>
      <c r="C174" s="1">
        <v>499</v>
      </c>
      <c r="E174" s="1">
        <v>3000037432</v>
      </c>
      <c r="F174" s="1" t="s">
        <v>448</v>
      </c>
      <c r="G174" s="1">
        <v>70</v>
      </c>
      <c r="H174" s="1" t="s">
        <v>506</v>
      </c>
      <c r="I174" s="1">
        <v>9499740135</v>
      </c>
      <c r="J174" s="25">
        <v>42735</v>
      </c>
      <c r="K174" s="25">
        <v>42739</v>
      </c>
      <c r="L174" s="1" t="s">
        <v>362</v>
      </c>
      <c r="M174" s="1">
        <v>19.86</v>
      </c>
      <c r="N174" s="1">
        <v>19.84</v>
      </c>
      <c r="O174" s="1">
        <f t="shared" si="15"/>
        <v>19.84</v>
      </c>
      <c r="P174" s="47">
        <f t="shared" si="17"/>
        <v>42758</v>
      </c>
      <c r="Q174" s="1">
        <v>2274074</v>
      </c>
      <c r="R174" s="36">
        <f t="shared" si="18"/>
        <v>2271783.8952668682</v>
      </c>
      <c r="S174" s="24">
        <v>42754</v>
      </c>
      <c r="T174" s="24">
        <v>42755</v>
      </c>
    </row>
    <row r="175" spans="1:20" s="1" customFormat="1" x14ac:dyDescent="0.25">
      <c r="A175" s="1">
        <v>134</v>
      </c>
      <c r="B175" s="24">
        <v>42739</v>
      </c>
      <c r="C175" s="1">
        <v>499</v>
      </c>
      <c r="E175" s="1">
        <v>3000037296</v>
      </c>
      <c r="F175" s="1" t="s">
        <v>364</v>
      </c>
      <c r="G175" s="1">
        <v>133</v>
      </c>
      <c r="H175" s="1" t="s">
        <v>436</v>
      </c>
      <c r="I175" s="1">
        <v>9499740127</v>
      </c>
      <c r="J175" s="25">
        <v>42730</v>
      </c>
      <c r="K175" s="25">
        <v>42735</v>
      </c>
      <c r="L175" s="1" t="s">
        <v>362</v>
      </c>
      <c r="M175" s="1">
        <v>19.920000000000002</v>
      </c>
      <c r="N175" s="1">
        <v>19.920000000000002</v>
      </c>
      <c r="O175" s="1">
        <f t="shared" si="15"/>
        <v>19.920000000000002</v>
      </c>
      <c r="P175" s="47">
        <f t="shared" si="17"/>
        <v>42754</v>
      </c>
      <c r="Q175" s="1">
        <v>2211120</v>
      </c>
      <c r="R175" s="36">
        <f t="shared" si="18"/>
        <v>2211120</v>
      </c>
      <c r="S175" s="24">
        <v>42754</v>
      </c>
      <c r="T175" s="24">
        <v>42754</v>
      </c>
    </row>
    <row r="176" spans="1:20" s="1" customFormat="1" x14ac:dyDescent="0.25">
      <c r="A176" s="1">
        <v>168</v>
      </c>
      <c r="B176" s="24">
        <v>42751</v>
      </c>
      <c r="C176" s="1">
        <v>499</v>
      </c>
      <c r="E176" s="1">
        <v>3000037002</v>
      </c>
      <c r="F176" s="1" t="s">
        <v>199</v>
      </c>
      <c r="G176" s="1">
        <v>5909</v>
      </c>
      <c r="H176" s="1" t="s">
        <v>537</v>
      </c>
      <c r="I176" s="1">
        <v>9499740148</v>
      </c>
      <c r="J176" s="25">
        <v>42741</v>
      </c>
      <c r="K176" s="25">
        <v>42745</v>
      </c>
      <c r="L176" s="1" t="s">
        <v>362</v>
      </c>
      <c r="M176" s="1">
        <v>20.094999999999999</v>
      </c>
      <c r="N176" s="1">
        <v>20.04</v>
      </c>
      <c r="O176" s="1">
        <f t="shared" ref="O176:O207" si="19">IF(N176&gt;M176,M176,N176)</f>
        <v>20.04</v>
      </c>
      <c r="P176" s="7">
        <f>+K176+10-1</f>
        <v>42754</v>
      </c>
      <c r="Q176" s="1">
        <v>2023567</v>
      </c>
      <c r="R176" s="36">
        <f t="shared" si="18"/>
        <v>2018028.4986315004</v>
      </c>
      <c r="S176" s="24">
        <v>42754</v>
      </c>
      <c r="T176" s="24">
        <v>42754</v>
      </c>
    </row>
    <row r="177" spans="1:20" s="1" customFormat="1" x14ac:dyDescent="0.25">
      <c r="A177" s="1">
        <v>144</v>
      </c>
      <c r="B177" s="24">
        <v>42741</v>
      </c>
      <c r="C177" s="1">
        <v>499</v>
      </c>
      <c r="E177" s="1">
        <v>3000037301</v>
      </c>
      <c r="F177" s="1" t="s">
        <v>214</v>
      </c>
      <c r="G177" s="1">
        <v>120</v>
      </c>
      <c r="H177" s="1" t="s">
        <v>452</v>
      </c>
      <c r="I177" s="1">
        <v>9499740133</v>
      </c>
      <c r="J177" s="25">
        <v>42732</v>
      </c>
      <c r="K177" s="25">
        <v>42738</v>
      </c>
      <c r="L177" s="1" t="s">
        <v>362</v>
      </c>
      <c r="M177" s="1">
        <v>19.829999999999998</v>
      </c>
      <c r="N177" s="1">
        <v>19.82</v>
      </c>
      <c r="O177" s="1">
        <f t="shared" si="19"/>
        <v>19.82</v>
      </c>
      <c r="P177" s="47">
        <f>+K177+20-1</f>
        <v>42757</v>
      </c>
      <c r="Q177" s="1">
        <v>2181300</v>
      </c>
      <c r="R177" s="36">
        <f t="shared" si="18"/>
        <v>2180200.0000000005</v>
      </c>
      <c r="S177" s="24">
        <v>42754</v>
      </c>
      <c r="T177" s="24">
        <v>42755</v>
      </c>
    </row>
    <row r="178" spans="1:20" s="1" customFormat="1" x14ac:dyDescent="0.25">
      <c r="A178" s="84">
        <v>145</v>
      </c>
      <c r="B178" s="24">
        <v>42741</v>
      </c>
      <c r="C178" s="1">
        <v>499</v>
      </c>
      <c r="E178" s="1">
        <v>3000036994</v>
      </c>
      <c r="F178" s="1" t="s">
        <v>171</v>
      </c>
      <c r="G178" s="1">
        <v>103</v>
      </c>
      <c r="H178" s="1" t="s">
        <v>423</v>
      </c>
      <c r="I178" s="1">
        <v>9499740130</v>
      </c>
      <c r="J178" s="25">
        <v>42733</v>
      </c>
      <c r="K178" s="25">
        <v>42738</v>
      </c>
      <c r="L178" s="1" t="s">
        <v>362</v>
      </c>
      <c r="M178" s="1">
        <v>20.059999999999999</v>
      </c>
      <c r="N178" s="1">
        <v>20.059999999999999</v>
      </c>
      <c r="O178" s="1">
        <f t="shared" si="19"/>
        <v>20.059999999999999</v>
      </c>
      <c r="P178" s="47">
        <f>+K178+20-1</f>
        <v>42757</v>
      </c>
      <c r="Q178" s="1">
        <v>2126533</v>
      </c>
      <c r="R178" s="36">
        <f t="shared" si="18"/>
        <v>2126533</v>
      </c>
      <c r="S178" s="24">
        <v>42754</v>
      </c>
      <c r="T178" s="24">
        <v>42755</v>
      </c>
    </row>
    <row r="179" spans="1:20" s="1" customFormat="1" x14ac:dyDescent="0.25">
      <c r="A179" s="84">
        <v>173</v>
      </c>
      <c r="B179" s="24">
        <v>42751</v>
      </c>
      <c r="C179" s="1">
        <v>499</v>
      </c>
      <c r="E179" s="1">
        <v>3000037834</v>
      </c>
      <c r="F179" s="1" t="s">
        <v>542</v>
      </c>
      <c r="G179" s="1">
        <v>119</v>
      </c>
      <c r="H179" s="1" t="s">
        <v>543</v>
      </c>
      <c r="I179" s="1">
        <v>9499740154</v>
      </c>
      <c r="J179" s="25">
        <v>42741</v>
      </c>
      <c r="K179" s="25">
        <v>42746</v>
      </c>
      <c r="L179" s="1" t="s">
        <v>362</v>
      </c>
      <c r="M179" s="1">
        <v>20.07</v>
      </c>
      <c r="N179" s="1">
        <v>20.010000000000002</v>
      </c>
      <c r="O179" s="1">
        <f t="shared" si="19"/>
        <v>20.010000000000002</v>
      </c>
      <c r="P179" s="7">
        <f>+K179+20-1</f>
        <v>42765</v>
      </c>
      <c r="Q179" s="1">
        <v>2187630</v>
      </c>
      <c r="R179" s="26">
        <f t="shared" si="18"/>
        <v>2181090</v>
      </c>
      <c r="S179" s="24">
        <v>42760</v>
      </c>
      <c r="T179" s="24">
        <v>42762</v>
      </c>
    </row>
    <row r="180" spans="1:20" s="1" customFormat="1" x14ac:dyDescent="0.25">
      <c r="A180" s="1">
        <v>178</v>
      </c>
      <c r="B180" s="24">
        <v>42754</v>
      </c>
      <c r="C180" s="1">
        <v>499</v>
      </c>
      <c r="E180" s="1">
        <v>3000037834</v>
      </c>
      <c r="F180" s="1" t="s">
        <v>542</v>
      </c>
      <c r="G180" s="1">
        <v>124</v>
      </c>
      <c r="H180" s="1" t="s">
        <v>554</v>
      </c>
      <c r="I180" s="1">
        <v>9499740166</v>
      </c>
      <c r="J180" s="25">
        <v>42745</v>
      </c>
      <c r="K180" s="25">
        <v>42748</v>
      </c>
      <c r="L180" s="1" t="s">
        <v>362</v>
      </c>
      <c r="M180" s="1">
        <v>20</v>
      </c>
      <c r="N180" s="1">
        <v>19.91</v>
      </c>
      <c r="O180" s="1">
        <f t="shared" si="19"/>
        <v>19.91</v>
      </c>
      <c r="P180" s="7">
        <f>+K180+20-1</f>
        <v>42767</v>
      </c>
      <c r="Q180" s="1">
        <v>2180000</v>
      </c>
      <c r="R180" s="26">
        <f t="shared" si="18"/>
        <v>2170190</v>
      </c>
      <c r="S180" s="24">
        <v>42760</v>
      </c>
      <c r="T180" s="24">
        <v>42762</v>
      </c>
    </row>
    <row r="181" spans="1:20" s="1" customFormat="1" x14ac:dyDescent="0.25">
      <c r="A181" s="1">
        <v>178</v>
      </c>
      <c r="B181" s="24">
        <v>42754</v>
      </c>
      <c r="C181" s="1">
        <v>499</v>
      </c>
      <c r="E181" s="1">
        <v>3000037090</v>
      </c>
      <c r="F181" s="1" t="s">
        <v>201</v>
      </c>
      <c r="G181" s="1">
        <v>317</v>
      </c>
      <c r="H181" s="1" t="s">
        <v>558</v>
      </c>
      <c r="I181" s="1">
        <v>9499740170</v>
      </c>
      <c r="J181" s="25">
        <v>42743</v>
      </c>
      <c r="K181" s="25">
        <v>42749</v>
      </c>
      <c r="L181" s="1" t="s">
        <v>362</v>
      </c>
      <c r="M181" s="1">
        <v>15.6</v>
      </c>
      <c r="N181" s="1">
        <v>15.6</v>
      </c>
      <c r="O181" s="1">
        <f t="shared" si="19"/>
        <v>15.6</v>
      </c>
      <c r="P181" s="47">
        <v>42752</v>
      </c>
      <c r="Q181" s="1">
        <v>1498910</v>
      </c>
      <c r="R181" s="26">
        <f t="shared" si="18"/>
        <v>1498910</v>
      </c>
      <c r="S181" s="24">
        <v>42762</v>
      </c>
    </row>
    <row r="182" spans="1:20" s="1" customFormat="1" x14ac:dyDescent="0.25">
      <c r="A182" s="1">
        <v>178</v>
      </c>
      <c r="B182" s="24">
        <v>42754</v>
      </c>
      <c r="C182" s="1">
        <v>499</v>
      </c>
      <c r="E182" s="1">
        <v>3000037090</v>
      </c>
      <c r="F182" s="1" t="s">
        <v>201</v>
      </c>
      <c r="G182" s="1">
        <v>318</v>
      </c>
      <c r="H182" s="1" t="s">
        <v>559</v>
      </c>
      <c r="I182" s="1">
        <v>9499740170</v>
      </c>
      <c r="J182" s="25">
        <v>42743</v>
      </c>
      <c r="K182" s="25">
        <v>42749</v>
      </c>
      <c r="L182" s="1" t="s">
        <v>362</v>
      </c>
      <c r="M182" s="1">
        <v>15.55</v>
      </c>
      <c r="N182" s="1">
        <v>15.53</v>
      </c>
      <c r="O182" s="1">
        <f t="shared" si="19"/>
        <v>15.53</v>
      </c>
      <c r="P182" s="47">
        <v>42752</v>
      </c>
      <c r="Q182" s="1">
        <v>1494106</v>
      </c>
      <c r="R182" s="26">
        <f t="shared" si="18"/>
        <v>1492184.3202572346</v>
      </c>
      <c r="S182" s="24">
        <v>42762</v>
      </c>
    </row>
    <row r="183" spans="1:20" s="1" customFormat="1" x14ac:dyDescent="0.25">
      <c r="A183" s="1">
        <v>178</v>
      </c>
      <c r="B183" s="24">
        <v>42754</v>
      </c>
      <c r="C183" s="1">
        <v>499</v>
      </c>
      <c r="E183" s="1">
        <v>3000037867</v>
      </c>
      <c r="F183" s="1" t="s">
        <v>492</v>
      </c>
      <c r="G183" s="1">
        <v>1264</v>
      </c>
      <c r="H183" s="1" t="s">
        <v>570</v>
      </c>
      <c r="I183" s="1">
        <v>9499740174</v>
      </c>
      <c r="J183" s="25">
        <v>42746</v>
      </c>
      <c r="K183" s="25">
        <v>42753</v>
      </c>
      <c r="L183" s="1" t="s">
        <v>362</v>
      </c>
      <c r="M183" s="1">
        <v>20.38</v>
      </c>
      <c r="N183" s="1">
        <v>20.34</v>
      </c>
      <c r="O183" s="1">
        <f t="shared" si="19"/>
        <v>20.34</v>
      </c>
      <c r="P183" s="7">
        <f>+K183+4-1</f>
        <v>42756</v>
      </c>
      <c r="Q183" s="1">
        <v>2247000</v>
      </c>
      <c r="R183" s="36">
        <f t="shared" si="18"/>
        <v>2242589.7939156038</v>
      </c>
      <c r="S183" s="24">
        <v>42762</v>
      </c>
    </row>
    <row r="184" spans="1:20" s="1" customFormat="1" x14ac:dyDescent="0.25">
      <c r="A184" s="1">
        <v>152</v>
      </c>
      <c r="B184" s="24">
        <v>42745</v>
      </c>
      <c r="C184" s="1">
        <v>499</v>
      </c>
      <c r="E184" s="1">
        <v>3000037000</v>
      </c>
      <c r="F184" s="1" t="s">
        <v>425</v>
      </c>
      <c r="G184" s="1">
        <v>716</v>
      </c>
      <c r="H184" s="1" t="s">
        <v>521</v>
      </c>
      <c r="I184" s="1">
        <v>9499740140</v>
      </c>
      <c r="J184" s="25">
        <v>42738</v>
      </c>
      <c r="K184" s="25">
        <v>42740</v>
      </c>
      <c r="L184" s="1" t="s">
        <v>362</v>
      </c>
      <c r="M184" s="1">
        <v>18.905000000000001</v>
      </c>
      <c r="N184" s="1">
        <v>18.850000000000001</v>
      </c>
      <c r="O184" s="1">
        <f t="shared" si="19"/>
        <v>18.850000000000001</v>
      </c>
      <c r="P184" s="7">
        <f t="shared" ref="P184:P192" si="20">+K184+20-1</f>
        <v>42759</v>
      </c>
      <c r="Q184" s="1">
        <v>1883694</v>
      </c>
      <c r="R184" s="26">
        <f t="shared" si="18"/>
        <v>1878213.8005818566</v>
      </c>
      <c r="S184" s="24">
        <v>42762</v>
      </c>
    </row>
    <row r="185" spans="1:20" s="1" customFormat="1" x14ac:dyDescent="0.25">
      <c r="A185" s="1">
        <v>178</v>
      </c>
      <c r="B185" s="24">
        <v>42754</v>
      </c>
      <c r="C185" s="1">
        <v>499</v>
      </c>
      <c r="E185" s="1">
        <v>3000037004</v>
      </c>
      <c r="F185" s="1" t="s">
        <v>425</v>
      </c>
      <c r="G185" s="1">
        <v>719</v>
      </c>
      <c r="H185" s="1" t="s">
        <v>521</v>
      </c>
      <c r="I185" s="1">
        <v>9499740160</v>
      </c>
      <c r="J185" s="25">
        <v>42743</v>
      </c>
      <c r="K185" s="25">
        <v>42746</v>
      </c>
      <c r="L185" s="1" t="s">
        <v>362</v>
      </c>
      <c r="M185" s="1">
        <v>18.54</v>
      </c>
      <c r="N185" s="1">
        <v>18.46</v>
      </c>
      <c r="O185" s="1">
        <f t="shared" si="19"/>
        <v>18.46</v>
      </c>
      <c r="P185" s="7">
        <f t="shared" si="20"/>
        <v>42765</v>
      </c>
      <c r="Q185" s="1">
        <v>1866978</v>
      </c>
      <c r="R185" s="26">
        <f t="shared" si="18"/>
        <v>1858922</v>
      </c>
      <c r="S185" s="24">
        <v>42762</v>
      </c>
    </row>
    <row r="186" spans="1:20" s="1" customFormat="1" x14ac:dyDescent="0.25">
      <c r="A186" s="84">
        <v>155</v>
      </c>
      <c r="B186" s="24">
        <v>42745</v>
      </c>
      <c r="C186" s="1">
        <v>499</v>
      </c>
      <c r="E186" s="1">
        <v>3000037803</v>
      </c>
      <c r="F186" s="1" t="s">
        <v>523</v>
      </c>
      <c r="G186" s="1">
        <v>35</v>
      </c>
      <c r="H186" s="1" t="s">
        <v>524</v>
      </c>
      <c r="I186" s="1">
        <v>9499740139</v>
      </c>
      <c r="J186" s="25">
        <v>42738</v>
      </c>
      <c r="K186" s="25">
        <v>42740</v>
      </c>
      <c r="L186" s="1" t="s">
        <v>362</v>
      </c>
      <c r="M186" s="1">
        <v>20.04</v>
      </c>
      <c r="N186" s="1">
        <v>19.989999999999998</v>
      </c>
      <c r="O186" s="1">
        <f t="shared" si="19"/>
        <v>19.989999999999998</v>
      </c>
      <c r="P186" s="7">
        <f t="shared" si="20"/>
        <v>42759</v>
      </c>
      <c r="Q186" s="1">
        <v>2204280</v>
      </c>
      <c r="R186" s="36">
        <f t="shared" si="18"/>
        <v>2198780.2994011976</v>
      </c>
      <c r="S186" s="24">
        <v>42762</v>
      </c>
    </row>
    <row r="187" spans="1:20" s="1" customFormat="1" x14ac:dyDescent="0.25">
      <c r="A187" s="84">
        <v>159</v>
      </c>
      <c r="B187" s="24">
        <v>42747</v>
      </c>
      <c r="C187" s="1">
        <v>499</v>
      </c>
      <c r="E187" s="1">
        <v>3000037803</v>
      </c>
      <c r="F187" s="1" t="s">
        <v>523</v>
      </c>
      <c r="G187" s="1">
        <v>36</v>
      </c>
      <c r="H187" s="1" t="s">
        <v>529</v>
      </c>
      <c r="I187" s="1">
        <v>9499740145</v>
      </c>
      <c r="J187" s="25">
        <v>42738</v>
      </c>
      <c r="K187" s="25">
        <v>42744</v>
      </c>
      <c r="L187" s="1" t="s">
        <v>362</v>
      </c>
      <c r="M187" s="1">
        <v>20.190000000000001</v>
      </c>
      <c r="N187" s="1">
        <v>20.149999999999999</v>
      </c>
      <c r="O187" s="1">
        <f t="shared" si="19"/>
        <v>20.149999999999999</v>
      </c>
      <c r="P187" s="7">
        <f t="shared" si="20"/>
        <v>42763</v>
      </c>
      <c r="Q187" s="1">
        <v>2220900</v>
      </c>
      <c r="R187" s="36">
        <f t="shared" si="18"/>
        <v>2216500</v>
      </c>
      <c r="S187" s="24">
        <v>42762</v>
      </c>
    </row>
    <row r="188" spans="1:20" s="1" customFormat="1" x14ac:dyDescent="0.25">
      <c r="A188" s="84">
        <v>157</v>
      </c>
      <c r="B188" s="24">
        <v>42745</v>
      </c>
      <c r="C188" s="1">
        <v>499</v>
      </c>
      <c r="E188" s="1">
        <v>3000036994</v>
      </c>
      <c r="F188" s="1" t="s">
        <v>171</v>
      </c>
      <c r="G188" s="16" t="s">
        <v>526</v>
      </c>
      <c r="H188" s="1" t="s">
        <v>527</v>
      </c>
      <c r="I188" s="1">
        <v>9499740128</v>
      </c>
      <c r="J188" s="25">
        <v>42744</v>
      </c>
      <c r="K188" s="25">
        <v>42740</v>
      </c>
      <c r="L188" s="1" t="s">
        <v>362</v>
      </c>
      <c r="O188" s="1">
        <f t="shared" si="19"/>
        <v>0</v>
      </c>
      <c r="P188" s="7">
        <f t="shared" si="20"/>
        <v>42759</v>
      </c>
      <c r="Q188" s="1">
        <v>23831</v>
      </c>
      <c r="R188" s="26"/>
      <c r="S188" s="24">
        <v>42762</v>
      </c>
    </row>
    <row r="189" spans="1:20" s="1" customFormat="1" x14ac:dyDescent="0.25">
      <c r="A189" s="1">
        <v>158</v>
      </c>
      <c r="B189" s="24">
        <v>42745</v>
      </c>
      <c r="C189" s="1">
        <v>499</v>
      </c>
      <c r="E189" s="1">
        <v>3000036994</v>
      </c>
      <c r="F189" s="1" t="s">
        <v>171</v>
      </c>
      <c r="G189" s="16">
        <v>102</v>
      </c>
      <c r="H189" s="1" t="s">
        <v>527</v>
      </c>
      <c r="I189" s="1">
        <v>9499740128</v>
      </c>
      <c r="J189" s="25">
        <v>42731</v>
      </c>
      <c r="K189" s="25">
        <v>42740</v>
      </c>
      <c r="L189" s="1" t="s">
        <v>362</v>
      </c>
      <c r="M189" s="1">
        <v>19.350000000000001</v>
      </c>
      <c r="N189" s="1">
        <v>19.32</v>
      </c>
      <c r="O189" s="1">
        <f t="shared" si="19"/>
        <v>19.32</v>
      </c>
      <c r="P189" s="7">
        <f t="shared" si="20"/>
        <v>42759</v>
      </c>
      <c r="Q189" s="1">
        <v>2051266</v>
      </c>
      <c r="R189" s="26">
        <f>(+Q189/M189*O189)-23831</f>
        <v>2024254.7426356587</v>
      </c>
      <c r="S189" s="24">
        <v>42762</v>
      </c>
    </row>
    <row r="190" spans="1:20" s="1" customFormat="1" x14ac:dyDescent="0.25">
      <c r="A190" s="1">
        <v>166</v>
      </c>
      <c r="B190" s="24">
        <v>42751</v>
      </c>
      <c r="C190" s="1">
        <v>499</v>
      </c>
      <c r="E190" s="1">
        <v>3000037865</v>
      </c>
      <c r="F190" s="1" t="s">
        <v>171</v>
      </c>
      <c r="G190" s="1">
        <v>112</v>
      </c>
      <c r="H190" s="1" t="s">
        <v>535</v>
      </c>
      <c r="I190" s="1">
        <v>9499740155</v>
      </c>
      <c r="J190" s="25">
        <v>42741</v>
      </c>
      <c r="K190" s="25">
        <v>42745</v>
      </c>
      <c r="L190" s="1" t="s">
        <v>362</v>
      </c>
      <c r="M190" s="1">
        <v>15.03</v>
      </c>
      <c r="N190" s="1">
        <v>15.02</v>
      </c>
      <c r="O190" s="1">
        <f t="shared" si="19"/>
        <v>15.02</v>
      </c>
      <c r="P190" s="7">
        <f t="shared" si="20"/>
        <v>42764</v>
      </c>
      <c r="Q190" s="1">
        <v>1668429</v>
      </c>
      <c r="R190" s="26">
        <f t="shared" ref="R190:R226" si="21">(+Q190/M190*O190)</f>
        <v>1667318.9341317366</v>
      </c>
      <c r="S190" s="24">
        <v>42762</v>
      </c>
    </row>
    <row r="191" spans="1:20" s="1" customFormat="1" x14ac:dyDescent="0.25">
      <c r="A191" s="84">
        <v>167</v>
      </c>
      <c r="B191" s="24">
        <v>42751</v>
      </c>
      <c r="C191" s="1">
        <v>499</v>
      </c>
      <c r="E191" s="1">
        <v>3000037865</v>
      </c>
      <c r="F191" s="1" t="s">
        <v>171</v>
      </c>
      <c r="G191" s="1">
        <v>113</v>
      </c>
      <c r="H191" s="1" t="s">
        <v>536</v>
      </c>
      <c r="I191" s="1">
        <v>9499740161</v>
      </c>
      <c r="J191" s="25">
        <v>42742</v>
      </c>
      <c r="K191" s="25">
        <v>42746</v>
      </c>
      <c r="L191" s="1" t="s">
        <v>362</v>
      </c>
      <c r="M191" s="1">
        <v>14.86</v>
      </c>
      <c r="N191" s="1">
        <v>14.87</v>
      </c>
      <c r="O191" s="1">
        <f t="shared" si="19"/>
        <v>14.86</v>
      </c>
      <c r="P191" s="7">
        <f t="shared" si="20"/>
        <v>42765</v>
      </c>
      <c r="Q191" s="1">
        <v>1649558</v>
      </c>
      <c r="R191" s="26">
        <f t="shared" si="21"/>
        <v>1649558</v>
      </c>
      <c r="S191" s="24">
        <v>42762</v>
      </c>
    </row>
    <row r="192" spans="1:20" s="1" customFormat="1" x14ac:dyDescent="0.25">
      <c r="A192" s="84">
        <v>153</v>
      </c>
      <c r="B192" s="24">
        <v>42745</v>
      </c>
      <c r="C192" s="1">
        <v>499</v>
      </c>
      <c r="E192" s="1">
        <v>3000037186</v>
      </c>
      <c r="F192" s="1" t="s">
        <v>171</v>
      </c>
      <c r="G192" s="1">
        <v>108</v>
      </c>
      <c r="H192" s="1" t="s">
        <v>406</v>
      </c>
      <c r="I192" s="1">
        <v>9499740141</v>
      </c>
      <c r="J192" s="25">
        <v>42737</v>
      </c>
      <c r="K192" s="25">
        <v>42741</v>
      </c>
      <c r="L192" s="1" t="s">
        <v>362</v>
      </c>
      <c r="M192" s="1">
        <v>19.829999999999998</v>
      </c>
      <c r="N192" s="1">
        <v>19.77</v>
      </c>
      <c r="O192" s="1">
        <f t="shared" si="19"/>
        <v>19.77</v>
      </c>
      <c r="P192" s="7">
        <f t="shared" si="20"/>
        <v>42760</v>
      </c>
      <c r="Q192" s="1">
        <v>2201261</v>
      </c>
      <c r="R192" s="26">
        <f t="shared" si="21"/>
        <v>2194600.6036308622</v>
      </c>
      <c r="S192" s="24">
        <v>42762</v>
      </c>
    </row>
    <row r="193" spans="1:21" s="1" customFormat="1" x14ac:dyDescent="0.25">
      <c r="A193" s="1">
        <v>178</v>
      </c>
      <c r="B193" s="24">
        <v>42754</v>
      </c>
      <c r="C193" s="1">
        <v>499</v>
      </c>
      <c r="E193" s="1">
        <v>3000037697</v>
      </c>
      <c r="F193" s="1" t="s">
        <v>566</v>
      </c>
      <c r="G193" s="1">
        <v>25</v>
      </c>
      <c r="H193" s="1" t="s">
        <v>567</v>
      </c>
      <c r="I193" s="1">
        <v>9499740171</v>
      </c>
      <c r="J193" s="25">
        <v>42741</v>
      </c>
      <c r="K193" s="25">
        <v>42753</v>
      </c>
      <c r="L193" s="1" t="s">
        <v>362</v>
      </c>
      <c r="M193" s="1">
        <v>19.420000000000002</v>
      </c>
      <c r="N193" s="1">
        <v>19.440000000000001</v>
      </c>
      <c r="O193" s="1">
        <f t="shared" si="19"/>
        <v>19.420000000000002</v>
      </c>
      <c r="P193" s="7">
        <f>+K193+7-1</f>
        <v>42759</v>
      </c>
      <c r="Q193" s="1">
        <v>2097360</v>
      </c>
      <c r="R193" s="36">
        <f t="shared" si="21"/>
        <v>2097360</v>
      </c>
      <c r="S193" s="24">
        <v>42762</v>
      </c>
    </row>
    <row r="194" spans="1:21" s="1" customFormat="1" x14ac:dyDescent="0.25">
      <c r="A194" s="1">
        <v>160</v>
      </c>
      <c r="B194" s="24">
        <v>42751</v>
      </c>
      <c r="C194" s="1">
        <v>499</v>
      </c>
      <c r="E194" s="1">
        <v>3000037431</v>
      </c>
      <c r="F194" s="1" t="s">
        <v>530</v>
      </c>
      <c r="G194" s="1">
        <v>1314</v>
      </c>
      <c r="H194" s="1" t="s">
        <v>531</v>
      </c>
      <c r="I194" s="1">
        <v>9499740158</v>
      </c>
      <c r="J194" s="25">
        <v>42740</v>
      </c>
      <c r="K194" s="25">
        <v>42745</v>
      </c>
      <c r="L194" s="1" t="s">
        <v>362</v>
      </c>
      <c r="M194" s="1">
        <v>20.05</v>
      </c>
      <c r="N194" s="1">
        <v>20.02</v>
      </c>
      <c r="O194" s="1">
        <f t="shared" si="19"/>
        <v>20.02</v>
      </c>
      <c r="P194" s="7">
        <f t="shared" ref="P194:P201" si="22">+K194+20-1</f>
        <v>42764</v>
      </c>
      <c r="Q194" s="1">
        <v>2265650</v>
      </c>
      <c r="R194" s="36">
        <f t="shared" si="21"/>
        <v>2262260</v>
      </c>
      <c r="S194" s="24">
        <v>42762</v>
      </c>
    </row>
    <row r="195" spans="1:21" s="1" customFormat="1" x14ac:dyDescent="0.25">
      <c r="A195" s="84">
        <v>161</v>
      </c>
      <c r="B195" s="24">
        <v>42751</v>
      </c>
      <c r="C195" s="1">
        <v>499</v>
      </c>
      <c r="E195" s="1">
        <v>3000037431</v>
      </c>
      <c r="F195" s="1" t="s">
        <v>530</v>
      </c>
      <c r="G195" s="1">
        <v>1315</v>
      </c>
      <c r="H195" s="1" t="s">
        <v>484</v>
      </c>
      <c r="I195" s="1">
        <v>9499740158</v>
      </c>
      <c r="J195" s="25">
        <v>42740</v>
      </c>
      <c r="K195" s="25">
        <v>42745</v>
      </c>
      <c r="L195" s="1" t="s">
        <v>362</v>
      </c>
      <c r="M195" s="1">
        <v>20.100000000000001</v>
      </c>
      <c r="N195" s="1">
        <v>20.05</v>
      </c>
      <c r="O195" s="1">
        <f t="shared" si="19"/>
        <v>20.05</v>
      </c>
      <c r="P195" s="7">
        <f t="shared" si="22"/>
        <v>42764</v>
      </c>
      <c r="Q195" s="1">
        <v>2271300</v>
      </c>
      <c r="R195" s="36">
        <f t="shared" si="21"/>
        <v>2265650</v>
      </c>
      <c r="S195" s="24">
        <v>42762</v>
      </c>
    </row>
    <row r="196" spans="1:21" s="1" customFormat="1" x14ac:dyDescent="0.25">
      <c r="A196" s="1">
        <v>162</v>
      </c>
      <c r="B196" s="24">
        <v>42751</v>
      </c>
      <c r="C196" s="1">
        <v>499</v>
      </c>
      <c r="E196" s="1">
        <v>3000037875</v>
      </c>
      <c r="F196" s="1" t="s">
        <v>430</v>
      </c>
      <c r="G196" s="1">
        <v>78</v>
      </c>
      <c r="H196" s="1" t="s">
        <v>532</v>
      </c>
      <c r="I196" s="1">
        <v>9499740150</v>
      </c>
      <c r="J196" s="25">
        <v>42741</v>
      </c>
      <c r="K196" s="25">
        <v>42745</v>
      </c>
      <c r="L196" s="1" t="s">
        <v>362</v>
      </c>
      <c r="M196" s="1">
        <v>19.5</v>
      </c>
      <c r="N196" s="1">
        <v>19.43</v>
      </c>
      <c r="O196" s="1">
        <f t="shared" si="19"/>
        <v>19.43</v>
      </c>
      <c r="P196" s="7">
        <f t="shared" si="22"/>
        <v>42764</v>
      </c>
      <c r="Q196" s="1">
        <v>2273700</v>
      </c>
      <c r="R196" s="26">
        <f t="shared" si="21"/>
        <v>2265538</v>
      </c>
      <c r="S196" s="24">
        <v>42762</v>
      </c>
    </row>
    <row r="197" spans="1:21" s="1" customFormat="1" x14ac:dyDescent="0.25">
      <c r="A197" s="84">
        <v>175</v>
      </c>
      <c r="B197" s="24">
        <v>42751</v>
      </c>
      <c r="C197" s="1">
        <v>499</v>
      </c>
      <c r="E197" s="1">
        <v>3000037863</v>
      </c>
      <c r="F197" s="1" t="s">
        <v>361</v>
      </c>
      <c r="G197" s="1">
        <v>260</v>
      </c>
      <c r="H197" s="1" t="s">
        <v>545</v>
      </c>
      <c r="I197" s="1">
        <v>9499740157</v>
      </c>
      <c r="J197" s="25">
        <v>42740</v>
      </c>
      <c r="K197" s="25">
        <v>42745</v>
      </c>
      <c r="L197" s="1" t="s">
        <v>362</v>
      </c>
      <c r="M197" s="1">
        <v>19.940000000000001</v>
      </c>
      <c r="N197" s="1">
        <v>19.93</v>
      </c>
      <c r="O197" s="1">
        <f t="shared" si="19"/>
        <v>19.93</v>
      </c>
      <c r="P197" s="7">
        <f t="shared" si="22"/>
        <v>42764</v>
      </c>
      <c r="Q197" s="1">
        <v>2193540</v>
      </c>
      <c r="R197" s="36">
        <f t="shared" si="21"/>
        <v>2192439.9297893681</v>
      </c>
      <c r="S197" s="24">
        <v>42762</v>
      </c>
    </row>
    <row r="198" spans="1:21" s="1" customFormat="1" x14ac:dyDescent="0.25">
      <c r="A198" s="1">
        <v>176</v>
      </c>
      <c r="B198" s="24">
        <v>42751</v>
      </c>
      <c r="C198" s="1">
        <v>499</v>
      </c>
      <c r="E198" s="1">
        <v>3000037863</v>
      </c>
      <c r="F198" s="1" t="s">
        <v>361</v>
      </c>
      <c r="G198" s="1">
        <v>261</v>
      </c>
      <c r="H198" s="1" t="s">
        <v>546</v>
      </c>
      <c r="I198" s="1">
        <v>9499740157</v>
      </c>
      <c r="J198" s="25">
        <v>42374</v>
      </c>
      <c r="K198" s="25">
        <v>42745</v>
      </c>
      <c r="L198" s="1" t="s">
        <v>362</v>
      </c>
      <c r="M198" s="1">
        <v>19.3</v>
      </c>
      <c r="N198" s="1">
        <v>19.25</v>
      </c>
      <c r="O198" s="1">
        <f t="shared" si="19"/>
        <v>19.25</v>
      </c>
      <c r="P198" s="7">
        <f t="shared" si="22"/>
        <v>42764</v>
      </c>
      <c r="Q198" s="1">
        <v>2123135</v>
      </c>
      <c r="R198" s="36">
        <f t="shared" si="21"/>
        <v>2117634.6502590673</v>
      </c>
      <c r="S198" s="24">
        <v>42762</v>
      </c>
    </row>
    <row r="199" spans="1:21" s="1" customFormat="1" x14ac:dyDescent="0.25">
      <c r="A199" s="84">
        <v>177</v>
      </c>
      <c r="B199" s="24">
        <v>42751</v>
      </c>
      <c r="C199" s="1">
        <v>499</v>
      </c>
      <c r="E199" s="1">
        <v>3000037312</v>
      </c>
      <c r="F199" s="1" t="s">
        <v>364</v>
      </c>
      <c r="G199" s="1">
        <v>136</v>
      </c>
      <c r="H199" s="1" t="s">
        <v>547</v>
      </c>
      <c r="I199" s="1">
        <v>9499740153</v>
      </c>
      <c r="J199" s="25">
        <v>42740</v>
      </c>
      <c r="K199" s="25">
        <v>42745</v>
      </c>
      <c r="L199" s="1" t="s">
        <v>362</v>
      </c>
      <c r="M199" s="1">
        <v>20.100000000000001</v>
      </c>
      <c r="N199" s="1">
        <v>20.079999999999998</v>
      </c>
      <c r="O199" s="1">
        <f t="shared" si="19"/>
        <v>20.079999999999998</v>
      </c>
      <c r="P199" s="7">
        <f t="shared" si="22"/>
        <v>42764</v>
      </c>
      <c r="Q199" s="1">
        <v>2241150</v>
      </c>
      <c r="R199" s="26">
        <f t="shared" si="21"/>
        <v>2238919.9999999995</v>
      </c>
      <c r="S199" s="24">
        <v>42762</v>
      </c>
    </row>
    <row r="200" spans="1:21" s="1" customFormat="1" x14ac:dyDescent="0.25">
      <c r="A200" s="84">
        <v>169</v>
      </c>
      <c r="B200" s="24">
        <v>42751</v>
      </c>
      <c r="C200" s="1">
        <v>499</v>
      </c>
      <c r="E200" s="1">
        <v>3000037006</v>
      </c>
      <c r="F200" s="1" t="s">
        <v>199</v>
      </c>
      <c r="G200" s="1">
        <v>5910</v>
      </c>
      <c r="H200" s="1" t="s">
        <v>538</v>
      </c>
      <c r="I200" s="1">
        <v>9499740159</v>
      </c>
      <c r="J200" s="25">
        <v>42742</v>
      </c>
      <c r="K200" s="25">
        <v>42746</v>
      </c>
      <c r="L200" s="1" t="s">
        <v>362</v>
      </c>
      <c r="M200" s="1">
        <v>20.285</v>
      </c>
      <c r="N200" s="1">
        <v>20.260000000000002</v>
      </c>
      <c r="O200" s="1">
        <f t="shared" si="19"/>
        <v>20.260000000000002</v>
      </c>
      <c r="P200" s="7">
        <f t="shared" si="22"/>
        <v>42765</v>
      </c>
      <c r="Q200" s="1">
        <v>2128708</v>
      </c>
      <c r="R200" s="26">
        <f t="shared" si="21"/>
        <v>2126084.4998767562</v>
      </c>
      <c r="S200" s="24">
        <v>42762</v>
      </c>
    </row>
    <row r="201" spans="1:21" s="1" customFormat="1" x14ac:dyDescent="0.25">
      <c r="A201" s="84">
        <v>171</v>
      </c>
      <c r="B201" s="24">
        <v>42751</v>
      </c>
      <c r="C201" s="1">
        <v>499</v>
      </c>
      <c r="E201" s="1">
        <v>3000037862</v>
      </c>
      <c r="F201" s="1" t="s">
        <v>215</v>
      </c>
      <c r="G201" s="1">
        <v>277</v>
      </c>
      <c r="H201" s="1" t="s">
        <v>540</v>
      </c>
      <c r="I201" s="1">
        <v>9499740156</v>
      </c>
      <c r="J201" s="25">
        <v>42741</v>
      </c>
      <c r="K201" s="25">
        <v>42746</v>
      </c>
      <c r="L201" s="1" t="s">
        <v>362</v>
      </c>
      <c r="M201" s="1">
        <v>20.23</v>
      </c>
      <c r="N201" s="1">
        <v>20.190000000000001</v>
      </c>
      <c r="O201" s="1">
        <f t="shared" si="19"/>
        <v>20.190000000000001</v>
      </c>
      <c r="P201" s="7">
        <f t="shared" si="22"/>
        <v>42765</v>
      </c>
      <c r="Q201" s="1">
        <v>2225300</v>
      </c>
      <c r="R201" s="26">
        <f t="shared" si="21"/>
        <v>2220900</v>
      </c>
      <c r="S201" s="24">
        <v>42762</v>
      </c>
    </row>
    <row r="202" spans="1:21" s="1" customFormat="1" x14ac:dyDescent="0.25">
      <c r="A202" s="1">
        <v>204</v>
      </c>
      <c r="B202" s="24">
        <v>42765</v>
      </c>
      <c r="C202" s="1">
        <v>499</v>
      </c>
      <c r="E202" s="1">
        <v>3000037903</v>
      </c>
      <c r="F202" s="1" t="s">
        <v>548</v>
      </c>
      <c r="G202" s="1">
        <v>255</v>
      </c>
      <c r="H202" s="1" t="s">
        <v>573</v>
      </c>
      <c r="I202" s="1">
        <v>9499740181</v>
      </c>
      <c r="J202" s="25">
        <v>42748</v>
      </c>
      <c r="K202" s="25">
        <v>42753</v>
      </c>
      <c r="L202" s="1" t="s">
        <v>362</v>
      </c>
      <c r="M202" s="1">
        <v>19.855</v>
      </c>
      <c r="N202" s="1">
        <v>19.78</v>
      </c>
      <c r="O202" s="1">
        <f t="shared" si="19"/>
        <v>19.78</v>
      </c>
      <c r="P202" s="7">
        <f>+K202+7-1</f>
        <v>42759</v>
      </c>
      <c r="Q202" s="1">
        <v>2184050</v>
      </c>
      <c r="R202" s="36">
        <f t="shared" si="21"/>
        <v>2175800</v>
      </c>
      <c r="S202" s="24">
        <v>42767</v>
      </c>
      <c r="U202" s="297"/>
    </row>
    <row r="203" spans="1:21" s="1" customFormat="1" x14ac:dyDescent="0.25">
      <c r="A203" s="1">
        <v>180</v>
      </c>
      <c r="B203" s="24">
        <v>42754</v>
      </c>
      <c r="C203" s="1">
        <v>499</v>
      </c>
      <c r="E203" s="1">
        <v>3000037874</v>
      </c>
      <c r="F203" s="1" t="s">
        <v>201</v>
      </c>
      <c r="G203" s="1">
        <v>320</v>
      </c>
      <c r="H203" s="1" t="s">
        <v>560</v>
      </c>
      <c r="I203" s="1">
        <v>9499740173</v>
      </c>
      <c r="J203" s="25">
        <v>42746</v>
      </c>
      <c r="K203" s="25">
        <v>42753</v>
      </c>
      <c r="L203" s="1" t="s">
        <v>362</v>
      </c>
      <c r="M203" s="1">
        <v>15.66</v>
      </c>
      <c r="N203" s="1">
        <v>15.65</v>
      </c>
      <c r="O203" s="1">
        <f t="shared" si="19"/>
        <v>15.65</v>
      </c>
      <c r="P203" s="7">
        <f>+K203+20-1</f>
        <v>42772</v>
      </c>
      <c r="Q203" s="1">
        <v>1723508</v>
      </c>
      <c r="R203" s="36">
        <f t="shared" si="21"/>
        <v>1722407.4201787994</v>
      </c>
      <c r="S203" s="24">
        <v>42767</v>
      </c>
      <c r="T203" s="24">
        <v>42768</v>
      </c>
      <c r="U203" s="297"/>
    </row>
    <row r="204" spans="1:21" s="1" customFormat="1" x14ac:dyDescent="0.25">
      <c r="A204" s="1">
        <v>182</v>
      </c>
      <c r="B204" s="24">
        <v>42754</v>
      </c>
      <c r="C204" s="1">
        <v>499</v>
      </c>
      <c r="E204" s="1">
        <v>3000037874</v>
      </c>
      <c r="F204" s="1" t="s">
        <v>201</v>
      </c>
      <c r="G204" s="1">
        <v>321</v>
      </c>
      <c r="H204" s="1" t="s">
        <v>561</v>
      </c>
      <c r="I204" s="1">
        <v>9499740173</v>
      </c>
      <c r="J204" s="25">
        <v>42746</v>
      </c>
      <c r="K204" s="25">
        <v>42753</v>
      </c>
      <c r="L204" s="1" t="s">
        <v>362</v>
      </c>
      <c r="M204" s="1">
        <v>15.86</v>
      </c>
      <c r="N204" s="1">
        <v>15.81</v>
      </c>
      <c r="O204" s="1">
        <f t="shared" si="19"/>
        <v>15.81</v>
      </c>
      <c r="P204" s="7">
        <f>+K204+20-1</f>
        <v>42772</v>
      </c>
      <c r="Q204" s="1">
        <v>1745520</v>
      </c>
      <c r="R204" s="36">
        <f t="shared" si="21"/>
        <v>1740017.0996216899</v>
      </c>
      <c r="S204" s="24">
        <v>42767</v>
      </c>
      <c r="T204" s="24">
        <v>42768</v>
      </c>
      <c r="U204" s="297"/>
    </row>
    <row r="205" spans="1:21" s="1" customFormat="1" x14ac:dyDescent="0.25">
      <c r="A205" s="1">
        <v>202</v>
      </c>
      <c r="B205" s="24">
        <v>42765</v>
      </c>
      <c r="C205" s="1">
        <v>499</v>
      </c>
      <c r="E205" s="1">
        <v>3000037090</v>
      </c>
      <c r="F205" s="1" t="s">
        <v>201</v>
      </c>
      <c r="G205" s="1">
        <v>324</v>
      </c>
      <c r="H205" s="1" t="s">
        <v>572</v>
      </c>
      <c r="I205" s="1">
        <v>9499740189</v>
      </c>
      <c r="J205" s="25">
        <v>42752</v>
      </c>
      <c r="K205" s="25">
        <v>42759</v>
      </c>
      <c r="L205" s="1" t="s">
        <v>362</v>
      </c>
      <c r="M205" s="1">
        <v>25.14</v>
      </c>
      <c r="N205" s="1">
        <v>25.12</v>
      </c>
      <c r="O205" s="1">
        <f t="shared" si="19"/>
        <v>25.12</v>
      </c>
      <c r="P205" s="7">
        <f>+K205+4-1</f>
        <v>42762</v>
      </c>
      <c r="Q205" s="1">
        <v>2415551</v>
      </c>
      <c r="R205" s="36">
        <f t="shared" si="21"/>
        <v>2413629.320604614</v>
      </c>
      <c r="S205" s="24">
        <v>42767</v>
      </c>
      <c r="T205" s="24">
        <v>42768</v>
      </c>
      <c r="U205" s="297"/>
    </row>
    <row r="206" spans="1:21" s="1" customFormat="1" x14ac:dyDescent="0.25">
      <c r="A206" s="1">
        <v>212</v>
      </c>
      <c r="B206" s="24">
        <v>42765</v>
      </c>
      <c r="C206" s="1">
        <v>499</v>
      </c>
      <c r="E206" s="1">
        <v>3000037874</v>
      </c>
      <c r="F206" s="1" t="s">
        <v>201</v>
      </c>
      <c r="G206" s="1">
        <v>322</v>
      </c>
      <c r="H206" s="1" t="s">
        <v>577</v>
      </c>
      <c r="I206" s="1">
        <v>9499740180</v>
      </c>
      <c r="J206" s="25">
        <v>42748</v>
      </c>
      <c r="K206" s="25">
        <v>42753</v>
      </c>
      <c r="L206" s="1" t="s">
        <v>362</v>
      </c>
      <c r="M206" s="1">
        <v>15.76</v>
      </c>
      <c r="N206" s="1">
        <v>15.74</v>
      </c>
      <c r="O206" s="1">
        <f t="shared" si="19"/>
        <v>15.74</v>
      </c>
      <c r="P206" s="7">
        <f t="shared" ref="P206:P224" si="23">+K206+20-1</f>
        <v>42772</v>
      </c>
      <c r="Q206" s="1">
        <v>1734514</v>
      </c>
      <c r="R206" s="36">
        <f t="shared" si="21"/>
        <v>1732312.8401015229</v>
      </c>
      <c r="S206" s="24">
        <v>42767</v>
      </c>
      <c r="T206" s="24">
        <v>42768</v>
      </c>
      <c r="U206" s="297"/>
    </row>
    <row r="207" spans="1:21" s="1" customFormat="1" x14ac:dyDescent="0.25">
      <c r="A207" s="1">
        <v>164</v>
      </c>
      <c r="B207" s="24">
        <v>42751</v>
      </c>
      <c r="C207" s="1">
        <v>499</v>
      </c>
      <c r="E207" s="1">
        <v>3000037861</v>
      </c>
      <c r="F207" s="1" t="s">
        <v>158</v>
      </c>
      <c r="G207" s="1">
        <v>173</v>
      </c>
      <c r="H207" s="1" t="s">
        <v>533</v>
      </c>
      <c r="I207" s="1">
        <v>9499740162</v>
      </c>
      <c r="J207" s="25">
        <v>42741</v>
      </c>
      <c r="K207" s="25">
        <v>42747</v>
      </c>
      <c r="L207" s="1" t="s">
        <v>362</v>
      </c>
      <c r="M207" s="1">
        <v>20</v>
      </c>
      <c r="N207" s="1">
        <v>19.940000000000001</v>
      </c>
      <c r="O207" s="1">
        <f t="shared" si="19"/>
        <v>19.940000000000001</v>
      </c>
      <c r="P207" s="7">
        <f t="shared" si="23"/>
        <v>42766</v>
      </c>
      <c r="Q207" s="1">
        <v>2200000</v>
      </c>
      <c r="R207" s="36">
        <f t="shared" si="21"/>
        <v>2193400</v>
      </c>
      <c r="S207" s="24">
        <v>42767</v>
      </c>
      <c r="T207" s="24">
        <v>42768</v>
      </c>
      <c r="U207" s="297"/>
    </row>
    <row r="208" spans="1:21" s="1" customFormat="1" x14ac:dyDescent="0.25">
      <c r="A208" s="84">
        <v>165</v>
      </c>
      <c r="B208" s="24">
        <v>42751</v>
      </c>
      <c r="C208" s="1">
        <v>499</v>
      </c>
      <c r="E208" s="1">
        <v>3000037861</v>
      </c>
      <c r="F208" s="1" t="s">
        <v>158</v>
      </c>
      <c r="G208" s="1">
        <v>174</v>
      </c>
      <c r="H208" s="1" t="s">
        <v>534</v>
      </c>
      <c r="I208" s="1">
        <v>9499740162</v>
      </c>
      <c r="J208" s="25">
        <v>42742</v>
      </c>
      <c r="K208" s="25">
        <v>42747</v>
      </c>
      <c r="L208" s="1" t="s">
        <v>362</v>
      </c>
      <c r="M208" s="1">
        <v>20</v>
      </c>
      <c r="N208" s="1">
        <v>19.93</v>
      </c>
      <c r="O208" s="1">
        <f t="shared" ref="O208:O235" si="24">IF(N208&gt;M208,M208,N208)</f>
        <v>19.93</v>
      </c>
      <c r="P208" s="7">
        <f t="shared" si="23"/>
        <v>42766</v>
      </c>
      <c r="Q208" s="1">
        <v>2200000</v>
      </c>
      <c r="R208" s="36">
        <f t="shared" si="21"/>
        <v>2192300</v>
      </c>
      <c r="S208" s="24">
        <v>42767</v>
      </c>
      <c r="T208" s="24">
        <v>42768</v>
      </c>
      <c r="U208" s="297"/>
    </row>
    <row r="209" spans="1:21" s="1" customFormat="1" x14ac:dyDescent="0.25">
      <c r="A209" s="1">
        <v>186</v>
      </c>
      <c r="B209" s="24">
        <v>42754</v>
      </c>
      <c r="C209" s="1">
        <v>499</v>
      </c>
      <c r="E209" s="1">
        <v>3000037858</v>
      </c>
      <c r="F209" s="1" t="s">
        <v>158</v>
      </c>
      <c r="G209" s="1">
        <v>178</v>
      </c>
      <c r="H209" s="1" t="s">
        <v>563</v>
      </c>
      <c r="I209" s="1">
        <v>9499740178</v>
      </c>
      <c r="J209" s="25">
        <v>42748</v>
      </c>
      <c r="K209" s="25">
        <v>42753</v>
      </c>
      <c r="L209" s="1" t="s">
        <v>362</v>
      </c>
      <c r="M209" s="1">
        <v>20.18</v>
      </c>
      <c r="N209" s="1">
        <v>20.13</v>
      </c>
      <c r="O209" s="1">
        <f t="shared" si="24"/>
        <v>20.13</v>
      </c>
      <c r="P209" s="7">
        <f t="shared" si="23"/>
        <v>42772</v>
      </c>
      <c r="Q209" s="1">
        <v>2199620</v>
      </c>
      <c r="R209" s="36">
        <f t="shared" si="21"/>
        <v>2194170</v>
      </c>
      <c r="S209" s="24">
        <v>42767</v>
      </c>
      <c r="T209" s="24">
        <v>42768</v>
      </c>
      <c r="U209" s="297"/>
    </row>
    <row r="210" spans="1:21" s="1" customFormat="1" x14ac:dyDescent="0.25">
      <c r="A210" s="84">
        <v>163</v>
      </c>
      <c r="B210" s="24">
        <v>42751</v>
      </c>
      <c r="C210" s="1">
        <v>499</v>
      </c>
      <c r="E210" s="1">
        <v>3000037013</v>
      </c>
      <c r="F210" s="1" t="s">
        <v>430</v>
      </c>
      <c r="G210" s="1">
        <v>79</v>
      </c>
      <c r="H210" s="1" t="s">
        <v>495</v>
      </c>
      <c r="I210" s="1">
        <v>9499740163</v>
      </c>
      <c r="J210" s="25">
        <v>42744</v>
      </c>
      <c r="K210" s="25">
        <v>42747</v>
      </c>
      <c r="L210" s="1" t="s">
        <v>362</v>
      </c>
      <c r="M210" s="1">
        <v>19.670000000000002</v>
      </c>
      <c r="N210" s="1">
        <v>19.59</v>
      </c>
      <c r="O210" s="1">
        <f t="shared" si="24"/>
        <v>19.59</v>
      </c>
      <c r="P210" s="7">
        <f t="shared" si="23"/>
        <v>42766</v>
      </c>
      <c r="Q210" s="1">
        <v>2189271</v>
      </c>
      <c r="R210" s="26">
        <f t="shared" si="21"/>
        <v>2180366.9999999995</v>
      </c>
      <c r="S210" s="24">
        <v>42767</v>
      </c>
      <c r="T210" s="24">
        <v>42773</v>
      </c>
      <c r="U210" s="297"/>
    </row>
    <row r="211" spans="1:21" s="1" customFormat="1" x14ac:dyDescent="0.25">
      <c r="A211" s="1">
        <v>184</v>
      </c>
      <c r="B211" s="24">
        <v>42754</v>
      </c>
      <c r="C211" s="1">
        <v>499</v>
      </c>
      <c r="E211" s="1">
        <v>3000037013</v>
      </c>
      <c r="F211" s="1" t="s">
        <v>430</v>
      </c>
      <c r="G211" s="1">
        <v>80</v>
      </c>
      <c r="H211" s="1" t="s">
        <v>562</v>
      </c>
      <c r="I211" s="1">
        <v>9499740176</v>
      </c>
      <c r="J211" s="25">
        <v>42750</v>
      </c>
      <c r="K211" s="25">
        <v>42753</v>
      </c>
      <c r="L211" s="1" t="s">
        <v>362</v>
      </c>
      <c r="M211" s="1">
        <v>19.454999999999998</v>
      </c>
      <c r="N211" s="1">
        <v>19.41</v>
      </c>
      <c r="O211" s="1">
        <f t="shared" si="24"/>
        <v>19.41</v>
      </c>
      <c r="P211" s="7">
        <f t="shared" si="23"/>
        <v>42772</v>
      </c>
      <c r="Q211" s="1">
        <v>2165342</v>
      </c>
      <c r="R211" s="26">
        <f t="shared" si="21"/>
        <v>2160333.498843485</v>
      </c>
      <c r="S211" s="24">
        <v>42767</v>
      </c>
      <c r="T211" s="24">
        <v>42783</v>
      </c>
      <c r="U211" s="297"/>
    </row>
    <row r="212" spans="1:21" s="1" customFormat="1" x14ac:dyDescent="0.25">
      <c r="A212" s="1">
        <v>170</v>
      </c>
      <c r="B212" s="24">
        <v>42751</v>
      </c>
      <c r="C212" s="1">
        <v>499</v>
      </c>
      <c r="E212" s="1">
        <v>3000037904</v>
      </c>
      <c r="F212" s="1" t="s">
        <v>202</v>
      </c>
      <c r="G212" s="1">
        <v>241</v>
      </c>
      <c r="H212" s="1" t="s">
        <v>539</v>
      </c>
      <c r="I212" s="1">
        <v>9499740164</v>
      </c>
      <c r="J212" s="25">
        <v>42743</v>
      </c>
      <c r="K212" s="25">
        <v>42747</v>
      </c>
      <c r="L212" s="1" t="s">
        <v>362</v>
      </c>
      <c r="M212" s="1">
        <v>20.48</v>
      </c>
      <c r="N212" s="1">
        <v>20.420000000000002</v>
      </c>
      <c r="O212" s="1">
        <f t="shared" si="24"/>
        <v>20.420000000000002</v>
      </c>
      <c r="P212" s="7">
        <f t="shared" si="23"/>
        <v>42766</v>
      </c>
      <c r="Q212" s="1">
        <v>2252800</v>
      </c>
      <c r="R212" s="36">
        <f t="shared" si="21"/>
        <v>2246200</v>
      </c>
      <c r="S212" s="24">
        <v>42767</v>
      </c>
      <c r="T212" s="24">
        <v>42768</v>
      </c>
      <c r="U212" s="297"/>
    </row>
    <row r="213" spans="1:21" s="1" customFormat="1" x14ac:dyDescent="0.25">
      <c r="A213" s="1">
        <v>172</v>
      </c>
      <c r="B213" s="24">
        <v>42751</v>
      </c>
      <c r="C213" s="1">
        <v>499</v>
      </c>
      <c r="E213" s="1">
        <v>3000037862</v>
      </c>
      <c r="F213" s="1" t="s">
        <v>215</v>
      </c>
      <c r="G213" s="1">
        <v>278</v>
      </c>
      <c r="H213" s="1" t="s">
        <v>541</v>
      </c>
      <c r="I213" s="1">
        <v>9499740165</v>
      </c>
      <c r="J213" s="25">
        <v>42743</v>
      </c>
      <c r="K213" s="25">
        <v>42747</v>
      </c>
      <c r="L213" s="1" t="s">
        <v>362</v>
      </c>
      <c r="M213" s="1">
        <v>20.22</v>
      </c>
      <c r="N213" s="1">
        <v>20.149999999999999</v>
      </c>
      <c r="O213" s="1">
        <f t="shared" si="24"/>
        <v>20.149999999999999</v>
      </c>
      <c r="P213" s="7">
        <f t="shared" si="23"/>
        <v>42766</v>
      </c>
      <c r="Q213" s="1">
        <v>2224200</v>
      </c>
      <c r="R213" s="36">
        <f t="shared" si="21"/>
        <v>2216500</v>
      </c>
      <c r="S213" s="24">
        <v>42767</v>
      </c>
      <c r="T213" s="24">
        <v>42768</v>
      </c>
      <c r="U213" s="297"/>
    </row>
    <row r="214" spans="1:21" s="1" customFormat="1" x14ac:dyDescent="0.25">
      <c r="A214" s="1">
        <v>174</v>
      </c>
      <c r="B214" s="24">
        <v>42754</v>
      </c>
      <c r="C214" s="1">
        <v>499</v>
      </c>
      <c r="E214" s="1">
        <v>3000037872</v>
      </c>
      <c r="F214" s="1" t="s">
        <v>456</v>
      </c>
      <c r="G214" s="1">
        <v>75</v>
      </c>
      <c r="H214" s="1" t="s">
        <v>555</v>
      </c>
      <c r="I214" s="1">
        <v>9499740169</v>
      </c>
      <c r="J214" s="25">
        <v>42744</v>
      </c>
      <c r="K214" s="25">
        <v>42749</v>
      </c>
      <c r="L214" s="1" t="s">
        <v>362</v>
      </c>
      <c r="M214" s="1">
        <v>19.79</v>
      </c>
      <c r="N214" s="1">
        <v>19.760000000000002</v>
      </c>
      <c r="O214" s="1">
        <f t="shared" si="24"/>
        <v>19.760000000000002</v>
      </c>
      <c r="P214" s="7">
        <f t="shared" si="23"/>
        <v>42768</v>
      </c>
      <c r="Q214" s="1">
        <v>2176836</v>
      </c>
      <c r="R214" s="36">
        <f t="shared" si="21"/>
        <v>2173536.0970186968</v>
      </c>
      <c r="S214" s="24">
        <v>42767</v>
      </c>
      <c r="T214" s="24">
        <v>42768</v>
      </c>
      <c r="U214" s="297"/>
    </row>
    <row r="215" spans="1:21" s="1" customFormat="1" x14ac:dyDescent="0.25">
      <c r="A215" s="1">
        <v>176</v>
      </c>
      <c r="B215" s="24">
        <v>42754</v>
      </c>
      <c r="C215" s="1">
        <v>499</v>
      </c>
      <c r="E215" s="1">
        <v>3000037902</v>
      </c>
      <c r="F215" s="1" t="s">
        <v>456</v>
      </c>
      <c r="G215" s="1">
        <v>76</v>
      </c>
      <c r="H215" s="1" t="s">
        <v>556</v>
      </c>
      <c r="I215" s="1">
        <v>9499740167</v>
      </c>
      <c r="J215" s="25">
        <v>42744</v>
      </c>
      <c r="K215" s="25">
        <v>42748</v>
      </c>
      <c r="L215" s="1" t="s">
        <v>362</v>
      </c>
      <c r="M215" s="1">
        <v>19.829999999999998</v>
      </c>
      <c r="N215" s="1">
        <v>19.77</v>
      </c>
      <c r="O215" s="1">
        <f t="shared" si="24"/>
        <v>19.77</v>
      </c>
      <c r="P215" s="7">
        <f t="shared" si="23"/>
        <v>42767</v>
      </c>
      <c r="Q215" s="1">
        <v>2181236</v>
      </c>
      <c r="R215" s="36">
        <f t="shared" si="21"/>
        <v>2174636.1936459909</v>
      </c>
      <c r="S215" s="24">
        <v>42767</v>
      </c>
      <c r="T215" s="24">
        <v>42768</v>
      </c>
      <c r="U215" s="297"/>
    </row>
    <row r="216" spans="1:21" s="1" customFormat="1" x14ac:dyDescent="0.25">
      <c r="A216" s="1">
        <v>178</v>
      </c>
      <c r="B216" s="24">
        <v>42754</v>
      </c>
      <c r="C216" s="1">
        <v>499</v>
      </c>
      <c r="E216" s="1">
        <v>3000038108</v>
      </c>
      <c r="F216" s="1" t="s">
        <v>456</v>
      </c>
      <c r="G216" s="1">
        <v>80</v>
      </c>
      <c r="H216" s="1" t="s">
        <v>557</v>
      </c>
      <c r="I216" s="1">
        <v>9499740175</v>
      </c>
      <c r="J216" s="25">
        <v>42748</v>
      </c>
      <c r="K216" s="25">
        <v>42753</v>
      </c>
      <c r="L216" s="1" t="s">
        <v>362</v>
      </c>
      <c r="M216" s="1">
        <v>19.61</v>
      </c>
      <c r="N216" s="1">
        <v>19.579999999999998</v>
      </c>
      <c r="O216" s="1">
        <f t="shared" si="24"/>
        <v>19.579999999999998</v>
      </c>
      <c r="P216" s="7">
        <f t="shared" si="23"/>
        <v>42772</v>
      </c>
      <c r="Q216" s="1">
        <v>2157036</v>
      </c>
      <c r="R216" s="36">
        <f t="shared" si="21"/>
        <v>2153736.0979092298</v>
      </c>
      <c r="S216" s="24">
        <v>42767</v>
      </c>
      <c r="T216" s="24">
        <v>42768</v>
      </c>
      <c r="U216" s="297"/>
    </row>
    <row r="217" spans="1:21" s="1" customFormat="1" x14ac:dyDescent="0.25">
      <c r="A217" s="1">
        <v>190</v>
      </c>
      <c r="B217" s="24">
        <v>42754</v>
      </c>
      <c r="C217" s="1">
        <v>499</v>
      </c>
      <c r="E217" s="1">
        <v>3000038107</v>
      </c>
      <c r="F217" s="1" t="s">
        <v>433</v>
      </c>
      <c r="G217" s="1">
        <v>345</v>
      </c>
      <c r="H217" s="1" t="s">
        <v>565</v>
      </c>
      <c r="I217" s="1">
        <v>9499740177</v>
      </c>
      <c r="J217" s="25">
        <v>42747</v>
      </c>
      <c r="K217" s="25">
        <v>42753</v>
      </c>
      <c r="L217" s="1" t="s">
        <v>362</v>
      </c>
      <c r="M217" s="1">
        <v>19.309999999999999</v>
      </c>
      <c r="N217" s="1">
        <v>19.27</v>
      </c>
      <c r="O217" s="1">
        <f t="shared" si="24"/>
        <v>19.27</v>
      </c>
      <c r="P217" s="7">
        <f t="shared" si="23"/>
        <v>42772</v>
      </c>
      <c r="Q217" s="1">
        <v>2124100</v>
      </c>
      <c r="R217" s="36">
        <f t="shared" si="21"/>
        <v>2119700.0000000005</v>
      </c>
      <c r="S217" s="24">
        <v>42767</v>
      </c>
      <c r="T217" s="24">
        <v>42768</v>
      </c>
      <c r="U217" s="297"/>
    </row>
    <row r="218" spans="1:21" s="1" customFormat="1" x14ac:dyDescent="0.25">
      <c r="A218" s="1">
        <v>188</v>
      </c>
      <c r="B218" s="24">
        <v>42754</v>
      </c>
      <c r="C218" s="1">
        <v>499</v>
      </c>
      <c r="E218" s="1">
        <v>3000037865</v>
      </c>
      <c r="F218" s="1" t="s">
        <v>171</v>
      </c>
      <c r="G218" s="1">
        <v>115</v>
      </c>
      <c r="H218" s="1" t="s">
        <v>564</v>
      </c>
      <c r="I218" s="1">
        <v>9499740172</v>
      </c>
      <c r="J218" s="25">
        <v>42746</v>
      </c>
      <c r="K218" s="25">
        <v>42753</v>
      </c>
      <c r="L218" s="1" t="s">
        <v>362</v>
      </c>
      <c r="M218" s="1">
        <v>15.42</v>
      </c>
      <c r="N218" s="1">
        <v>15.38</v>
      </c>
      <c r="O218" s="1">
        <f t="shared" si="24"/>
        <v>15.38</v>
      </c>
      <c r="P218" s="7">
        <f t="shared" si="23"/>
        <v>42772</v>
      </c>
      <c r="Q218" s="1">
        <v>1711722</v>
      </c>
      <c r="R218" s="36">
        <f t="shared" si="21"/>
        <v>1707281.7354085604</v>
      </c>
      <c r="S218" s="24">
        <v>42767</v>
      </c>
      <c r="T218" s="24">
        <v>42769</v>
      </c>
      <c r="U218" s="297"/>
    </row>
    <row r="219" spans="1:21" s="1" customFormat="1" x14ac:dyDescent="0.25">
      <c r="A219" s="1">
        <v>196</v>
      </c>
      <c r="B219" s="24">
        <v>42754</v>
      </c>
      <c r="C219" s="1">
        <v>499</v>
      </c>
      <c r="E219" s="1">
        <v>3000037865</v>
      </c>
      <c r="F219" s="1" t="s">
        <v>171</v>
      </c>
      <c r="G219" s="1">
        <v>116</v>
      </c>
      <c r="H219" s="1" t="s">
        <v>569</v>
      </c>
      <c r="I219" s="1">
        <v>9499740172</v>
      </c>
      <c r="J219" s="25">
        <v>42746</v>
      </c>
      <c r="K219" s="25">
        <v>42753</v>
      </c>
      <c r="L219" s="1" t="s">
        <v>362</v>
      </c>
      <c r="M219" s="1">
        <v>16.420000000000002</v>
      </c>
      <c r="N219" s="1">
        <v>16.37</v>
      </c>
      <c r="O219" s="1">
        <f t="shared" si="24"/>
        <v>16.37</v>
      </c>
      <c r="P219" s="7">
        <f t="shared" si="23"/>
        <v>42772</v>
      </c>
      <c r="Q219" s="1">
        <v>1822729</v>
      </c>
      <c r="R219" s="36">
        <f t="shared" si="21"/>
        <v>1817178.6680876978</v>
      </c>
      <c r="S219" s="24">
        <v>42767</v>
      </c>
      <c r="T219" s="24">
        <v>42769</v>
      </c>
      <c r="U219" s="297"/>
    </row>
    <row r="220" spans="1:21" s="1" customFormat="1" x14ac:dyDescent="0.25">
      <c r="A220" s="1">
        <v>192</v>
      </c>
      <c r="B220" s="24">
        <v>42754</v>
      </c>
      <c r="C220" s="1">
        <v>499</v>
      </c>
      <c r="E220" s="1">
        <v>3000037005</v>
      </c>
      <c r="F220" s="1" t="s">
        <v>425</v>
      </c>
      <c r="G220" s="1">
        <v>722</v>
      </c>
      <c r="H220" s="1" t="s">
        <v>521</v>
      </c>
      <c r="I220" s="1">
        <v>9499740179</v>
      </c>
      <c r="J220" s="25">
        <v>42750</v>
      </c>
      <c r="K220" s="25">
        <v>42753</v>
      </c>
      <c r="L220" s="1" t="s">
        <v>362</v>
      </c>
      <c r="M220" s="1">
        <v>19.215</v>
      </c>
      <c r="N220" s="1">
        <v>19.11</v>
      </c>
      <c r="O220" s="1">
        <f t="shared" si="24"/>
        <v>19.11</v>
      </c>
      <c r="P220" s="7">
        <f t="shared" si="23"/>
        <v>42772</v>
      </c>
      <c r="Q220" s="1">
        <v>2016422</v>
      </c>
      <c r="R220" s="26">
        <f t="shared" si="21"/>
        <v>2005403.3005464482</v>
      </c>
      <c r="S220" s="24">
        <v>42767</v>
      </c>
      <c r="T220" s="24">
        <v>42773</v>
      </c>
      <c r="U220" s="297"/>
    </row>
    <row r="221" spans="1:21" s="1" customFormat="1" x14ac:dyDescent="0.25">
      <c r="A221" s="1">
        <v>194</v>
      </c>
      <c r="B221" s="24">
        <v>42754</v>
      </c>
      <c r="C221" s="1">
        <v>499</v>
      </c>
      <c r="E221" s="1">
        <v>3000037016</v>
      </c>
      <c r="F221" s="1" t="s">
        <v>199</v>
      </c>
      <c r="G221" s="1">
        <v>5921</v>
      </c>
      <c r="H221" s="1" t="s">
        <v>568</v>
      </c>
      <c r="I221" s="1">
        <v>9499740182</v>
      </c>
      <c r="J221" s="25">
        <v>42750</v>
      </c>
      <c r="K221" s="25">
        <v>42754</v>
      </c>
      <c r="L221" s="1" t="s">
        <v>362</v>
      </c>
      <c r="M221" s="1">
        <v>20.2</v>
      </c>
      <c r="N221" s="1">
        <v>20.16</v>
      </c>
      <c r="O221" s="1">
        <f t="shared" si="24"/>
        <v>20.16</v>
      </c>
      <c r="P221" s="7">
        <f t="shared" si="23"/>
        <v>42773</v>
      </c>
      <c r="Q221" s="1">
        <v>2248260</v>
      </c>
      <c r="R221" s="36">
        <f t="shared" si="21"/>
        <v>2243808</v>
      </c>
      <c r="S221" s="24">
        <v>42767</v>
      </c>
      <c r="T221" s="24">
        <v>42769</v>
      </c>
      <c r="U221" s="297"/>
    </row>
    <row r="222" spans="1:21" s="1" customFormat="1" x14ac:dyDescent="0.25">
      <c r="A222" s="1">
        <v>206</v>
      </c>
      <c r="B222" s="24">
        <v>42765</v>
      </c>
      <c r="C222" s="1">
        <v>499</v>
      </c>
      <c r="E222" s="1">
        <v>3000037008</v>
      </c>
      <c r="F222" s="1" t="s">
        <v>199</v>
      </c>
      <c r="G222" s="1">
        <v>5922</v>
      </c>
      <c r="H222" s="1" t="s">
        <v>574</v>
      </c>
      <c r="I222" s="1">
        <v>9499740183</v>
      </c>
      <c r="J222" s="25">
        <v>42752</v>
      </c>
      <c r="K222" s="25">
        <v>42755</v>
      </c>
      <c r="L222" s="1" t="s">
        <v>362</v>
      </c>
      <c r="M222" s="1">
        <v>20.5</v>
      </c>
      <c r="N222" s="1">
        <v>20.440000000000001</v>
      </c>
      <c r="O222" s="1">
        <f t="shared" si="24"/>
        <v>20.440000000000001</v>
      </c>
      <c r="P222" s="7">
        <f t="shared" si="23"/>
        <v>42774</v>
      </c>
      <c r="Q222" s="1">
        <v>2086080</v>
      </c>
      <c r="R222" s="36">
        <f t="shared" si="21"/>
        <v>2079974.4000000001</v>
      </c>
      <c r="S222" s="24">
        <v>42767</v>
      </c>
      <c r="T222" s="24">
        <v>42769</v>
      </c>
      <c r="U222" s="297"/>
    </row>
    <row r="223" spans="1:21" s="1" customFormat="1" x14ac:dyDescent="0.25">
      <c r="A223" s="1">
        <v>208</v>
      </c>
      <c r="B223" s="24">
        <v>42765</v>
      </c>
      <c r="C223" s="1">
        <v>499</v>
      </c>
      <c r="E223" s="1">
        <v>3000037009</v>
      </c>
      <c r="F223" s="1" t="s">
        <v>199</v>
      </c>
      <c r="G223" s="1">
        <v>5924</v>
      </c>
      <c r="H223" s="1" t="s">
        <v>575</v>
      </c>
      <c r="I223" s="1">
        <v>9499740184</v>
      </c>
      <c r="J223" s="25">
        <v>42753</v>
      </c>
      <c r="K223" s="25">
        <v>42756</v>
      </c>
      <c r="L223" s="1" t="s">
        <v>362</v>
      </c>
      <c r="M223" s="1">
        <v>19.43</v>
      </c>
      <c r="N223" s="1">
        <v>19.38</v>
      </c>
      <c r="O223" s="1">
        <f t="shared" si="24"/>
        <v>19.38</v>
      </c>
      <c r="P223" s="7">
        <f t="shared" si="23"/>
        <v>42775</v>
      </c>
      <c r="Q223" s="1">
        <v>1987495</v>
      </c>
      <c r="R223" s="36">
        <f t="shared" si="21"/>
        <v>1982380.4992279978</v>
      </c>
      <c r="S223" s="24">
        <v>42767</v>
      </c>
      <c r="T223" s="24">
        <v>42769</v>
      </c>
      <c r="U223" s="297"/>
    </row>
    <row r="224" spans="1:21" s="1" customFormat="1" x14ac:dyDescent="0.25">
      <c r="A224" s="1">
        <v>210</v>
      </c>
      <c r="B224" s="24">
        <v>42765</v>
      </c>
      <c r="C224" s="1">
        <v>499</v>
      </c>
      <c r="E224" s="1">
        <v>3000037009</v>
      </c>
      <c r="F224" s="1" t="s">
        <v>199</v>
      </c>
      <c r="G224" s="1">
        <v>5925</v>
      </c>
      <c r="H224" s="1" t="s">
        <v>576</v>
      </c>
      <c r="I224" s="1">
        <v>9499740185</v>
      </c>
      <c r="J224" s="25">
        <v>42754</v>
      </c>
      <c r="K224" s="25">
        <v>42757</v>
      </c>
      <c r="L224" s="1" t="s">
        <v>362</v>
      </c>
      <c r="M224" s="1">
        <v>19.809999999999999</v>
      </c>
      <c r="N224" s="1">
        <v>19.86</v>
      </c>
      <c r="O224" s="1">
        <f t="shared" si="24"/>
        <v>19.809999999999999</v>
      </c>
      <c r="P224" s="7">
        <f t="shared" si="23"/>
        <v>42776</v>
      </c>
      <c r="Q224" s="1">
        <v>2026365</v>
      </c>
      <c r="R224" s="36">
        <f t="shared" si="21"/>
        <v>2026365</v>
      </c>
      <c r="S224" s="24">
        <v>42767</v>
      </c>
      <c r="T224" s="24">
        <v>42769</v>
      </c>
      <c r="U224" s="297"/>
    </row>
    <row r="225" spans="1:22" s="21" customFormat="1" x14ac:dyDescent="0.25">
      <c r="A225" s="21">
        <v>222</v>
      </c>
      <c r="B225" s="51">
        <v>42768</v>
      </c>
      <c r="C225" s="21">
        <v>499</v>
      </c>
      <c r="E225" s="21">
        <v>3000037826</v>
      </c>
      <c r="F225" s="21" t="s">
        <v>430</v>
      </c>
      <c r="G225" s="21">
        <v>82</v>
      </c>
      <c r="H225" s="1" t="s">
        <v>521</v>
      </c>
      <c r="I225" s="1">
        <v>9499740193</v>
      </c>
      <c r="J225" s="52">
        <v>42760</v>
      </c>
      <c r="K225" s="52">
        <v>42763</v>
      </c>
      <c r="L225" s="21" t="s">
        <v>362</v>
      </c>
      <c r="M225" s="21">
        <v>19.600000000000001</v>
      </c>
      <c r="N225" s="21">
        <v>19.559999999999999</v>
      </c>
      <c r="O225" s="21">
        <f t="shared" si="24"/>
        <v>19.559999999999999</v>
      </c>
      <c r="P225" s="22">
        <f>+K225+7-1</f>
        <v>42769</v>
      </c>
      <c r="Q225" s="21">
        <v>2264584</v>
      </c>
      <c r="R225" s="36">
        <f t="shared" si="21"/>
        <v>2259962.3999999994</v>
      </c>
      <c r="S225" s="21">
        <f>Q225-R225</f>
        <v>4621.6000000005588</v>
      </c>
      <c r="T225" s="263">
        <v>42775</v>
      </c>
    </row>
    <row r="226" spans="1:22" s="21" customFormat="1" x14ac:dyDescent="0.25">
      <c r="A226" s="21">
        <v>214</v>
      </c>
      <c r="B226" s="51">
        <v>42765</v>
      </c>
      <c r="C226" s="21">
        <v>499</v>
      </c>
      <c r="E226" s="21">
        <v>3000038158</v>
      </c>
      <c r="F226" s="21" t="s">
        <v>456</v>
      </c>
      <c r="G226" s="21">
        <v>84</v>
      </c>
      <c r="H226" s="1" t="s">
        <v>578</v>
      </c>
      <c r="I226" s="1">
        <v>9499740186</v>
      </c>
      <c r="J226" s="52">
        <v>42752</v>
      </c>
      <c r="K226" s="52">
        <v>42758</v>
      </c>
      <c r="L226" s="21" t="s">
        <v>362</v>
      </c>
      <c r="M226" s="21">
        <v>20.13</v>
      </c>
      <c r="N226" s="21">
        <v>20.11</v>
      </c>
      <c r="O226" s="21">
        <f t="shared" si="24"/>
        <v>20.11</v>
      </c>
      <c r="P226" s="22">
        <f t="shared" ref="P226:P233" si="25">+K226+20-1</f>
        <v>42777</v>
      </c>
      <c r="Q226" s="21">
        <v>2375210</v>
      </c>
      <c r="R226" s="36">
        <f t="shared" si="21"/>
        <v>2372850.1291604573</v>
      </c>
      <c r="S226" s="312">
        <f>Q226-R226</f>
        <v>2359.8708395427093</v>
      </c>
      <c r="T226" s="263">
        <v>42775</v>
      </c>
    </row>
    <row r="227" spans="1:22" s="21" customFormat="1" x14ac:dyDescent="0.25">
      <c r="A227" s="21">
        <v>224</v>
      </c>
      <c r="B227" s="51">
        <v>42768</v>
      </c>
      <c r="C227" s="21">
        <v>499</v>
      </c>
      <c r="E227" s="21">
        <v>3000038163</v>
      </c>
      <c r="F227" s="21" t="s">
        <v>158</v>
      </c>
      <c r="G227" s="296" t="s">
        <v>586</v>
      </c>
      <c r="H227" s="1" t="s">
        <v>587</v>
      </c>
      <c r="I227" s="1">
        <v>9499740188</v>
      </c>
      <c r="J227" s="52">
        <v>42765</v>
      </c>
      <c r="K227" s="52">
        <v>42758</v>
      </c>
      <c r="L227" s="21" t="s">
        <v>362</v>
      </c>
      <c r="O227" s="21">
        <f t="shared" si="24"/>
        <v>0</v>
      </c>
      <c r="P227" s="22">
        <f t="shared" si="25"/>
        <v>42777</v>
      </c>
      <c r="Q227" s="21">
        <v>8770</v>
      </c>
      <c r="R227" s="36"/>
    </row>
    <row r="228" spans="1:22" s="21" customFormat="1" x14ac:dyDescent="0.25">
      <c r="A228" s="21">
        <v>226</v>
      </c>
      <c r="B228" s="51">
        <v>42768</v>
      </c>
      <c r="C228" s="21">
        <v>499</v>
      </c>
      <c r="E228" s="21">
        <v>3000038163</v>
      </c>
      <c r="F228" s="21" t="s">
        <v>158</v>
      </c>
      <c r="G228" s="296">
        <v>179</v>
      </c>
      <c r="H228" s="1" t="s">
        <v>587</v>
      </c>
      <c r="I228" s="1">
        <v>9499740188</v>
      </c>
      <c r="J228" s="52">
        <v>42752</v>
      </c>
      <c r="K228" s="52">
        <v>42758</v>
      </c>
      <c r="L228" s="21" t="s">
        <v>362</v>
      </c>
      <c r="M228" s="21">
        <v>20.21</v>
      </c>
      <c r="N228" s="21">
        <v>20.16</v>
      </c>
      <c r="O228" s="21">
        <f t="shared" si="24"/>
        <v>20.16</v>
      </c>
      <c r="P228" s="22">
        <f t="shared" si="25"/>
        <v>42777</v>
      </c>
      <c r="Q228" s="21">
        <v>2384780</v>
      </c>
      <c r="R228" s="36">
        <f>(+Q228/M228*O228)-8770</f>
        <v>2370110</v>
      </c>
      <c r="S228" s="312">
        <f>Q228-R228</f>
        <v>14670</v>
      </c>
      <c r="T228" s="263">
        <v>42775</v>
      </c>
      <c r="U228" s="21">
        <v>5900</v>
      </c>
    </row>
    <row r="229" spans="1:22" s="21" customFormat="1" x14ac:dyDescent="0.25">
      <c r="A229" s="21">
        <v>228</v>
      </c>
      <c r="B229" s="51">
        <v>42768</v>
      </c>
      <c r="C229" s="21">
        <v>499</v>
      </c>
      <c r="E229" s="21">
        <v>3000038108</v>
      </c>
      <c r="F229" s="21" t="s">
        <v>456</v>
      </c>
      <c r="G229" s="296" t="s">
        <v>588</v>
      </c>
      <c r="H229" s="1" t="s">
        <v>589</v>
      </c>
      <c r="I229" s="1">
        <v>9499740187</v>
      </c>
      <c r="J229" s="52">
        <v>42765</v>
      </c>
      <c r="K229" s="52">
        <v>42758</v>
      </c>
      <c r="L229" s="21" t="s">
        <v>362</v>
      </c>
      <c r="O229" s="21">
        <f t="shared" si="24"/>
        <v>0</v>
      </c>
      <c r="P229" s="22">
        <f t="shared" si="25"/>
        <v>42777</v>
      </c>
      <c r="Q229" s="21">
        <v>35532</v>
      </c>
      <c r="R229" s="36"/>
    </row>
    <row r="230" spans="1:22" s="21" customFormat="1" x14ac:dyDescent="0.25">
      <c r="A230" s="21">
        <v>230</v>
      </c>
      <c r="B230" s="51">
        <v>42768</v>
      </c>
      <c r="C230" s="21">
        <v>499</v>
      </c>
      <c r="E230" s="21">
        <v>3000038108</v>
      </c>
      <c r="F230" s="21" t="s">
        <v>456</v>
      </c>
      <c r="G230" s="296">
        <v>85</v>
      </c>
      <c r="H230" s="1" t="s">
        <v>589</v>
      </c>
      <c r="I230" s="1">
        <v>9499740187</v>
      </c>
      <c r="J230" s="52">
        <v>42752</v>
      </c>
      <c r="K230" s="52">
        <v>42758</v>
      </c>
      <c r="L230" s="21" t="s">
        <v>362</v>
      </c>
      <c r="M230" s="21">
        <v>19.350000000000001</v>
      </c>
      <c r="N230" s="21">
        <v>19.29</v>
      </c>
      <c r="O230" s="21">
        <f t="shared" si="24"/>
        <v>19.29</v>
      </c>
      <c r="P230" s="22">
        <f t="shared" si="25"/>
        <v>42777</v>
      </c>
      <c r="Q230" s="21">
        <v>2128438</v>
      </c>
      <c r="R230" s="36">
        <f>(+Q230/M230*O230)-35532</f>
        <v>2086306.1922480618</v>
      </c>
      <c r="S230" s="313"/>
      <c r="T230" s="263">
        <v>42775</v>
      </c>
      <c r="U230" s="312"/>
      <c r="V230" s="21">
        <v>7080</v>
      </c>
    </row>
    <row r="231" spans="1:22" s="21" customFormat="1" x14ac:dyDescent="0.25">
      <c r="A231" s="21">
        <v>198</v>
      </c>
      <c r="B231" s="51">
        <v>42765</v>
      </c>
      <c r="C231" s="21">
        <v>499</v>
      </c>
      <c r="E231" s="21">
        <v>3000037875</v>
      </c>
      <c r="F231" s="21" t="s">
        <v>430</v>
      </c>
      <c r="G231" s="21">
        <v>81</v>
      </c>
      <c r="H231" s="1" t="s">
        <v>495</v>
      </c>
      <c r="I231" s="1">
        <v>9499740192</v>
      </c>
      <c r="J231" s="52">
        <v>42755</v>
      </c>
      <c r="K231" s="52">
        <v>42759</v>
      </c>
      <c r="L231" s="21" t="s">
        <v>362</v>
      </c>
      <c r="M231" s="21">
        <v>19.79</v>
      </c>
      <c r="N231" s="21">
        <v>19.71</v>
      </c>
      <c r="O231" s="21">
        <f t="shared" si="24"/>
        <v>19.71</v>
      </c>
      <c r="P231" s="22">
        <f t="shared" si="25"/>
        <v>42778</v>
      </c>
      <c r="Q231" s="21">
        <v>2307514</v>
      </c>
      <c r="R231" s="36">
        <f t="shared" ref="R231:R239" si="26">(+Q231/M231*O231)</f>
        <v>2298186</v>
      </c>
      <c r="S231" s="312">
        <f t="shared" ref="S231:S238" si="27">Q231-R231</f>
        <v>9328</v>
      </c>
      <c r="T231" s="263">
        <v>42775</v>
      </c>
    </row>
    <row r="232" spans="1:22" s="21" customFormat="1" x14ac:dyDescent="0.25">
      <c r="A232" s="21">
        <v>200</v>
      </c>
      <c r="B232" s="51">
        <v>42765</v>
      </c>
      <c r="C232" s="21">
        <v>499</v>
      </c>
      <c r="E232" s="21">
        <v>3000037012</v>
      </c>
      <c r="F232" s="21" t="s">
        <v>425</v>
      </c>
      <c r="G232" s="21">
        <v>727</v>
      </c>
      <c r="H232" s="1" t="s">
        <v>426</v>
      </c>
      <c r="I232" s="1">
        <v>9499740191</v>
      </c>
      <c r="J232" s="52">
        <v>42757</v>
      </c>
      <c r="K232" s="52">
        <v>42759</v>
      </c>
      <c r="L232" s="21" t="s">
        <v>362</v>
      </c>
      <c r="M232" s="21">
        <v>18.524999999999999</v>
      </c>
      <c r="N232" s="21">
        <v>18.48</v>
      </c>
      <c r="O232" s="21">
        <f t="shared" si="24"/>
        <v>18.48</v>
      </c>
      <c r="P232" s="22">
        <f t="shared" si="25"/>
        <v>42778</v>
      </c>
      <c r="Q232" s="21">
        <v>1934196</v>
      </c>
      <c r="R232" s="36">
        <f t="shared" si="26"/>
        <v>1929497.548178138</v>
      </c>
      <c r="S232" s="312">
        <f t="shared" si="27"/>
        <v>4698.4518218620215</v>
      </c>
      <c r="T232" s="263">
        <v>42775</v>
      </c>
    </row>
    <row r="233" spans="1:22" s="21" customFormat="1" x14ac:dyDescent="0.25">
      <c r="A233" s="21">
        <v>216</v>
      </c>
      <c r="B233" s="51">
        <v>42765</v>
      </c>
      <c r="C233" s="21">
        <v>499</v>
      </c>
      <c r="E233" s="21">
        <v>3000038108</v>
      </c>
      <c r="F233" s="21" t="s">
        <v>456</v>
      </c>
      <c r="G233" s="21">
        <v>88</v>
      </c>
      <c r="H233" s="1" t="s">
        <v>503</v>
      </c>
      <c r="I233" s="1">
        <v>9499740190</v>
      </c>
      <c r="J233" s="52">
        <v>42755</v>
      </c>
      <c r="K233" s="52">
        <v>42759</v>
      </c>
      <c r="L233" s="21" t="s">
        <v>362</v>
      </c>
      <c r="M233" s="21">
        <v>19.274999999999999</v>
      </c>
      <c r="N233" s="21">
        <v>19.3</v>
      </c>
      <c r="O233" s="21">
        <f t="shared" si="24"/>
        <v>19.274999999999999</v>
      </c>
      <c r="P233" s="22">
        <f t="shared" si="25"/>
        <v>42778</v>
      </c>
      <c r="Q233" s="21">
        <v>2120188</v>
      </c>
      <c r="R233" s="36">
        <f t="shared" si="26"/>
        <v>2120188</v>
      </c>
      <c r="S233" s="312">
        <f t="shared" si="27"/>
        <v>0</v>
      </c>
      <c r="T233" s="263">
        <v>42775</v>
      </c>
    </row>
    <row r="234" spans="1:22" s="21" customFormat="1" x14ac:dyDescent="0.25">
      <c r="A234" s="21">
        <v>234</v>
      </c>
      <c r="B234" s="51">
        <v>42772</v>
      </c>
      <c r="C234" s="21">
        <v>499</v>
      </c>
      <c r="E234" s="21">
        <v>3000038653</v>
      </c>
      <c r="F234" s="21" t="s">
        <v>430</v>
      </c>
      <c r="G234" s="21">
        <v>83</v>
      </c>
      <c r="H234" s="1"/>
      <c r="I234" s="1"/>
      <c r="J234" s="52">
        <v>42764</v>
      </c>
      <c r="K234" s="52">
        <v>42768</v>
      </c>
      <c r="L234" s="21" t="s">
        <v>362</v>
      </c>
      <c r="M234" s="21">
        <v>19.440000000000001</v>
      </c>
      <c r="N234" s="21">
        <v>19.38</v>
      </c>
      <c r="O234" s="21">
        <f t="shared" si="24"/>
        <v>19.38</v>
      </c>
      <c r="P234" s="22">
        <f>+K234+7-1</f>
        <v>42774</v>
      </c>
      <c r="Q234" s="266">
        <v>2246098</v>
      </c>
      <c r="R234" s="36">
        <f t="shared" si="26"/>
        <v>2239165.5987654319</v>
      </c>
      <c r="S234" s="312">
        <f t="shared" si="27"/>
        <v>6932.4012345680967</v>
      </c>
      <c r="T234" s="263">
        <v>42775</v>
      </c>
    </row>
    <row r="235" spans="1:22" s="21" customFormat="1" x14ac:dyDescent="0.25">
      <c r="A235" s="21">
        <v>236</v>
      </c>
      <c r="B235" s="51">
        <v>42772</v>
      </c>
      <c r="C235" s="21">
        <v>499</v>
      </c>
      <c r="E235" s="21">
        <v>3000038654</v>
      </c>
      <c r="F235" s="21" t="s">
        <v>425</v>
      </c>
      <c r="G235" s="21">
        <v>730</v>
      </c>
      <c r="H235" s="1"/>
      <c r="I235" s="1"/>
      <c r="J235" s="52">
        <v>42765</v>
      </c>
      <c r="K235" s="52">
        <v>42768</v>
      </c>
      <c r="L235" s="21" t="s">
        <v>362</v>
      </c>
      <c r="M235" s="21">
        <v>18.945</v>
      </c>
      <c r="N235" s="21">
        <v>18.88</v>
      </c>
      <c r="O235" s="21">
        <f t="shared" si="24"/>
        <v>18.88</v>
      </c>
      <c r="P235" s="22">
        <f t="shared" ref="P235:P256" si="28">+K235+20-1</f>
        <v>42787</v>
      </c>
      <c r="Q235" s="266">
        <v>1978047</v>
      </c>
      <c r="R235" s="36">
        <f t="shared" si="26"/>
        <v>1971260.3515439429</v>
      </c>
      <c r="S235" s="312">
        <f t="shared" si="27"/>
        <v>6786.648456057068</v>
      </c>
      <c r="T235" s="263">
        <v>42775</v>
      </c>
    </row>
    <row r="236" spans="1:22" s="1" customFormat="1" x14ac:dyDescent="0.25">
      <c r="A236" s="1">
        <v>242</v>
      </c>
      <c r="B236" s="24">
        <v>42775</v>
      </c>
      <c r="C236" s="21">
        <v>499</v>
      </c>
      <c r="D236" s="21"/>
      <c r="E236" s="1">
        <v>3000037825</v>
      </c>
      <c r="F236" s="1" t="s">
        <v>430</v>
      </c>
      <c r="G236" s="1">
        <v>85</v>
      </c>
      <c r="H236" s="1" t="s">
        <v>495</v>
      </c>
      <c r="I236" s="1">
        <v>9499740199</v>
      </c>
      <c r="J236" s="270">
        <v>42771</v>
      </c>
      <c r="K236" s="25">
        <v>42774</v>
      </c>
      <c r="L236" s="25" t="s">
        <v>362</v>
      </c>
      <c r="M236" s="1">
        <v>19.555</v>
      </c>
      <c r="N236" s="1">
        <v>19.52</v>
      </c>
      <c r="O236" s="1">
        <v>19.52</v>
      </c>
      <c r="P236" s="22">
        <f t="shared" si="28"/>
        <v>42793</v>
      </c>
      <c r="Q236" s="266">
        <v>2259385</v>
      </c>
      <c r="R236" s="36">
        <f t="shared" si="26"/>
        <v>2255341.099463053</v>
      </c>
      <c r="S236" s="312">
        <f t="shared" si="27"/>
        <v>4043.9005369469523</v>
      </c>
      <c r="T236" s="263">
        <v>42783</v>
      </c>
    </row>
    <row r="237" spans="1:22" s="1" customFormat="1" x14ac:dyDescent="0.25">
      <c r="A237" s="5">
        <v>243</v>
      </c>
      <c r="B237" s="204">
        <v>42783</v>
      </c>
      <c r="C237" s="5">
        <v>499</v>
      </c>
      <c r="D237" s="1">
        <v>99</v>
      </c>
      <c r="E237" s="1">
        <v>3000037905</v>
      </c>
      <c r="F237" s="1" t="s">
        <v>430</v>
      </c>
      <c r="G237" s="21">
        <v>87</v>
      </c>
      <c r="H237" s="1" t="s">
        <v>625</v>
      </c>
      <c r="I237" s="1">
        <v>9499740203</v>
      </c>
      <c r="J237" s="204">
        <v>42775</v>
      </c>
      <c r="K237" s="204">
        <v>42780</v>
      </c>
      <c r="L237" s="5" t="s">
        <v>362</v>
      </c>
      <c r="M237" s="1">
        <v>19.335000000000001</v>
      </c>
      <c r="N237" s="1">
        <v>19.3</v>
      </c>
      <c r="O237" s="1">
        <f>IF(N237&gt;M237,M237,N237)</f>
        <v>19.3</v>
      </c>
      <c r="P237" s="7">
        <f t="shared" si="28"/>
        <v>42799</v>
      </c>
      <c r="Q237" s="225">
        <v>2254461</v>
      </c>
      <c r="R237" s="305">
        <f t="shared" si="26"/>
        <v>2250380</v>
      </c>
      <c r="S237" s="314">
        <f t="shared" si="27"/>
        <v>4081</v>
      </c>
      <c r="T237" s="263">
        <v>42789</v>
      </c>
    </row>
    <row r="238" spans="1:22" s="1" customFormat="1" x14ac:dyDescent="0.25">
      <c r="A238" s="5">
        <v>249</v>
      </c>
      <c r="B238" s="204">
        <v>42787</v>
      </c>
      <c r="C238" s="5">
        <v>499</v>
      </c>
      <c r="D238" s="1">
        <v>105</v>
      </c>
      <c r="E238" s="1">
        <v>3000037905</v>
      </c>
      <c r="F238" s="1" t="s">
        <v>430</v>
      </c>
      <c r="G238" s="21">
        <v>90</v>
      </c>
      <c r="H238" s="1" t="s">
        <v>495</v>
      </c>
      <c r="I238" s="1">
        <v>9499740208</v>
      </c>
      <c r="J238" s="204">
        <v>42781</v>
      </c>
      <c r="K238" s="204">
        <v>42784</v>
      </c>
      <c r="L238" s="5" t="s">
        <v>362</v>
      </c>
      <c r="M238" s="1">
        <v>19.670000000000002</v>
      </c>
      <c r="N238" s="1">
        <v>19.649999999999999</v>
      </c>
      <c r="O238" s="1">
        <f>IF(N238&gt;M238,M238,N238)</f>
        <v>19.649999999999999</v>
      </c>
      <c r="P238" s="7">
        <f t="shared" si="28"/>
        <v>42803</v>
      </c>
      <c r="Q238" s="225">
        <v>2293522</v>
      </c>
      <c r="R238" s="305">
        <f t="shared" si="26"/>
        <v>2291189.9999999995</v>
      </c>
      <c r="S238" s="314">
        <f t="shared" si="27"/>
        <v>2332.0000000004657</v>
      </c>
      <c r="T238" s="263">
        <v>42789</v>
      </c>
    </row>
    <row r="239" spans="1:22" x14ac:dyDescent="0.25">
      <c r="A239" s="5">
        <v>241</v>
      </c>
      <c r="B239" s="204">
        <v>42779</v>
      </c>
      <c r="C239" s="21">
        <v>499</v>
      </c>
      <c r="D239" s="21"/>
      <c r="E239" s="5">
        <v>3000037096</v>
      </c>
      <c r="F239" s="5" t="s">
        <v>433</v>
      </c>
      <c r="G239" s="5">
        <v>374</v>
      </c>
      <c r="H239" s="5" t="s">
        <v>400</v>
      </c>
      <c r="I239" s="1">
        <v>9499740206</v>
      </c>
      <c r="J239" s="270">
        <v>42771</v>
      </c>
      <c r="K239" s="204">
        <v>42775</v>
      </c>
      <c r="L239" s="204" t="s">
        <v>362</v>
      </c>
      <c r="M239" s="5">
        <v>19.45</v>
      </c>
      <c r="N239" s="5">
        <v>19.43</v>
      </c>
      <c r="O239" s="5">
        <v>19.43</v>
      </c>
      <c r="P239" s="22">
        <f t="shared" si="28"/>
        <v>42794</v>
      </c>
      <c r="Q239" s="266">
        <v>1536551</v>
      </c>
      <c r="R239" s="36">
        <f t="shared" si="26"/>
        <v>1534970.9989717223</v>
      </c>
      <c r="S239" s="305"/>
      <c r="T239" s="24">
        <v>42781</v>
      </c>
    </row>
    <row r="240" spans="1:22" s="1" customFormat="1" x14ac:dyDescent="0.25">
      <c r="A240" s="1">
        <v>232</v>
      </c>
      <c r="B240" s="24">
        <v>42772</v>
      </c>
      <c r="C240" s="21">
        <v>499</v>
      </c>
      <c r="D240" s="1">
        <v>92</v>
      </c>
      <c r="E240" s="1">
        <v>3000038665</v>
      </c>
      <c r="F240" s="1" t="s">
        <v>600</v>
      </c>
      <c r="G240" s="21">
        <v>138</v>
      </c>
      <c r="J240" s="25">
        <v>42763</v>
      </c>
      <c r="K240" s="25">
        <v>42768</v>
      </c>
      <c r="L240" s="1" t="s">
        <v>362</v>
      </c>
      <c r="M240" s="1">
        <v>19.989999999999998</v>
      </c>
      <c r="N240" s="1">
        <v>19.920000000000002</v>
      </c>
      <c r="O240" s="1">
        <v>19.920000000000002</v>
      </c>
      <c r="P240" s="22">
        <f t="shared" si="28"/>
        <v>42787</v>
      </c>
      <c r="Q240" s="225">
        <v>2198900</v>
      </c>
      <c r="R240" s="225">
        <v>2191200</v>
      </c>
      <c r="S240" s="24">
        <v>42789</v>
      </c>
      <c r="T240" s="24">
        <v>42793</v>
      </c>
    </row>
    <row r="241" spans="1:20" s="1" customFormat="1" x14ac:dyDescent="0.25">
      <c r="A241" s="1">
        <v>238</v>
      </c>
      <c r="B241" s="24">
        <v>42773</v>
      </c>
      <c r="C241" s="21">
        <v>499</v>
      </c>
      <c r="D241" s="1">
        <v>93</v>
      </c>
      <c r="E241" s="1">
        <v>3000036726</v>
      </c>
      <c r="F241" s="1" t="s">
        <v>201</v>
      </c>
      <c r="G241" s="21">
        <v>327</v>
      </c>
      <c r="J241" s="25">
        <v>42762</v>
      </c>
      <c r="K241" s="25">
        <v>42769</v>
      </c>
      <c r="L241" s="1" t="s">
        <v>362</v>
      </c>
      <c r="M241" s="1">
        <v>19.7</v>
      </c>
      <c r="N241" s="1">
        <v>19.66</v>
      </c>
      <c r="O241" s="1">
        <v>19.66</v>
      </c>
      <c r="P241" s="22">
        <f t="shared" si="28"/>
        <v>42788</v>
      </c>
      <c r="Q241" s="225">
        <v>1951127.4</v>
      </c>
      <c r="R241" s="225">
        <v>1947165</v>
      </c>
      <c r="S241" s="24">
        <v>42789</v>
      </c>
      <c r="T241" s="24">
        <v>42793</v>
      </c>
    </row>
    <row r="242" spans="1:20" s="1" customFormat="1" x14ac:dyDescent="0.25">
      <c r="A242" s="1">
        <v>240</v>
      </c>
      <c r="B242" s="24">
        <v>42775</v>
      </c>
      <c r="C242" s="1">
        <v>499</v>
      </c>
      <c r="D242" s="1">
        <v>94</v>
      </c>
      <c r="E242" s="1">
        <v>3000037874</v>
      </c>
      <c r="F242" s="1" t="s">
        <v>201</v>
      </c>
      <c r="G242" s="21">
        <v>330</v>
      </c>
      <c r="J242" s="25">
        <v>42766</v>
      </c>
      <c r="K242" s="25">
        <v>42773</v>
      </c>
      <c r="L242" s="1" t="s">
        <v>362</v>
      </c>
      <c r="M242" s="1">
        <v>12.94</v>
      </c>
      <c r="N242" s="1">
        <v>12.92</v>
      </c>
      <c r="O242" s="1">
        <v>12.92</v>
      </c>
      <c r="P242" s="22">
        <f t="shared" si="28"/>
        <v>42792</v>
      </c>
      <c r="Q242" s="1">
        <v>1424150.52</v>
      </c>
      <c r="R242" s="225">
        <v>1421949</v>
      </c>
      <c r="S242" s="24">
        <v>42789</v>
      </c>
      <c r="T242" s="24">
        <v>42793</v>
      </c>
    </row>
    <row r="243" spans="1:20" s="1" customFormat="1" x14ac:dyDescent="0.25">
      <c r="A243" s="5">
        <v>247</v>
      </c>
      <c r="B243" s="204">
        <v>42787</v>
      </c>
      <c r="C243" s="5">
        <v>499</v>
      </c>
      <c r="D243" s="1">
        <v>103</v>
      </c>
      <c r="E243" s="1">
        <v>3000037311</v>
      </c>
      <c r="F243" s="1" t="s">
        <v>616</v>
      </c>
      <c r="G243" s="21">
        <v>5954</v>
      </c>
      <c r="H243" s="1" t="s">
        <v>633</v>
      </c>
      <c r="I243" s="1">
        <v>9499740207</v>
      </c>
      <c r="J243" s="204">
        <v>42780</v>
      </c>
      <c r="K243" s="204">
        <v>42784</v>
      </c>
      <c r="L243" s="5" t="s">
        <v>362</v>
      </c>
      <c r="M243" s="1">
        <v>19.024999999999999</v>
      </c>
      <c r="N243" s="1">
        <v>19</v>
      </c>
      <c r="O243" s="1">
        <v>19</v>
      </c>
      <c r="P243" s="22">
        <f t="shared" si="28"/>
        <v>42803</v>
      </c>
      <c r="Q243" s="225">
        <v>2238482</v>
      </c>
      <c r="R243" s="266">
        <v>2235540</v>
      </c>
      <c r="S243" s="24">
        <v>42789</v>
      </c>
      <c r="T243" s="24">
        <v>42793</v>
      </c>
    </row>
    <row r="244" spans="1:20" x14ac:dyDescent="0.25">
      <c r="A244" s="311">
        <v>242</v>
      </c>
      <c r="B244" s="272">
        <v>42779</v>
      </c>
      <c r="C244" s="311">
        <v>499</v>
      </c>
      <c r="D244" s="311">
        <v>96</v>
      </c>
      <c r="E244" s="311">
        <v>3000038863</v>
      </c>
      <c r="F244" s="311" t="s">
        <v>616</v>
      </c>
      <c r="G244" s="320">
        <v>5946</v>
      </c>
      <c r="H244" s="91"/>
      <c r="I244" s="91"/>
      <c r="J244" s="272">
        <v>42771</v>
      </c>
      <c r="K244" s="272">
        <v>42774</v>
      </c>
      <c r="L244" s="311" t="s">
        <v>362</v>
      </c>
      <c r="M244" s="311">
        <v>20.36</v>
      </c>
      <c r="N244" s="311">
        <v>20.32</v>
      </c>
      <c r="O244" s="311">
        <v>20.32</v>
      </c>
      <c r="P244" s="22">
        <f t="shared" si="28"/>
        <v>42793</v>
      </c>
      <c r="Q244" s="315">
        <v>2266068</v>
      </c>
      <c r="R244" s="319">
        <v>2261616</v>
      </c>
      <c r="S244" s="24">
        <v>42789</v>
      </c>
      <c r="T244" s="24">
        <v>42793</v>
      </c>
    </row>
    <row r="245" spans="1:20" s="1" customFormat="1" x14ac:dyDescent="0.25">
      <c r="A245" s="5">
        <v>244</v>
      </c>
      <c r="B245" s="204">
        <v>42783</v>
      </c>
      <c r="C245" s="5">
        <v>499</v>
      </c>
      <c r="D245" s="1">
        <v>98</v>
      </c>
      <c r="E245" s="1">
        <v>3000037311</v>
      </c>
      <c r="F245" s="1" t="s">
        <v>616</v>
      </c>
      <c r="G245" s="21">
        <v>5947</v>
      </c>
      <c r="H245" s="1" t="s">
        <v>576</v>
      </c>
      <c r="I245" s="1">
        <v>9499740202</v>
      </c>
      <c r="J245" s="204">
        <v>42774</v>
      </c>
      <c r="K245" s="204">
        <v>42780</v>
      </c>
      <c r="L245" s="5" t="s">
        <v>362</v>
      </c>
      <c r="M245" s="1">
        <v>20.03</v>
      </c>
      <c r="N245" s="1">
        <v>19.87</v>
      </c>
      <c r="O245" s="1">
        <v>19.87</v>
      </c>
      <c r="P245" s="22">
        <f t="shared" si="28"/>
        <v>42799</v>
      </c>
      <c r="Q245" s="225">
        <v>2356730</v>
      </c>
      <c r="R245" s="266">
        <v>2337904</v>
      </c>
      <c r="S245" s="24">
        <v>42789</v>
      </c>
      <c r="T245" s="24">
        <v>42793</v>
      </c>
    </row>
    <row r="246" spans="1:20" s="1" customFormat="1" x14ac:dyDescent="0.25">
      <c r="A246" s="5">
        <v>246</v>
      </c>
      <c r="B246" s="204">
        <v>42787</v>
      </c>
      <c r="C246" s="5">
        <v>499</v>
      </c>
      <c r="D246" s="1">
        <v>102</v>
      </c>
      <c r="E246" s="1">
        <v>3000037297</v>
      </c>
      <c r="F246" s="1" t="s">
        <v>144</v>
      </c>
      <c r="G246" s="21">
        <v>1755</v>
      </c>
      <c r="H246" s="1" t="s">
        <v>632</v>
      </c>
      <c r="I246" s="1">
        <v>9499740210</v>
      </c>
      <c r="J246" s="204">
        <v>42780</v>
      </c>
      <c r="K246" s="204">
        <v>42783</v>
      </c>
      <c r="L246" s="5" t="s">
        <v>362</v>
      </c>
      <c r="M246" s="1">
        <v>19.079999999999998</v>
      </c>
      <c r="N246" s="1">
        <v>19.02</v>
      </c>
      <c r="O246" s="1">
        <v>19.02</v>
      </c>
      <c r="P246" s="22">
        <f t="shared" si="28"/>
        <v>42802</v>
      </c>
      <c r="Q246" s="225">
        <v>2137078</v>
      </c>
      <c r="R246" s="225">
        <v>2130357</v>
      </c>
      <c r="S246" s="24">
        <v>42789</v>
      </c>
      <c r="T246" s="24">
        <v>42793</v>
      </c>
    </row>
    <row r="247" spans="1:20" s="1" customFormat="1" x14ac:dyDescent="0.25">
      <c r="A247" s="5">
        <v>248</v>
      </c>
      <c r="B247" s="204">
        <v>42787</v>
      </c>
      <c r="C247" s="5">
        <v>499</v>
      </c>
      <c r="D247" s="1">
        <v>104</v>
      </c>
      <c r="E247" s="1">
        <v>3000037091</v>
      </c>
      <c r="F247" s="5" t="s">
        <v>433</v>
      </c>
      <c r="G247" s="21">
        <v>388</v>
      </c>
      <c r="H247" s="1" t="s">
        <v>565</v>
      </c>
      <c r="I247" s="1">
        <v>9499740209</v>
      </c>
      <c r="J247" s="204">
        <v>42779</v>
      </c>
      <c r="K247" s="204">
        <v>42783</v>
      </c>
      <c r="L247" s="5" t="s">
        <v>362</v>
      </c>
      <c r="M247" s="1">
        <v>19.739999999999998</v>
      </c>
      <c r="N247" s="1">
        <v>19.7</v>
      </c>
      <c r="O247" s="1">
        <v>19.7</v>
      </c>
      <c r="P247" s="22">
        <f t="shared" si="28"/>
        <v>42802</v>
      </c>
      <c r="Q247" s="225">
        <v>1559460</v>
      </c>
      <c r="R247" s="225">
        <v>1556300</v>
      </c>
      <c r="S247" s="24">
        <v>42789</v>
      </c>
      <c r="T247" s="24">
        <v>42793</v>
      </c>
    </row>
    <row r="248" spans="1:20" s="1" customFormat="1" x14ac:dyDescent="0.25">
      <c r="A248" s="5">
        <v>245</v>
      </c>
      <c r="B248" s="204">
        <v>42786</v>
      </c>
      <c r="C248" s="5">
        <v>499</v>
      </c>
      <c r="D248" s="1">
        <v>101</v>
      </c>
      <c r="E248" s="1">
        <v>3000039061</v>
      </c>
      <c r="F248" s="18" t="s">
        <v>425</v>
      </c>
      <c r="G248" s="21">
        <v>737</v>
      </c>
      <c r="H248" s="1" t="s">
        <v>627</v>
      </c>
      <c r="I248" s="1">
        <v>9499740204</v>
      </c>
      <c r="J248" s="204">
        <v>42776</v>
      </c>
      <c r="K248" s="204">
        <v>42780</v>
      </c>
      <c r="L248" s="5" t="s">
        <v>362</v>
      </c>
      <c r="M248" s="1">
        <v>19.434999999999999</v>
      </c>
      <c r="N248" s="1">
        <v>19.420000000000002</v>
      </c>
      <c r="O248" s="1">
        <f t="shared" ref="O248:O279" si="29">IF(N248&gt;M248,M248,N248)</f>
        <v>19.420000000000002</v>
      </c>
      <c r="P248" s="7">
        <f t="shared" si="28"/>
        <v>42799</v>
      </c>
      <c r="Q248" s="225">
        <v>2163116</v>
      </c>
      <c r="R248" s="305">
        <f t="shared" ref="R248:R279" si="30">(+Q248/M248*O248)</f>
        <v>2161446.4996140986</v>
      </c>
      <c r="S248" s="24">
        <v>42789</v>
      </c>
      <c r="T248" s="24">
        <v>42793</v>
      </c>
    </row>
    <row r="249" spans="1:20" s="1" customFormat="1" x14ac:dyDescent="0.25">
      <c r="A249" s="5">
        <v>260</v>
      </c>
      <c r="B249" s="204">
        <v>42803</v>
      </c>
      <c r="C249" s="5">
        <v>499</v>
      </c>
      <c r="D249" s="1">
        <v>3000039340</v>
      </c>
      <c r="E249" s="8" t="s">
        <v>623</v>
      </c>
      <c r="F249" s="8" t="s">
        <v>623</v>
      </c>
      <c r="G249" s="1">
        <v>29751</v>
      </c>
      <c r="H249" s="1" t="s">
        <v>779</v>
      </c>
      <c r="I249" s="1">
        <v>9499740226</v>
      </c>
      <c r="J249" s="204" t="s">
        <v>780</v>
      </c>
      <c r="K249" s="204">
        <v>42801</v>
      </c>
      <c r="L249" s="1" t="s">
        <v>362</v>
      </c>
      <c r="M249" s="1">
        <v>27.32</v>
      </c>
      <c r="N249" s="1">
        <v>27.32</v>
      </c>
      <c r="O249" s="1">
        <f t="shared" si="29"/>
        <v>27.32</v>
      </c>
      <c r="P249" s="7">
        <f t="shared" si="28"/>
        <v>42820</v>
      </c>
      <c r="Q249" s="225">
        <v>3547502</v>
      </c>
      <c r="R249" s="305">
        <f t="shared" si="30"/>
        <v>3547502</v>
      </c>
      <c r="S249" s="1" t="s">
        <v>164</v>
      </c>
    </row>
    <row r="250" spans="1:20" s="1" customFormat="1" x14ac:dyDescent="0.25">
      <c r="A250" s="5">
        <v>261</v>
      </c>
      <c r="B250" s="204">
        <v>42803</v>
      </c>
      <c r="C250" s="5">
        <v>499</v>
      </c>
      <c r="D250" s="1">
        <v>3000039340</v>
      </c>
      <c r="E250" s="8" t="s">
        <v>623</v>
      </c>
      <c r="F250" s="8" t="s">
        <v>623</v>
      </c>
      <c r="G250" s="1">
        <v>29768</v>
      </c>
      <c r="H250" s="1" t="s">
        <v>781</v>
      </c>
      <c r="I250" s="1">
        <v>9499740226</v>
      </c>
      <c r="J250" s="204">
        <v>42798</v>
      </c>
      <c r="K250" s="204">
        <v>42801</v>
      </c>
      <c r="L250" s="1" t="s">
        <v>362</v>
      </c>
      <c r="M250" s="1">
        <v>19.88</v>
      </c>
      <c r="N250" s="1">
        <v>19.88</v>
      </c>
      <c r="O250" s="1">
        <f t="shared" si="29"/>
        <v>19.88</v>
      </c>
      <c r="P250" s="7">
        <f t="shared" si="28"/>
        <v>42820</v>
      </c>
      <c r="Q250" s="225">
        <v>2581418</v>
      </c>
      <c r="R250" s="305">
        <f t="shared" si="30"/>
        <v>2581418</v>
      </c>
      <c r="S250" s="1" t="s">
        <v>164</v>
      </c>
    </row>
    <row r="251" spans="1:20" s="1" customFormat="1" x14ac:dyDescent="0.25">
      <c r="A251" s="5">
        <v>262</v>
      </c>
      <c r="B251" s="204">
        <v>42803</v>
      </c>
      <c r="C251" s="5">
        <v>499</v>
      </c>
      <c r="D251" s="1">
        <v>3000039340</v>
      </c>
      <c r="E251" s="21" t="s">
        <v>623</v>
      </c>
      <c r="F251" s="8" t="s">
        <v>623</v>
      </c>
      <c r="G251" s="1">
        <v>29767</v>
      </c>
      <c r="H251" s="1" t="s">
        <v>782</v>
      </c>
      <c r="I251" s="1">
        <v>9499740226</v>
      </c>
      <c r="J251" s="204">
        <v>42798</v>
      </c>
      <c r="K251" s="204">
        <v>42801</v>
      </c>
      <c r="L251" s="1" t="s">
        <v>362</v>
      </c>
      <c r="M251" s="1">
        <v>19.809999999999999</v>
      </c>
      <c r="N251" s="1">
        <v>19.809999999999999</v>
      </c>
      <c r="O251" s="1">
        <f t="shared" si="29"/>
        <v>19.809999999999999</v>
      </c>
      <c r="P251" s="7">
        <f t="shared" si="28"/>
        <v>42820</v>
      </c>
      <c r="Q251" s="225">
        <v>2572329</v>
      </c>
      <c r="R251" s="305">
        <f t="shared" si="30"/>
        <v>2572329</v>
      </c>
      <c r="S251" s="1" t="s">
        <v>164</v>
      </c>
    </row>
    <row r="252" spans="1:20" s="1" customFormat="1" x14ac:dyDescent="0.25">
      <c r="A252" s="5">
        <v>263</v>
      </c>
      <c r="B252" s="204">
        <v>42803</v>
      </c>
      <c r="C252" s="5">
        <v>499</v>
      </c>
      <c r="D252" s="1">
        <v>3000039340</v>
      </c>
      <c r="E252" s="8" t="s">
        <v>623</v>
      </c>
      <c r="F252" s="8" t="s">
        <v>623</v>
      </c>
      <c r="G252" s="1">
        <v>29870</v>
      </c>
      <c r="H252" s="1" t="s">
        <v>709</v>
      </c>
      <c r="I252" s="1">
        <v>9499740226</v>
      </c>
      <c r="J252" s="204">
        <v>42799</v>
      </c>
      <c r="K252" s="204">
        <v>42801</v>
      </c>
      <c r="L252" s="1" t="s">
        <v>362</v>
      </c>
      <c r="M252" s="1">
        <v>20</v>
      </c>
      <c r="N252" s="1">
        <v>20</v>
      </c>
      <c r="O252" s="1">
        <f t="shared" si="29"/>
        <v>20</v>
      </c>
      <c r="P252" s="7">
        <f t="shared" si="28"/>
        <v>42820</v>
      </c>
      <c r="Q252" s="225">
        <v>2597000</v>
      </c>
      <c r="R252" s="305">
        <f t="shared" si="30"/>
        <v>2597000</v>
      </c>
      <c r="S252" s="1" t="s">
        <v>164</v>
      </c>
    </row>
    <row r="253" spans="1:20" s="1" customFormat="1" x14ac:dyDescent="0.25">
      <c r="A253" s="5">
        <v>264</v>
      </c>
      <c r="B253" s="204">
        <v>42803</v>
      </c>
      <c r="C253" s="5">
        <v>499</v>
      </c>
      <c r="D253" s="1">
        <v>3000039340</v>
      </c>
      <c r="E253" s="8" t="s">
        <v>623</v>
      </c>
      <c r="F253" s="8" t="s">
        <v>623</v>
      </c>
      <c r="G253" s="1">
        <v>29774</v>
      </c>
      <c r="H253" s="1" t="s">
        <v>783</v>
      </c>
      <c r="I253" s="1">
        <v>9499740226</v>
      </c>
      <c r="J253" s="204">
        <v>42798</v>
      </c>
      <c r="K253" s="204">
        <v>42801</v>
      </c>
      <c r="L253" s="1" t="s">
        <v>362</v>
      </c>
      <c r="M253" s="1">
        <v>19.59</v>
      </c>
      <c r="N253" s="1">
        <v>19.59</v>
      </c>
      <c r="O253" s="1">
        <f t="shared" si="29"/>
        <v>19.59</v>
      </c>
      <c r="P253" s="7">
        <f t="shared" si="28"/>
        <v>42820</v>
      </c>
      <c r="Q253" s="225">
        <v>2543762</v>
      </c>
      <c r="R253" s="305">
        <f t="shared" si="30"/>
        <v>2543762</v>
      </c>
      <c r="S253" s="1" t="s">
        <v>164</v>
      </c>
    </row>
    <row r="254" spans="1:20" s="1" customFormat="1" x14ac:dyDescent="0.25">
      <c r="A254" s="5">
        <v>250</v>
      </c>
      <c r="B254" s="204">
        <v>42793</v>
      </c>
      <c r="C254" s="5">
        <v>499</v>
      </c>
      <c r="D254" s="1">
        <v>106</v>
      </c>
      <c r="E254" s="1">
        <v>3000037015</v>
      </c>
      <c r="F254" s="18" t="s">
        <v>425</v>
      </c>
      <c r="G254" s="1">
        <v>742</v>
      </c>
      <c r="H254" s="1" t="s">
        <v>521</v>
      </c>
      <c r="I254" s="1">
        <v>9499740211</v>
      </c>
      <c r="J254" s="204">
        <v>42785</v>
      </c>
      <c r="K254" s="204">
        <v>42787</v>
      </c>
      <c r="L254" s="5" t="s">
        <v>362</v>
      </c>
      <c r="M254" s="1">
        <v>18.309999999999999</v>
      </c>
      <c r="N254" s="1">
        <v>18.3</v>
      </c>
      <c r="O254" s="1">
        <f t="shared" si="29"/>
        <v>18.3</v>
      </c>
      <c r="P254" s="7">
        <f t="shared" si="28"/>
        <v>42806</v>
      </c>
      <c r="Q254" s="225">
        <v>2037903</v>
      </c>
      <c r="R254" s="305">
        <f t="shared" si="30"/>
        <v>2036790.0000000002</v>
      </c>
      <c r="S254" s="24">
        <v>42803</v>
      </c>
    </row>
    <row r="255" spans="1:20" s="1" customFormat="1" x14ac:dyDescent="0.25">
      <c r="A255" s="5">
        <v>251</v>
      </c>
      <c r="B255" s="204">
        <v>42796</v>
      </c>
      <c r="C255" s="5">
        <v>499</v>
      </c>
      <c r="D255" s="1">
        <v>107</v>
      </c>
      <c r="E255" s="1">
        <v>3000036919</v>
      </c>
      <c r="F255" s="1" t="s">
        <v>144</v>
      </c>
      <c r="G255" s="1">
        <v>1819</v>
      </c>
      <c r="H255" s="1" t="s">
        <v>713</v>
      </c>
      <c r="I255" s="1">
        <v>9499740214</v>
      </c>
      <c r="J255" s="204">
        <v>42790</v>
      </c>
      <c r="K255" s="204">
        <v>42795</v>
      </c>
      <c r="L255" s="5" t="s">
        <v>362</v>
      </c>
      <c r="M255" s="1">
        <v>19.059999999999999</v>
      </c>
      <c r="N255" s="1">
        <v>18.989999999999998</v>
      </c>
      <c r="O255" s="1">
        <f t="shared" si="29"/>
        <v>18.989999999999998</v>
      </c>
      <c r="P255" s="7">
        <f t="shared" si="28"/>
        <v>42814</v>
      </c>
      <c r="Q255" s="225">
        <v>1886963</v>
      </c>
      <c r="R255" s="305">
        <f t="shared" si="30"/>
        <v>1880032.9155299056</v>
      </c>
      <c r="S255" s="24">
        <v>42803</v>
      </c>
    </row>
    <row r="256" spans="1:20" s="1" customFormat="1" x14ac:dyDescent="0.25">
      <c r="A256" s="5">
        <v>252</v>
      </c>
      <c r="B256" s="204">
        <v>42796</v>
      </c>
      <c r="C256" s="5">
        <v>499</v>
      </c>
      <c r="D256" s="1">
        <v>108</v>
      </c>
      <c r="E256" s="1">
        <v>3000039327</v>
      </c>
      <c r="F256" s="1" t="s">
        <v>523</v>
      </c>
      <c r="G256" s="1">
        <v>43</v>
      </c>
      <c r="H256" s="1" t="s">
        <v>714</v>
      </c>
      <c r="I256" s="1">
        <v>9499740215</v>
      </c>
      <c r="J256" s="204">
        <v>42790</v>
      </c>
      <c r="K256" s="204">
        <v>42795</v>
      </c>
      <c r="L256" s="1" t="s">
        <v>362</v>
      </c>
      <c r="M256" s="1">
        <v>20.11</v>
      </c>
      <c r="N256" s="1">
        <v>20.09</v>
      </c>
      <c r="O256" s="1">
        <f t="shared" si="29"/>
        <v>20.09</v>
      </c>
      <c r="P256" s="7">
        <f t="shared" si="28"/>
        <v>42814</v>
      </c>
      <c r="Q256" s="225">
        <v>2654520</v>
      </c>
      <c r="R256" s="305">
        <f t="shared" si="30"/>
        <v>2651880</v>
      </c>
      <c r="S256" s="24">
        <v>42803</v>
      </c>
    </row>
    <row r="257" spans="1:21" s="1" customFormat="1" x14ac:dyDescent="0.25">
      <c r="A257" s="5">
        <v>253</v>
      </c>
      <c r="B257" s="204">
        <v>42796</v>
      </c>
      <c r="C257" s="5">
        <v>499</v>
      </c>
      <c r="D257" s="1">
        <v>109</v>
      </c>
      <c r="E257" s="1">
        <v>3000039326</v>
      </c>
      <c r="F257" s="1" t="s">
        <v>548</v>
      </c>
      <c r="G257" s="1">
        <v>267</v>
      </c>
      <c r="H257" s="1" t="s">
        <v>715</v>
      </c>
      <c r="I257" s="1">
        <v>9499740213</v>
      </c>
      <c r="J257" s="204">
        <v>42789</v>
      </c>
      <c r="K257" s="204">
        <v>42794</v>
      </c>
      <c r="L257" s="1" t="s">
        <v>362</v>
      </c>
      <c r="M257" s="1">
        <v>19.695</v>
      </c>
      <c r="N257" s="1">
        <v>19.68</v>
      </c>
      <c r="O257" s="1">
        <f t="shared" si="29"/>
        <v>19.68</v>
      </c>
      <c r="P257" s="7">
        <f>+K257+10-1</f>
        <v>42803</v>
      </c>
      <c r="Q257" s="225">
        <v>2599739</v>
      </c>
      <c r="R257" s="305">
        <f t="shared" si="30"/>
        <v>2597759.0007616142</v>
      </c>
      <c r="S257" s="24">
        <v>42803</v>
      </c>
    </row>
    <row r="258" spans="1:21" s="1" customFormat="1" x14ac:dyDescent="0.25">
      <c r="A258" s="5">
        <v>254</v>
      </c>
      <c r="B258" s="204">
        <v>42796</v>
      </c>
      <c r="C258" s="5">
        <v>499</v>
      </c>
      <c r="D258" s="1">
        <v>110</v>
      </c>
      <c r="E258" s="1">
        <v>3000036621</v>
      </c>
      <c r="F258" s="1" t="s">
        <v>422</v>
      </c>
      <c r="G258" s="1">
        <v>169</v>
      </c>
      <c r="H258" s="1" t="s">
        <v>716</v>
      </c>
      <c r="I258" s="1">
        <v>9499740212</v>
      </c>
      <c r="J258" s="204">
        <v>42788</v>
      </c>
      <c r="K258" s="204">
        <v>42794</v>
      </c>
      <c r="L258" s="1" t="s">
        <v>362</v>
      </c>
      <c r="M258" s="1">
        <v>19.239999999999998</v>
      </c>
      <c r="N258" s="1">
        <v>19.25</v>
      </c>
      <c r="O258" s="1">
        <f t="shared" si="29"/>
        <v>19.239999999999998</v>
      </c>
      <c r="P258" s="7">
        <f t="shared" ref="P258:P286" si="31">+K258+20-1</f>
        <v>42813</v>
      </c>
      <c r="Q258" s="225">
        <v>1847040</v>
      </c>
      <c r="R258" s="305">
        <f t="shared" si="30"/>
        <v>1847040.0000000002</v>
      </c>
      <c r="S258" s="24">
        <v>42803</v>
      </c>
    </row>
    <row r="259" spans="1:21" s="1" customFormat="1" x14ac:dyDescent="0.25">
      <c r="A259" s="5"/>
      <c r="B259" s="331">
        <v>42808</v>
      </c>
      <c r="C259" s="332">
        <v>499</v>
      </c>
      <c r="D259" s="332"/>
      <c r="E259" s="332">
        <v>3000039618</v>
      </c>
      <c r="F259" s="332" t="s">
        <v>809</v>
      </c>
      <c r="G259" s="332">
        <v>420</v>
      </c>
      <c r="H259" s="332" t="s">
        <v>807</v>
      </c>
      <c r="I259" s="332" t="s">
        <v>808</v>
      </c>
      <c r="J259" s="331">
        <v>42794</v>
      </c>
      <c r="K259" s="331">
        <v>42794</v>
      </c>
      <c r="L259" s="332" t="s">
        <v>785</v>
      </c>
      <c r="M259" s="332">
        <v>20.855</v>
      </c>
      <c r="N259" s="332">
        <v>20.885000000000002</v>
      </c>
      <c r="O259" s="332">
        <f t="shared" si="29"/>
        <v>20.855</v>
      </c>
      <c r="P259" s="333">
        <f t="shared" si="31"/>
        <v>42813</v>
      </c>
      <c r="Q259" s="334">
        <v>1601917</v>
      </c>
      <c r="R259" s="335">
        <f t="shared" si="30"/>
        <v>1601917.0000000002</v>
      </c>
      <c r="S259" s="1" t="s">
        <v>164</v>
      </c>
      <c r="U259" s="77"/>
    </row>
    <row r="260" spans="1:21" s="1" customFormat="1" x14ac:dyDescent="0.25">
      <c r="A260" s="5">
        <v>255</v>
      </c>
      <c r="B260" s="331">
        <v>42804</v>
      </c>
      <c r="C260" s="332">
        <v>499</v>
      </c>
      <c r="D260" s="332"/>
      <c r="E260" s="332">
        <v>3000039618</v>
      </c>
      <c r="F260" s="332" t="s">
        <v>809</v>
      </c>
      <c r="G260" s="332">
        <v>421</v>
      </c>
      <c r="H260" s="332" t="s">
        <v>784</v>
      </c>
      <c r="I260" s="332">
        <v>9499740221</v>
      </c>
      <c r="J260" s="331">
        <v>42794</v>
      </c>
      <c r="K260" s="331">
        <v>42800</v>
      </c>
      <c r="L260" s="332" t="s">
        <v>785</v>
      </c>
      <c r="M260" s="332">
        <v>26.6</v>
      </c>
      <c r="N260" s="332">
        <v>26.6</v>
      </c>
      <c r="O260" s="332">
        <f t="shared" si="29"/>
        <v>26.6</v>
      </c>
      <c r="P260" s="333">
        <f t="shared" si="31"/>
        <v>42819</v>
      </c>
      <c r="Q260" s="332">
        <v>2043202</v>
      </c>
      <c r="R260" s="335">
        <f t="shared" si="30"/>
        <v>2043202</v>
      </c>
      <c r="S260" s="1" t="s">
        <v>164</v>
      </c>
      <c r="U260" s="77"/>
    </row>
    <row r="261" spans="1:21" s="1" customFormat="1" x14ac:dyDescent="0.25">
      <c r="A261" s="5">
        <v>256</v>
      </c>
      <c r="B261" s="331">
        <v>42804</v>
      </c>
      <c r="C261" s="332">
        <v>499</v>
      </c>
      <c r="D261" s="332"/>
      <c r="E261" s="332">
        <v>3000039618</v>
      </c>
      <c r="F261" s="332" t="s">
        <v>809</v>
      </c>
      <c r="G261" s="332">
        <v>422</v>
      </c>
      <c r="H261" s="332" t="s">
        <v>786</v>
      </c>
      <c r="I261" s="332">
        <v>9499740221</v>
      </c>
      <c r="J261" s="331">
        <v>42794</v>
      </c>
      <c r="K261" s="331">
        <v>42794</v>
      </c>
      <c r="L261" s="332" t="s">
        <v>785</v>
      </c>
      <c r="M261" s="332">
        <v>27.45</v>
      </c>
      <c r="N261" s="332">
        <v>27.45</v>
      </c>
      <c r="O261" s="332">
        <f t="shared" si="29"/>
        <v>27.45</v>
      </c>
      <c r="P261" s="333">
        <f t="shared" si="31"/>
        <v>42813</v>
      </c>
      <c r="Q261" s="332">
        <v>2108493</v>
      </c>
      <c r="R261" s="335">
        <f t="shared" si="30"/>
        <v>2108493</v>
      </c>
      <c r="S261" s="1" t="s">
        <v>164</v>
      </c>
      <c r="U261" s="77"/>
    </row>
    <row r="262" spans="1:21" s="1" customFormat="1" x14ac:dyDescent="0.25">
      <c r="A262" s="5">
        <v>257</v>
      </c>
      <c r="B262" s="331">
        <v>42808</v>
      </c>
      <c r="C262" s="332">
        <v>499</v>
      </c>
      <c r="D262" s="332"/>
      <c r="E262" s="332">
        <v>3000039618</v>
      </c>
      <c r="F262" s="332" t="s">
        <v>809</v>
      </c>
      <c r="G262" s="332">
        <v>423</v>
      </c>
      <c r="H262" s="332" t="s">
        <v>789</v>
      </c>
      <c r="I262" s="332">
        <v>9499740221</v>
      </c>
      <c r="J262" s="331">
        <v>42795</v>
      </c>
      <c r="K262" s="331">
        <v>42795</v>
      </c>
      <c r="L262" s="332" t="s">
        <v>785</v>
      </c>
      <c r="M262" s="332">
        <v>27.38</v>
      </c>
      <c r="N262" s="332">
        <v>27.38</v>
      </c>
      <c r="O262" s="332">
        <f t="shared" si="29"/>
        <v>27.38</v>
      </c>
      <c r="P262" s="333">
        <f t="shared" si="31"/>
        <v>42814</v>
      </c>
      <c r="Q262" s="332">
        <v>2103116</v>
      </c>
      <c r="R262" s="335">
        <f t="shared" si="30"/>
        <v>2103116</v>
      </c>
      <c r="S262" s="1" t="s">
        <v>164</v>
      </c>
      <c r="U262" s="77"/>
    </row>
    <row r="263" spans="1:21" s="1" customFormat="1" x14ac:dyDescent="0.25">
      <c r="A263" s="5">
        <v>258</v>
      </c>
      <c r="B263" s="331">
        <v>42808</v>
      </c>
      <c r="C263" s="332">
        <v>499</v>
      </c>
      <c r="D263" s="332"/>
      <c r="E263" s="332">
        <v>3000039618</v>
      </c>
      <c r="F263" s="332" t="s">
        <v>809</v>
      </c>
      <c r="G263" s="332">
        <v>424</v>
      </c>
      <c r="H263" s="332" t="s">
        <v>790</v>
      </c>
      <c r="I263" s="332">
        <v>9499740221</v>
      </c>
      <c r="J263" s="331">
        <v>42795</v>
      </c>
      <c r="K263" s="331">
        <v>42795</v>
      </c>
      <c r="L263" s="332" t="s">
        <v>785</v>
      </c>
      <c r="M263" s="332">
        <v>32.4</v>
      </c>
      <c r="N263" s="332">
        <v>32.4</v>
      </c>
      <c r="O263" s="332">
        <f t="shared" si="29"/>
        <v>32.4</v>
      </c>
      <c r="P263" s="333">
        <f t="shared" si="31"/>
        <v>42814</v>
      </c>
      <c r="Q263" s="332">
        <v>2488713</v>
      </c>
      <c r="R263" s="335">
        <f t="shared" si="30"/>
        <v>2488713</v>
      </c>
      <c r="S263" s="1" t="s">
        <v>164</v>
      </c>
      <c r="U263" s="77"/>
    </row>
    <row r="264" spans="1:21" s="1" customFormat="1" x14ac:dyDescent="0.25">
      <c r="A264" s="5">
        <v>259</v>
      </c>
      <c r="B264" s="331">
        <v>42808</v>
      </c>
      <c r="C264" s="332">
        <v>499</v>
      </c>
      <c r="D264" s="332"/>
      <c r="E264" s="332">
        <v>3000039618</v>
      </c>
      <c r="F264" s="332" t="s">
        <v>809</v>
      </c>
      <c r="G264" s="332">
        <v>425</v>
      </c>
      <c r="H264" s="332" t="s">
        <v>791</v>
      </c>
      <c r="I264" s="332">
        <v>9499740221</v>
      </c>
      <c r="J264" s="331">
        <v>42795</v>
      </c>
      <c r="K264" s="331">
        <v>42795</v>
      </c>
      <c r="L264" s="332" t="s">
        <v>785</v>
      </c>
      <c r="M264" s="332">
        <v>27.15</v>
      </c>
      <c r="N264" s="332">
        <v>27.15</v>
      </c>
      <c r="O264" s="332">
        <f t="shared" si="29"/>
        <v>27.15</v>
      </c>
      <c r="P264" s="333">
        <f t="shared" si="31"/>
        <v>42814</v>
      </c>
      <c r="Q264" s="332">
        <v>2285449</v>
      </c>
      <c r="R264" s="335">
        <f t="shared" si="30"/>
        <v>2285449</v>
      </c>
      <c r="S264" s="1" t="s">
        <v>164</v>
      </c>
      <c r="U264" s="77"/>
    </row>
    <row r="265" spans="1:21" s="1" customFormat="1" x14ac:dyDescent="0.25">
      <c r="A265" s="5">
        <v>260</v>
      </c>
      <c r="B265" s="331">
        <v>42808</v>
      </c>
      <c r="C265" s="332">
        <v>499</v>
      </c>
      <c r="D265" s="332"/>
      <c r="E265" s="332">
        <v>3000039618</v>
      </c>
      <c r="F265" s="332" t="s">
        <v>809</v>
      </c>
      <c r="G265" s="332">
        <v>426</v>
      </c>
      <c r="H265" s="332" t="s">
        <v>792</v>
      </c>
      <c r="I265" s="332">
        <v>9499740221</v>
      </c>
      <c r="J265" s="331">
        <v>42795</v>
      </c>
      <c r="K265" s="331">
        <v>42795</v>
      </c>
      <c r="L265" s="332" t="s">
        <v>785</v>
      </c>
      <c r="M265" s="332">
        <v>32.68</v>
      </c>
      <c r="N265" s="332">
        <v>32.68</v>
      </c>
      <c r="O265" s="332">
        <f t="shared" si="29"/>
        <v>32.68</v>
      </c>
      <c r="P265" s="333">
        <f t="shared" si="31"/>
        <v>42814</v>
      </c>
      <c r="Q265" s="332">
        <v>2510220</v>
      </c>
      <c r="R265" s="335">
        <f t="shared" si="30"/>
        <v>2510220</v>
      </c>
      <c r="S265" s="1" t="s">
        <v>164</v>
      </c>
      <c r="U265" s="77"/>
    </row>
    <row r="266" spans="1:21" s="1" customFormat="1" x14ac:dyDescent="0.25">
      <c r="A266" s="5">
        <v>261</v>
      </c>
      <c r="B266" s="331">
        <v>42808</v>
      </c>
      <c r="C266" s="332">
        <v>499</v>
      </c>
      <c r="D266" s="332"/>
      <c r="E266" s="332">
        <v>3000039473</v>
      </c>
      <c r="F266" s="332" t="s">
        <v>809</v>
      </c>
      <c r="G266" s="332">
        <v>427</v>
      </c>
      <c r="H266" s="332" t="s">
        <v>793</v>
      </c>
      <c r="I266" s="332">
        <v>9499740221</v>
      </c>
      <c r="J266" s="331">
        <v>42796</v>
      </c>
      <c r="K266" s="331">
        <v>42796</v>
      </c>
      <c r="L266" s="332" t="s">
        <v>785</v>
      </c>
      <c r="M266" s="332">
        <v>27.22</v>
      </c>
      <c r="N266" s="332">
        <v>27.22</v>
      </c>
      <c r="O266" s="332">
        <f t="shared" si="29"/>
        <v>27.22</v>
      </c>
      <c r="P266" s="333">
        <f t="shared" si="31"/>
        <v>42815</v>
      </c>
      <c r="Q266" s="332">
        <v>2090826</v>
      </c>
      <c r="R266" s="335">
        <f t="shared" si="30"/>
        <v>2090825.9999999998</v>
      </c>
      <c r="S266" s="1" t="s">
        <v>164</v>
      </c>
      <c r="U266" s="77"/>
    </row>
    <row r="267" spans="1:21" s="1" customFormat="1" x14ac:dyDescent="0.25">
      <c r="A267" s="5">
        <v>262</v>
      </c>
      <c r="B267" s="331">
        <v>42808</v>
      </c>
      <c r="C267" s="332">
        <v>499</v>
      </c>
      <c r="D267" s="332"/>
      <c r="E267" s="332">
        <v>3000039473</v>
      </c>
      <c r="F267" s="332" t="s">
        <v>809</v>
      </c>
      <c r="G267" s="332">
        <v>428</v>
      </c>
      <c r="H267" s="332" t="s">
        <v>794</v>
      </c>
      <c r="I267" s="332">
        <v>9499740221</v>
      </c>
      <c r="J267" s="331">
        <v>42796</v>
      </c>
      <c r="K267" s="331">
        <v>42796</v>
      </c>
      <c r="L267" s="332" t="s">
        <v>785</v>
      </c>
      <c r="M267" s="332">
        <v>27.14</v>
      </c>
      <c r="N267" s="332">
        <v>27.14</v>
      </c>
      <c r="O267" s="332">
        <f t="shared" si="29"/>
        <v>27.14</v>
      </c>
      <c r="P267" s="333">
        <f t="shared" si="31"/>
        <v>42815</v>
      </c>
      <c r="Q267" s="332">
        <v>2084681</v>
      </c>
      <c r="R267" s="335">
        <f t="shared" si="30"/>
        <v>2084681</v>
      </c>
      <c r="S267" s="1" t="s">
        <v>164</v>
      </c>
      <c r="U267" s="77"/>
    </row>
    <row r="268" spans="1:21" s="1" customFormat="1" x14ac:dyDescent="0.25">
      <c r="A268" s="5">
        <v>263</v>
      </c>
      <c r="B268" s="331">
        <v>42808</v>
      </c>
      <c r="C268" s="332">
        <v>499</v>
      </c>
      <c r="D268" s="332"/>
      <c r="E268" s="332">
        <v>3000039473</v>
      </c>
      <c r="F268" s="332" t="s">
        <v>809</v>
      </c>
      <c r="G268" s="332">
        <v>429</v>
      </c>
      <c r="H268" s="332" t="s">
        <v>795</v>
      </c>
      <c r="I268" s="332">
        <v>9499740221</v>
      </c>
      <c r="J268" s="331">
        <v>42796</v>
      </c>
      <c r="K268" s="331">
        <v>42796</v>
      </c>
      <c r="L268" s="332" t="s">
        <v>785</v>
      </c>
      <c r="M268" s="332">
        <v>32.03</v>
      </c>
      <c r="N268" s="332">
        <v>32.03</v>
      </c>
      <c r="O268" s="332">
        <f t="shared" si="29"/>
        <v>32.03</v>
      </c>
      <c r="P268" s="333">
        <f t="shared" si="31"/>
        <v>42815</v>
      </c>
      <c r="Q268" s="332">
        <v>2460292</v>
      </c>
      <c r="R268" s="335">
        <f t="shared" si="30"/>
        <v>2460292</v>
      </c>
      <c r="S268" s="1" t="s">
        <v>164</v>
      </c>
      <c r="U268" s="77"/>
    </row>
    <row r="269" spans="1:21" s="1" customFormat="1" x14ac:dyDescent="0.25">
      <c r="A269" s="5">
        <v>264</v>
      </c>
      <c r="B269" s="331">
        <v>42808</v>
      </c>
      <c r="C269" s="332">
        <v>499</v>
      </c>
      <c r="D269" s="332"/>
      <c r="E269" s="332">
        <v>3000039473</v>
      </c>
      <c r="F269" s="332" t="s">
        <v>809</v>
      </c>
      <c r="G269" s="332">
        <v>430</v>
      </c>
      <c r="H269" s="332" t="s">
        <v>796</v>
      </c>
      <c r="I269" s="332">
        <v>9499740221</v>
      </c>
      <c r="J269" s="331">
        <v>42796</v>
      </c>
      <c r="K269" s="331">
        <v>42796</v>
      </c>
      <c r="L269" s="332" t="s">
        <v>785</v>
      </c>
      <c r="M269" s="332">
        <v>33.340000000000003</v>
      </c>
      <c r="N269" s="332">
        <v>33.340000000000003</v>
      </c>
      <c r="O269" s="332">
        <f t="shared" si="29"/>
        <v>33.340000000000003</v>
      </c>
      <c r="P269" s="333">
        <f t="shared" si="31"/>
        <v>42815</v>
      </c>
      <c r="Q269" s="332">
        <v>2560916</v>
      </c>
      <c r="R269" s="335">
        <f t="shared" si="30"/>
        <v>2560916</v>
      </c>
      <c r="S269" s="1" t="s">
        <v>164</v>
      </c>
      <c r="U269" s="77"/>
    </row>
    <row r="270" spans="1:21" s="1" customFormat="1" x14ac:dyDescent="0.25">
      <c r="A270" s="5">
        <v>265</v>
      </c>
      <c r="B270" s="331">
        <v>42808</v>
      </c>
      <c r="C270" s="332">
        <v>499</v>
      </c>
      <c r="D270" s="332"/>
      <c r="E270" s="332">
        <v>3000039473</v>
      </c>
      <c r="F270" s="332" t="s">
        <v>809</v>
      </c>
      <c r="G270" s="332">
        <v>431</v>
      </c>
      <c r="H270" s="332" t="s">
        <v>797</v>
      </c>
      <c r="I270" s="332">
        <v>9499740224</v>
      </c>
      <c r="J270" s="331">
        <v>42797</v>
      </c>
      <c r="K270" s="331">
        <v>42797</v>
      </c>
      <c r="L270" s="332" t="s">
        <v>785</v>
      </c>
      <c r="M270" s="332">
        <v>26.97</v>
      </c>
      <c r="N270" s="332">
        <v>26.97</v>
      </c>
      <c r="O270" s="332">
        <f t="shared" si="29"/>
        <v>26.97</v>
      </c>
      <c r="P270" s="333">
        <f t="shared" si="31"/>
        <v>42816</v>
      </c>
      <c r="Q270" s="332">
        <v>2071623</v>
      </c>
      <c r="R270" s="335">
        <f t="shared" si="30"/>
        <v>2071623</v>
      </c>
      <c r="S270" s="1" t="s">
        <v>164</v>
      </c>
      <c r="U270" s="77"/>
    </row>
    <row r="271" spans="1:21" s="1" customFormat="1" x14ac:dyDescent="0.25">
      <c r="A271" s="5">
        <v>266</v>
      </c>
      <c r="B271" s="331">
        <v>42808</v>
      </c>
      <c r="C271" s="332">
        <v>499</v>
      </c>
      <c r="D271" s="332"/>
      <c r="E271" s="332">
        <v>3000039473</v>
      </c>
      <c r="F271" s="332" t="s">
        <v>809</v>
      </c>
      <c r="G271" s="332">
        <v>432</v>
      </c>
      <c r="H271" s="332" t="s">
        <v>798</v>
      </c>
      <c r="I271" s="332">
        <v>9499740224</v>
      </c>
      <c r="J271" s="331">
        <v>42797</v>
      </c>
      <c r="K271" s="331">
        <v>42797</v>
      </c>
      <c r="L271" s="332" t="s">
        <v>785</v>
      </c>
      <c r="M271" s="332">
        <v>33.520000000000003</v>
      </c>
      <c r="N271" s="332">
        <v>33.520000000000003</v>
      </c>
      <c r="O271" s="332">
        <f t="shared" si="29"/>
        <v>33.520000000000003</v>
      </c>
      <c r="P271" s="333">
        <f t="shared" si="31"/>
        <v>42816</v>
      </c>
      <c r="Q271" s="332">
        <v>2574742</v>
      </c>
      <c r="R271" s="335">
        <f t="shared" si="30"/>
        <v>2574742</v>
      </c>
      <c r="S271" s="1" t="s">
        <v>164</v>
      </c>
    </row>
    <row r="272" spans="1:21" s="1" customFormat="1" x14ac:dyDescent="0.25">
      <c r="A272" s="5">
        <v>267</v>
      </c>
      <c r="B272" s="331">
        <v>42808</v>
      </c>
      <c r="C272" s="332">
        <v>499</v>
      </c>
      <c r="D272" s="332"/>
      <c r="E272" s="332">
        <v>3000039473</v>
      </c>
      <c r="F272" s="332" t="s">
        <v>809</v>
      </c>
      <c r="G272" s="332">
        <v>433</v>
      </c>
      <c r="H272" s="332" t="s">
        <v>799</v>
      </c>
      <c r="I272" s="332">
        <v>9499740224</v>
      </c>
      <c r="J272" s="331">
        <v>42797</v>
      </c>
      <c r="K272" s="331">
        <v>42797</v>
      </c>
      <c r="L272" s="332" t="s">
        <v>785</v>
      </c>
      <c r="M272" s="332">
        <v>20.61</v>
      </c>
      <c r="N272" s="332">
        <v>20.61</v>
      </c>
      <c r="O272" s="332">
        <f t="shared" si="29"/>
        <v>20.61</v>
      </c>
      <c r="P272" s="333">
        <f t="shared" si="31"/>
        <v>42816</v>
      </c>
      <c r="Q272" s="332">
        <v>1583098</v>
      </c>
      <c r="R272" s="335">
        <f t="shared" si="30"/>
        <v>1583098</v>
      </c>
      <c r="S272" s="1" t="s">
        <v>164</v>
      </c>
    </row>
    <row r="273" spans="1:20" s="1" customFormat="1" x14ac:dyDescent="0.25">
      <c r="A273" s="5">
        <v>268</v>
      </c>
      <c r="B273" s="331">
        <v>42808</v>
      </c>
      <c r="C273" s="332">
        <v>499</v>
      </c>
      <c r="D273" s="332"/>
      <c r="E273" s="332">
        <v>3000039473</v>
      </c>
      <c r="F273" s="332" t="s">
        <v>809</v>
      </c>
      <c r="G273" s="332">
        <v>434</v>
      </c>
      <c r="H273" s="332" t="s">
        <v>800</v>
      </c>
      <c r="I273" s="332">
        <v>9499740224</v>
      </c>
      <c r="J273" s="331">
        <v>42798</v>
      </c>
      <c r="K273" s="331">
        <v>42798</v>
      </c>
      <c r="L273" s="332" t="s">
        <v>785</v>
      </c>
      <c r="M273" s="332">
        <v>27.52</v>
      </c>
      <c r="N273" s="332">
        <v>27.52</v>
      </c>
      <c r="O273" s="332">
        <f t="shared" si="29"/>
        <v>27.52</v>
      </c>
      <c r="P273" s="333">
        <f t="shared" si="31"/>
        <v>42817</v>
      </c>
      <c r="Q273" s="332">
        <v>2113870</v>
      </c>
      <c r="R273" s="335">
        <f t="shared" si="30"/>
        <v>2113870</v>
      </c>
      <c r="S273" s="1" t="s">
        <v>164</v>
      </c>
    </row>
    <row r="274" spans="1:20" s="1" customFormat="1" x14ac:dyDescent="0.25">
      <c r="A274" s="5">
        <v>269</v>
      </c>
      <c r="B274" s="331">
        <v>42808</v>
      </c>
      <c r="C274" s="332">
        <v>499</v>
      </c>
      <c r="D274" s="332"/>
      <c r="E274" s="332">
        <v>3000039473</v>
      </c>
      <c r="F274" s="332" t="s">
        <v>809</v>
      </c>
      <c r="G274" s="332">
        <v>435</v>
      </c>
      <c r="H274" s="332" t="s">
        <v>801</v>
      </c>
      <c r="I274" s="332">
        <v>9499740224</v>
      </c>
      <c r="J274" s="331">
        <v>42798</v>
      </c>
      <c r="K274" s="331">
        <v>115846</v>
      </c>
      <c r="L274" s="332" t="s">
        <v>785</v>
      </c>
      <c r="M274" s="332">
        <v>27.99</v>
      </c>
      <c r="N274" s="332">
        <v>27.99</v>
      </c>
      <c r="O274" s="332">
        <f t="shared" si="29"/>
        <v>27.99</v>
      </c>
      <c r="P274" s="333">
        <f t="shared" si="31"/>
        <v>115865</v>
      </c>
      <c r="Q274" s="332">
        <v>2149971</v>
      </c>
      <c r="R274" s="335">
        <f t="shared" si="30"/>
        <v>2149971</v>
      </c>
      <c r="S274" s="1" t="s">
        <v>164</v>
      </c>
    </row>
    <row r="275" spans="1:20" s="1" customFormat="1" x14ac:dyDescent="0.25">
      <c r="A275" s="5">
        <v>270</v>
      </c>
      <c r="B275" s="331">
        <v>42808</v>
      </c>
      <c r="C275" s="332">
        <v>499</v>
      </c>
      <c r="D275" s="332"/>
      <c r="E275" s="332">
        <v>3000039473</v>
      </c>
      <c r="F275" s="332" t="s">
        <v>809</v>
      </c>
      <c r="G275" s="332">
        <v>436</v>
      </c>
      <c r="H275" s="332" t="s">
        <v>802</v>
      </c>
      <c r="I275" s="332">
        <v>9499740224</v>
      </c>
      <c r="J275" s="331">
        <v>42798</v>
      </c>
      <c r="K275" s="331">
        <v>42798</v>
      </c>
      <c r="L275" s="332" t="s">
        <v>785</v>
      </c>
      <c r="M275" s="332">
        <v>27.4</v>
      </c>
      <c r="N275" s="332">
        <v>27.4</v>
      </c>
      <c r="O275" s="332">
        <f t="shared" si="29"/>
        <v>27.4</v>
      </c>
      <c r="P275" s="333">
        <f t="shared" si="31"/>
        <v>42817</v>
      </c>
      <c r="Q275" s="332">
        <v>2104652</v>
      </c>
      <c r="R275" s="335">
        <f t="shared" si="30"/>
        <v>2104652</v>
      </c>
      <c r="S275" s="1" t="s">
        <v>164</v>
      </c>
    </row>
    <row r="276" spans="1:20" s="1" customFormat="1" x14ac:dyDescent="0.25">
      <c r="A276" s="5">
        <v>271</v>
      </c>
      <c r="B276" s="331">
        <v>42808</v>
      </c>
      <c r="C276" s="332">
        <v>499</v>
      </c>
      <c r="D276" s="332"/>
      <c r="E276" s="332">
        <v>3000039473</v>
      </c>
      <c r="F276" s="332" t="s">
        <v>809</v>
      </c>
      <c r="G276" s="332">
        <v>437</v>
      </c>
      <c r="H276" s="332" t="s">
        <v>803</v>
      </c>
      <c r="I276" s="332">
        <v>9499740224</v>
      </c>
      <c r="J276" s="331">
        <v>42798</v>
      </c>
      <c r="K276" s="331">
        <v>42798</v>
      </c>
      <c r="L276" s="332" t="s">
        <v>785</v>
      </c>
      <c r="M276" s="332">
        <v>32.479999999999997</v>
      </c>
      <c r="N276" s="332">
        <v>32.479999999999997</v>
      </c>
      <c r="O276" s="332">
        <f t="shared" si="29"/>
        <v>32.479999999999997</v>
      </c>
      <c r="P276" s="333">
        <f t="shared" si="31"/>
        <v>42817</v>
      </c>
      <c r="Q276" s="332">
        <v>2494858</v>
      </c>
      <c r="R276" s="335">
        <f t="shared" si="30"/>
        <v>2494858</v>
      </c>
      <c r="S276" s="1" t="s">
        <v>164</v>
      </c>
    </row>
    <row r="277" spans="1:20" s="1" customFormat="1" x14ac:dyDescent="0.25">
      <c r="A277" s="1">
        <v>272</v>
      </c>
      <c r="B277" s="331">
        <v>42808</v>
      </c>
      <c r="C277" s="332">
        <v>499</v>
      </c>
      <c r="D277" s="332"/>
      <c r="E277" s="332">
        <v>3000039473</v>
      </c>
      <c r="F277" s="332" t="s">
        <v>809</v>
      </c>
      <c r="G277" s="332">
        <v>438</v>
      </c>
      <c r="H277" s="332" t="s">
        <v>804</v>
      </c>
      <c r="I277" s="332">
        <v>9499740228</v>
      </c>
      <c r="J277" s="331">
        <v>42799</v>
      </c>
      <c r="K277" s="331">
        <v>42799</v>
      </c>
      <c r="L277" s="332" t="s">
        <v>785</v>
      </c>
      <c r="M277" s="332">
        <v>33.6</v>
      </c>
      <c r="N277" s="332">
        <v>33.6</v>
      </c>
      <c r="O277" s="332">
        <f t="shared" si="29"/>
        <v>33.6</v>
      </c>
      <c r="P277" s="333">
        <f t="shared" si="31"/>
        <v>42818</v>
      </c>
      <c r="Q277" s="332">
        <v>2580887</v>
      </c>
      <c r="R277" s="335">
        <f t="shared" si="30"/>
        <v>2580887</v>
      </c>
      <c r="S277" s="1" t="s">
        <v>164</v>
      </c>
    </row>
    <row r="278" spans="1:20" s="1" customFormat="1" x14ac:dyDescent="0.25">
      <c r="A278" s="1">
        <v>273</v>
      </c>
      <c r="B278" s="331">
        <v>42808</v>
      </c>
      <c r="C278" s="332">
        <v>499</v>
      </c>
      <c r="D278" s="332"/>
      <c r="E278" s="332">
        <v>3000039665</v>
      </c>
      <c r="F278" s="332" t="s">
        <v>809</v>
      </c>
      <c r="G278" s="332">
        <v>442</v>
      </c>
      <c r="H278" s="332" t="s">
        <v>792</v>
      </c>
      <c r="I278" s="332">
        <v>9499740229</v>
      </c>
      <c r="J278" s="331">
        <v>42800</v>
      </c>
      <c r="K278" s="331">
        <v>42800</v>
      </c>
      <c r="L278" s="332" t="s">
        <v>785</v>
      </c>
      <c r="M278" s="332">
        <v>32.75</v>
      </c>
      <c r="N278" s="332">
        <v>32.75</v>
      </c>
      <c r="O278" s="332">
        <f t="shared" si="29"/>
        <v>32.75</v>
      </c>
      <c r="P278" s="333">
        <f t="shared" si="31"/>
        <v>42819</v>
      </c>
      <c r="Q278" s="332">
        <v>2470634</v>
      </c>
      <c r="R278" s="335">
        <f t="shared" si="30"/>
        <v>2470634</v>
      </c>
      <c r="S278" s="1" t="s">
        <v>164</v>
      </c>
    </row>
    <row r="279" spans="1:20" s="1" customFormat="1" x14ac:dyDescent="0.25">
      <c r="A279" s="1">
        <v>274</v>
      </c>
      <c r="B279" s="331">
        <v>42808</v>
      </c>
      <c r="C279" s="332">
        <v>499</v>
      </c>
      <c r="D279" s="332"/>
      <c r="E279" s="332">
        <v>3000039665</v>
      </c>
      <c r="F279" s="332" t="s">
        <v>809</v>
      </c>
      <c r="G279" s="332">
        <v>443</v>
      </c>
      <c r="H279" s="332" t="s">
        <v>786</v>
      </c>
      <c r="I279" s="332">
        <v>9499740229</v>
      </c>
      <c r="J279" s="331">
        <v>42800</v>
      </c>
      <c r="K279" s="331">
        <v>42800</v>
      </c>
      <c r="L279" s="332" t="s">
        <v>785</v>
      </c>
      <c r="M279" s="332">
        <v>27.42</v>
      </c>
      <c r="N279" s="332">
        <v>27.42</v>
      </c>
      <c r="O279" s="332">
        <f t="shared" si="29"/>
        <v>27.42</v>
      </c>
      <c r="P279" s="333">
        <f t="shared" si="31"/>
        <v>42819</v>
      </c>
      <c r="Q279" s="332">
        <v>2068543</v>
      </c>
      <c r="R279" s="335">
        <f t="shared" si="30"/>
        <v>2068543</v>
      </c>
      <c r="S279" s="1" t="s">
        <v>164</v>
      </c>
    </row>
    <row r="280" spans="1:20" s="1" customFormat="1" x14ac:dyDescent="0.25">
      <c r="A280" s="1">
        <v>275</v>
      </c>
      <c r="B280" s="331">
        <v>42808</v>
      </c>
      <c r="C280" s="332">
        <v>499</v>
      </c>
      <c r="D280" s="332"/>
      <c r="E280" s="332">
        <v>3000039665</v>
      </c>
      <c r="F280" s="332" t="s">
        <v>809</v>
      </c>
      <c r="G280" s="332">
        <v>444</v>
      </c>
      <c r="H280" s="332" t="s">
        <v>791</v>
      </c>
      <c r="I280" s="332">
        <v>9499740229</v>
      </c>
      <c r="J280" s="331">
        <v>42800</v>
      </c>
      <c r="K280" s="331">
        <v>42800</v>
      </c>
      <c r="L280" s="332" t="s">
        <v>785</v>
      </c>
      <c r="M280" s="332">
        <v>27.12</v>
      </c>
      <c r="N280" s="332">
        <v>27.12</v>
      </c>
      <c r="O280" s="332">
        <f t="shared" ref="O280:O311" si="32">IF(N280&gt;M280,M280,N280)</f>
        <v>27.12</v>
      </c>
      <c r="P280" s="333">
        <f t="shared" si="31"/>
        <v>42819</v>
      </c>
      <c r="Q280" s="332">
        <v>2045911</v>
      </c>
      <c r="R280" s="335">
        <f t="shared" ref="R280:R311" si="33">(+Q280/M280*O280)</f>
        <v>2045911</v>
      </c>
      <c r="S280" s="1" t="s">
        <v>164</v>
      </c>
    </row>
    <row r="281" spans="1:20" s="1" customFormat="1" x14ac:dyDescent="0.25">
      <c r="A281" s="1">
        <v>276</v>
      </c>
      <c r="B281" s="331">
        <v>42808</v>
      </c>
      <c r="C281" s="332">
        <v>499</v>
      </c>
      <c r="D281" s="332"/>
      <c r="E281" s="332">
        <v>3000039665</v>
      </c>
      <c r="F281" s="332" t="s">
        <v>809</v>
      </c>
      <c r="G281" s="332">
        <v>440</v>
      </c>
      <c r="H281" s="332" t="s">
        <v>805</v>
      </c>
      <c r="I281" s="332" t="s">
        <v>806</v>
      </c>
      <c r="J281" s="331">
        <v>42799</v>
      </c>
      <c r="K281" s="331">
        <v>42799</v>
      </c>
      <c r="L281" s="332" t="s">
        <v>785</v>
      </c>
      <c r="M281" s="332">
        <v>10.015000000000001</v>
      </c>
      <c r="N281" s="332">
        <v>10.015000000000001</v>
      </c>
      <c r="O281" s="332">
        <f t="shared" si="32"/>
        <v>10.015000000000001</v>
      </c>
      <c r="P281" s="333">
        <f t="shared" si="31"/>
        <v>42818</v>
      </c>
      <c r="Q281" s="332">
        <v>755524</v>
      </c>
      <c r="R281" s="335">
        <f t="shared" si="33"/>
        <v>755524.00000000012</v>
      </c>
      <c r="S281" s="1" t="s">
        <v>164</v>
      </c>
    </row>
    <row r="282" spans="1:20" s="1" customFormat="1" x14ac:dyDescent="0.25">
      <c r="A282" s="1">
        <v>277</v>
      </c>
      <c r="B282" s="331">
        <v>42808</v>
      </c>
      <c r="C282" s="332">
        <v>499</v>
      </c>
      <c r="D282" s="332"/>
      <c r="E282" s="332">
        <v>3000039473</v>
      </c>
      <c r="F282" s="332" t="s">
        <v>809</v>
      </c>
      <c r="G282" s="332">
        <v>439</v>
      </c>
      <c r="H282" s="332" t="s">
        <v>805</v>
      </c>
      <c r="I282" s="332" t="s">
        <v>806</v>
      </c>
      <c r="J282" s="331">
        <v>42799</v>
      </c>
      <c r="K282" s="331">
        <v>42799</v>
      </c>
      <c r="L282" s="332" t="s">
        <v>785</v>
      </c>
      <c r="M282" s="332">
        <v>23.535</v>
      </c>
      <c r="N282" s="332">
        <v>23.535</v>
      </c>
      <c r="O282" s="332">
        <f t="shared" si="32"/>
        <v>23.535</v>
      </c>
      <c r="P282" s="333">
        <f t="shared" si="31"/>
        <v>42818</v>
      </c>
      <c r="Q282" s="332">
        <v>1807773</v>
      </c>
      <c r="R282" s="335">
        <f t="shared" si="33"/>
        <v>1807773</v>
      </c>
      <c r="S282" s="1" t="s">
        <v>164</v>
      </c>
    </row>
    <row r="283" spans="1:20" s="1" customFormat="1" x14ac:dyDescent="0.25">
      <c r="A283" s="1">
        <v>278</v>
      </c>
      <c r="B283" s="331">
        <v>42808</v>
      </c>
      <c r="C283" s="332">
        <v>499</v>
      </c>
      <c r="D283" s="332"/>
      <c r="E283" s="332">
        <v>3000039665</v>
      </c>
      <c r="F283" s="332" t="s">
        <v>809</v>
      </c>
      <c r="G283" s="332">
        <v>445</v>
      </c>
      <c r="H283" s="332" t="s">
        <v>807</v>
      </c>
      <c r="I283" s="332">
        <v>9499740229</v>
      </c>
      <c r="J283" s="331">
        <v>42800</v>
      </c>
      <c r="K283" s="331">
        <v>42800</v>
      </c>
      <c r="L283" s="332" t="s">
        <v>785</v>
      </c>
      <c r="M283" s="332">
        <v>26.74</v>
      </c>
      <c r="N283" s="332">
        <v>26.74</v>
      </c>
      <c r="O283" s="332">
        <f t="shared" si="32"/>
        <v>26.74</v>
      </c>
      <c r="P283" s="333">
        <f t="shared" si="31"/>
        <v>42819</v>
      </c>
      <c r="Q283" s="332">
        <v>2017244</v>
      </c>
      <c r="R283" s="335">
        <f t="shared" si="33"/>
        <v>2017244</v>
      </c>
      <c r="S283" s="1" t="s">
        <v>164</v>
      </c>
    </row>
    <row r="284" spans="1:20" s="1" customFormat="1" x14ac:dyDescent="0.25">
      <c r="A284" s="1">
        <v>279</v>
      </c>
      <c r="B284" s="331">
        <v>42808</v>
      </c>
      <c r="C284" s="332">
        <v>499</v>
      </c>
      <c r="D284" s="332"/>
      <c r="E284" s="332">
        <v>3000039665</v>
      </c>
      <c r="F284" s="332" t="s">
        <v>809</v>
      </c>
      <c r="G284" s="332">
        <v>441</v>
      </c>
      <c r="H284" s="332" t="s">
        <v>789</v>
      </c>
      <c r="I284" s="332">
        <v>9499740229</v>
      </c>
      <c r="J284" s="331">
        <v>42800</v>
      </c>
      <c r="K284" s="331">
        <v>42800</v>
      </c>
      <c r="L284" s="332" t="s">
        <v>785</v>
      </c>
      <c r="M284" s="332">
        <v>27.68</v>
      </c>
      <c r="N284" s="332">
        <v>27.68</v>
      </c>
      <c r="O284" s="332">
        <f t="shared" si="32"/>
        <v>27.68</v>
      </c>
      <c r="P284" s="333">
        <f t="shared" si="31"/>
        <v>42819</v>
      </c>
      <c r="Q284" s="332">
        <v>2088157</v>
      </c>
      <c r="R284" s="335">
        <f t="shared" si="33"/>
        <v>2088157</v>
      </c>
      <c r="S284" s="1" t="s">
        <v>164</v>
      </c>
    </row>
    <row r="285" spans="1:20" s="1" customFormat="1" x14ac:dyDescent="0.25">
      <c r="A285" s="1">
        <v>280</v>
      </c>
      <c r="B285" s="204">
        <v>42808</v>
      </c>
      <c r="C285" s="5">
        <v>499</v>
      </c>
      <c r="E285" s="1">
        <v>3000039340</v>
      </c>
      <c r="F285" s="8" t="s">
        <v>623</v>
      </c>
      <c r="G285" s="1">
        <v>30044</v>
      </c>
      <c r="H285" s="1" t="s">
        <v>783</v>
      </c>
      <c r="I285" s="1">
        <v>9499740230</v>
      </c>
      <c r="J285" s="204">
        <v>42801</v>
      </c>
      <c r="K285" s="204">
        <v>42801</v>
      </c>
      <c r="L285" s="1" t="s">
        <v>362</v>
      </c>
      <c r="M285" s="1">
        <v>19.989999999999998</v>
      </c>
      <c r="N285" s="1">
        <v>19.989999999999998</v>
      </c>
      <c r="O285" s="1">
        <f t="shared" si="32"/>
        <v>19.989999999999998</v>
      </c>
      <c r="P285" s="7">
        <f t="shared" si="31"/>
        <v>42820</v>
      </c>
      <c r="Q285" s="1">
        <v>2595702</v>
      </c>
      <c r="R285" s="305">
        <f t="shared" si="33"/>
        <v>2595702</v>
      </c>
      <c r="S285" s="1" t="s">
        <v>164</v>
      </c>
    </row>
    <row r="286" spans="1:20" s="1" customFormat="1" x14ac:dyDescent="0.25">
      <c r="A286" s="1">
        <v>281</v>
      </c>
      <c r="B286" s="204">
        <v>42808</v>
      </c>
      <c r="C286" s="5">
        <v>499</v>
      </c>
      <c r="E286" s="1">
        <v>3000039340</v>
      </c>
      <c r="F286" s="8" t="s">
        <v>623</v>
      </c>
      <c r="G286" s="1">
        <v>30049</v>
      </c>
      <c r="H286" s="1" t="s">
        <v>779</v>
      </c>
      <c r="I286" s="1">
        <v>9499740230</v>
      </c>
      <c r="J286" s="204">
        <v>42801</v>
      </c>
      <c r="K286" s="204">
        <v>42801</v>
      </c>
      <c r="L286" s="1" t="s">
        <v>362</v>
      </c>
      <c r="M286" s="1">
        <v>27.92</v>
      </c>
      <c r="N286" s="1">
        <v>27.92</v>
      </c>
      <c r="O286" s="1">
        <f t="shared" si="32"/>
        <v>27.92</v>
      </c>
      <c r="P286" s="7">
        <f t="shared" si="31"/>
        <v>42820</v>
      </c>
      <c r="Q286" s="1">
        <v>3625412</v>
      </c>
      <c r="R286" s="305">
        <f t="shared" si="33"/>
        <v>3625412</v>
      </c>
      <c r="S286" s="1" t="s">
        <v>164</v>
      </c>
    </row>
    <row r="287" spans="1:20" s="1" customFormat="1" x14ac:dyDescent="0.25">
      <c r="A287" s="5">
        <v>255</v>
      </c>
      <c r="B287" s="204">
        <v>42803</v>
      </c>
      <c r="C287" s="5">
        <v>499</v>
      </c>
      <c r="D287" s="1">
        <v>117</v>
      </c>
      <c r="E287" s="1">
        <v>3000039564</v>
      </c>
      <c r="F287" s="1" t="s">
        <v>769</v>
      </c>
      <c r="G287" s="1" t="s">
        <v>770</v>
      </c>
      <c r="H287" s="1" t="s">
        <v>771</v>
      </c>
      <c r="I287" s="1">
        <v>9499740222</v>
      </c>
      <c r="J287" s="204">
        <v>42796</v>
      </c>
      <c r="K287" s="204">
        <v>42796</v>
      </c>
      <c r="L287" s="1" t="s">
        <v>772</v>
      </c>
      <c r="M287" s="1">
        <v>20.350000000000001</v>
      </c>
      <c r="N287" s="1">
        <v>20.239999999999998</v>
      </c>
      <c r="O287" s="1">
        <f t="shared" si="32"/>
        <v>20.239999999999998</v>
      </c>
      <c r="P287" s="7">
        <f>+K287+15-1</f>
        <v>42810</v>
      </c>
      <c r="Q287" s="225">
        <v>1562880</v>
      </c>
      <c r="R287" s="305">
        <f t="shared" si="33"/>
        <v>1554431.9999999998</v>
      </c>
      <c r="S287" s="24">
        <v>42811</v>
      </c>
      <c r="T287" s="24">
        <v>42815</v>
      </c>
    </row>
    <row r="288" spans="1:20" s="1" customFormat="1" x14ac:dyDescent="0.25">
      <c r="A288" s="5">
        <v>256</v>
      </c>
      <c r="B288" s="204">
        <v>42803</v>
      </c>
      <c r="C288" s="5">
        <v>499</v>
      </c>
      <c r="D288" s="1">
        <v>118</v>
      </c>
      <c r="E288" s="1">
        <v>3000039564</v>
      </c>
      <c r="F288" s="1" t="s">
        <v>769</v>
      </c>
      <c r="G288" s="1" t="s">
        <v>773</v>
      </c>
      <c r="H288" s="1" t="s">
        <v>774</v>
      </c>
      <c r="I288" s="1">
        <v>9499740222</v>
      </c>
      <c r="J288" s="204">
        <v>42796</v>
      </c>
      <c r="K288" s="204">
        <v>42796</v>
      </c>
      <c r="L288" s="1" t="s">
        <v>772</v>
      </c>
      <c r="M288" s="1">
        <v>19.920000000000002</v>
      </c>
      <c r="N288" s="1">
        <v>19.850000000000001</v>
      </c>
      <c r="O288" s="1">
        <f t="shared" si="32"/>
        <v>19.850000000000001</v>
      </c>
      <c r="P288" s="7">
        <f>+K288+15-1</f>
        <v>42810</v>
      </c>
      <c r="Q288" s="225">
        <v>1529856</v>
      </c>
      <c r="R288" s="305">
        <f t="shared" si="33"/>
        <v>1524480</v>
      </c>
      <c r="S288" s="24">
        <v>42811</v>
      </c>
      <c r="T288" s="24">
        <v>42815</v>
      </c>
    </row>
    <row r="289" spans="1:20" s="1" customFormat="1" x14ac:dyDescent="0.25">
      <c r="A289" s="5">
        <v>257</v>
      </c>
      <c r="B289" s="204">
        <v>42803</v>
      </c>
      <c r="C289" s="5">
        <v>499</v>
      </c>
      <c r="D289" s="1">
        <v>119</v>
      </c>
      <c r="E289" s="1">
        <v>3000039564</v>
      </c>
      <c r="F289" s="1" t="s">
        <v>769</v>
      </c>
      <c r="G289" s="1" t="s">
        <v>775</v>
      </c>
      <c r="H289" s="1" t="s">
        <v>776</v>
      </c>
      <c r="I289" s="1">
        <v>9499740227</v>
      </c>
      <c r="J289" s="204">
        <v>42798</v>
      </c>
      <c r="K289" s="204">
        <v>42798</v>
      </c>
      <c r="L289" s="1" t="s">
        <v>772</v>
      </c>
      <c r="M289" s="1">
        <v>19.88</v>
      </c>
      <c r="N289" s="1">
        <v>19.809999999999999</v>
      </c>
      <c r="O289" s="1">
        <f t="shared" si="32"/>
        <v>19.809999999999999</v>
      </c>
      <c r="P289" s="7">
        <f>+K289+15-1</f>
        <v>42812</v>
      </c>
      <c r="Q289" s="225">
        <v>1526784</v>
      </c>
      <c r="R289" s="305">
        <f t="shared" si="33"/>
        <v>1521408</v>
      </c>
      <c r="S289" s="24">
        <v>42811</v>
      </c>
      <c r="T289" s="24">
        <v>42815</v>
      </c>
    </row>
    <row r="290" spans="1:20" s="1" customFormat="1" x14ac:dyDescent="0.25">
      <c r="A290" s="5">
        <v>258</v>
      </c>
      <c r="B290" s="204">
        <v>42803</v>
      </c>
      <c r="C290" s="5">
        <v>499</v>
      </c>
      <c r="D290" s="1">
        <v>114</v>
      </c>
      <c r="E290" s="1">
        <v>3000037309</v>
      </c>
      <c r="F290" s="1" t="s">
        <v>425</v>
      </c>
      <c r="G290" s="1">
        <v>749</v>
      </c>
      <c r="H290" s="1" t="s">
        <v>688</v>
      </c>
      <c r="I290" s="1">
        <v>9499740216</v>
      </c>
      <c r="J290" s="204">
        <v>42795</v>
      </c>
      <c r="K290" s="204">
        <v>42798</v>
      </c>
      <c r="L290" s="1" t="s">
        <v>362</v>
      </c>
      <c r="M290" s="1">
        <v>20.745000000000001</v>
      </c>
      <c r="N290" s="1">
        <v>20.71</v>
      </c>
      <c r="O290" s="1">
        <f t="shared" si="32"/>
        <v>20.71</v>
      </c>
      <c r="P290" s="7">
        <f>+K290+4-1</f>
        <v>42801</v>
      </c>
      <c r="Q290" s="225">
        <v>2418867</v>
      </c>
      <c r="R290" s="305">
        <f t="shared" si="33"/>
        <v>2414786</v>
      </c>
      <c r="S290" s="24">
        <v>42811</v>
      </c>
      <c r="T290" s="24">
        <v>42815</v>
      </c>
    </row>
    <row r="291" spans="1:20" s="1" customFormat="1" x14ac:dyDescent="0.25">
      <c r="A291" s="5">
        <v>258</v>
      </c>
      <c r="B291" s="204">
        <v>42803</v>
      </c>
      <c r="C291" s="5">
        <v>499</v>
      </c>
      <c r="D291" s="1">
        <v>120</v>
      </c>
      <c r="E291" s="1">
        <v>3000039564</v>
      </c>
      <c r="F291" s="1" t="s">
        <v>769</v>
      </c>
      <c r="G291" s="1" t="s">
        <v>777</v>
      </c>
      <c r="H291" s="1" t="s">
        <v>778</v>
      </c>
      <c r="I291" s="1">
        <v>9499740227</v>
      </c>
      <c r="J291" s="204">
        <v>42798</v>
      </c>
      <c r="K291" s="204">
        <v>42798</v>
      </c>
      <c r="L291" s="1" t="s">
        <v>772</v>
      </c>
      <c r="M291" s="1">
        <v>20.2</v>
      </c>
      <c r="N291" s="1">
        <v>20.11</v>
      </c>
      <c r="O291" s="1">
        <f t="shared" si="32"/>
        <v>20.11</v>
      </c>
      <c r="P291" s="7">
        <f t="shared" ref="P291:P305" si="34">+K291+15-1</f>
        <v>42812</v>
      </c>
      <c r="Q291" s="225">
        <v>1551360</v>
      </c>
      <c r="R291" s="305">
        <f t="shared" si="33"/>
        <v>1544448</v>
      </c>
      <c r="S291" s="24">
        <v>42811</v>
      </c>
      <c r="T291" s="24">
        <v>42815</v>
      </c>
    </row>
    <row r="292" spans="1:20" s="1" customFormat="1" x14ac:dyDescent="0.25">
      <c r="A292" s="5">
        <v>265</v>
      </c>
      <c r="B292" s="204">
        <v>42808</v>
      </c>
      <c r="C292" s="5">
        <v>499</v>
      </c>
      <c r="D292" s="1">
        <v>121</v>
      </c>
      <c r="E292" s="1">
        <v>3000039564</v>
      </c>
      <c r="F292" s="1" t="s">
        <v>769</v>
      </c>
      <c r="G292" s="1" t="s">
        <v>787</v>
      </c>
      <c r="H292" s="1" t="s">
        <v>788</v>
      </c>
      <c r="I292" s="1">
        <v>9499740231</v>
      </c>
      <c r="J292" s="204">
        <v>42801</v>
      </c>
      <c r="K292" s="204">
        <v>42801</v>
      </c>
      <c r="L292" s="1" t="s">
        <v>772</v>
      </c>
      <c r="M292" s="1">
        <v>20.22</v>
      </c>
      <c r="N292" s="1">
        <v>20.149999999999999</v>
      </c>
      <c r="O292" s="1">
        <f t="shared" si="32"/>
        <v>20.149999999999999</v>
      </c>
      <c r="P292" s="7">
        <f t="shared" si="34"/>
        <v>42815</v>
      </c>
      <c r="Q292" s="225">
        <v>1552896</v>
      </c>
      <c r="R292" s="305">
        <f t="shared" si="33"/>
        <v>1547520</v>
      </c>
      <c r="S292" s="24">
        <v>42811</v>
      </c>
      <c r="T292" s="24">
        <v>42815</v>
      </c>
    </row>
    <row r="293" spans="1:20" s="1" customFormat="1" x14ac:dyDescent="0.25">
      <c r="A293" s="5">
        <v>266</v>
      </c>
      <c r="B293" s="204">
        <v>42810</v>
      </c>
      <c r="C293" s="5">
        <v>499</v>
      </c>
      <c r="D293" s="1">
        <v>122</v>
      </c>
      <c r="E293" s="1">
        <v>3000039564</v>
      </c>
      <c r="F293" s="1" t="s">
        <v>769</v>
      </c>
      <c r="G293" s="1" t="s">
        <v>833</v>
      </c>
      <c r="H293" s="1" t="s">
        <v>834</v>
      </c>
      <c r="I293" s="1">
        <v>9499740231</v>
      </c>
      <c r="J293" s="204">
        <v>42801</v>
      </c>
      <c r="K293" s="204">
        <v>42801</v>
      </c>
      <c r="L293" s="1" t="s">
        <v>772</v>
      </c>
      <c r="M293" s="1">
        <v>20.18</v>
      </c>
      <c r="N293" s="1">
        <v>20.07</v>
      </c>
      <c r="O293" s="1">
        <f t="shared" si="32"/>
        <v>20.07</v>
      </c>
      <c r="P293" s="7">
        <f t="shared" si="34"/>
        <v>42815</v>
      </c>
      <c r="Q293" s="225">
        <v>1549824</v>
      </c>
      <c r="R293" s="305">
        <f t="shared" si="33"/>
        <v>1541376</v>
      </c>
      <c r="S293" s="24">
        <v>42811</v>
      </c>
      <c r="T293" s="24">
        <v>42815</v>
      </c>
    </row>
    <row r="294" spans="1:20" s="1" customFormat="1" x14ac:dyDescent="0.25">
      <c r="A294" s="5">
        <v>267</v>
      </c>
      <c r="B294" s="204">
        <v>42810</v>
      </c>
      <c r="C294" s="5">
        <v>499</v>
      </c>
      <c r="D294" s="1">
        <v>122</v>
      </c>
      <c r="E294" s="1">
        <v>3000039564</v>
      </c>
      <c r="F294" s="1" t="s">
        <v>769</v>
      </c>
      <c r="G294" s="1" t="s">
        <v>835</v>
      </c>
      <c r="H294" s="1" t="s">
        <v>836</v>
      </c>
      <c r="I294" s="1">
        <v>9499740231</v>
      </c>
      <c r="J294" s="204">
        <v>42801</v>
      </c>
      <c r="K294" s="204">
        <v>42801</v>
      </c>
      <c r="L294" s="1" t="s">
        <v>772</v>
      </c>
      <c r="M294" s="1">
        <v>21.16</v>
      </c>
      <c r="N294" s="1">
        <v>21.09</v>
      </c>
      <c r="O294" s="1">
        <f t="shared" si="32"/>
        <v>21.09</v>
      </c>
      <c r="P294" s="7">
        <f t="shared" si="34"/>
        <v>42815</v>
      </c>
      <c r="Q294" s="225">
        <v>1625088</v>
      </c>
      <c r="R294" s="305">
        <f t="shared" si="33"/>
        <v>1619712</v>
      </c>
      <c r="S294" s="24">
        <v>42811</v>
      </c>
      <c r="T294" s="24">
        <v>42815</v>
      </c>
    </row>
    <row r="295" spans="1:20" s="1" customFormat="1" x14ac:dyDescent="0.25">
      <c r="A295" s="5">
        <v>268</v>
      </c>
      <c r="B295" s="204">
        <v>42810</v>
      </c>
      <c r="C295" s="5">
        <v>499</v>
      </c>
      <c r="D295" s="1">
        <v>122</v>
      </c>
      <c r="E295" s="1">
        <v>3000039564</v>
      </c>
      <c r="F295" s="1" t="s">
        <v>769</v>
      </c>
      <c r="G295" s="1" t="s">
        <v>837</v>
      </c>
      <c r="H295" s="1" t="s">
        <v>838</v>
      </c>
      <c r="I295" s="1">
        <v>9499740231</v>
      </c>
      <c r="J295" s="204">
        <v>42801</v>
      </c>
      <c r="K295" s="204">
        <v>42801</v>
      </c>
      <c r="L295" s="1" t="s">
        <v>772</v>
      </c>
      <c r="M295" s="1">
        <v>20.98</v>
      </c>
      <c r="N295" s="1">
        <v>20.88</v>
      </c>
      <c r="O295" s="1">
        <f t="shared" si="32"/>
        <v>20.88</v>
      </c>
      <c r="P295" s="7">
        <f t="shared" si="34"/>
        <v>42815</v>
      </c>
      <c r="Q295" s="225">
        <v>1611264</v>
      </c>
      <c r="R295" s="305">
        <f t="shared" si="33"/>
        <v>1603584</v>
      </c>
      <c r="S295" s="24">
        <v>42811</v>
      </c>
      <c r="T295" s="24">
        <v>42815</v>
      </c>
    </row>
    <row r="296" spans="1:20" s="1" customFormat="1" x14ac:dyDescent="0.25">
      <c r="A296" s="5">
        <v>269</v>
      </c>
      <c r="B296" s="204">
        <v>42810</v>
      </c>
      <c r="C296" s="5">
        <v>499</v>
      </c>
      <c r="D296" s="1">
        <v>122</v>
      </c>
      <c r="E296" s="1">
        <v>3000039564</v>
      </c>
      <c r="F296" s="1" t="s">
        <v>769</v>
      </c>
      <c r="G296" s="1" t="s">
        <v>839</v>
      </c>
      <c r="H296" s="1" t="s">
        <v>840</v>
      </c>
      <c r="I296" s="1">
        <v>9499740231</v>
      </c>
      <c r="J296" s="204">
        <v>42801</v>
      </c>
      <c r="K296" s="204">
        <v>42801</v>
      </c>
      <c r="L296" s="1" t="s">
        <v>772</v>
      </c>
      <c r="M296" s="1">
        <v>25.84</v>
      </c>
      <c r="N296" s="1">
        <v>25.8</v>
      </c>
      <c r="O296" s="1">
        <f t="shared" si="32"/>
        <v>25.8</v>
      </c>
      <c r="P296" s="7">
        <f t="shared" si="34"/>
        <v>42815</v>
      </c>
      <c r="Q296" s="225">
        <v>1984512</v>
      </c>
      <c r="R296" s="305">
        <f t="shared" si="33"/>
        <v>1981440</v>
      </c>
      <c r="S296" s="24">
        <v>42811</v>
      </c>
      <c r="T296" s="24">
        <v>42815</v>
      </c>
    </row>
    <row r="297" spans="1:20" s="1" customFormat="1" x14ac:dyDescent="0.25">
      <c r="A297" s="5">
        <v>270</v>
      </c>
      <c r="B297" s="204">
        <v>42810</v>
      </c>
      <c r="C297" s="5">
        <v>499</v>
      </c>
      <c r="D297" s="1">
        <v>122</v>
      </c>
      <c r="E297" s="1">
        <v>3000039564</v>
      </c>
      <c r="F297" s="1" t="s">
        <v>769</v>
      </c>
      <c r="G297" s="1" t="s">
        <v>841</v>
      </c>
      <c r="H297" s="1" t="s">
        <v>842</v>
      </c>
      <c r="I297" s="1">
        <v>9499740231</v>
      </c>
      <c r="J297" s="204">
        <v>42923</v>
      </c>
      <c r="K297" s="204">
        <v>42801</v>
      </c>
      <c r="L297" s="1" t="s">
        <v>772</v>
      </c>
      <c r="M297" s="1">
        <v>20.53</v>
      </c>
      <c r="N297" s="1">
        <v>20.48</v>
      </c>
      <c r="O297" s="1">
        <f t="shared" si="32"/>
        <v>20.48</v>
      </c>
      <c r="P297" s="7">
        <f t="shared" si="34"/>
        <v>42815</v>
      </c>
      <c r="Q297" s="225">
        <v>1576704</v>
      </c>
      <c r="R297" s="305">
        <f t="shared" si="33"/>
        <v>1572864</v>
      </c>
      <c r="S297" s="24">
        <v>42811</v>
      </c>
      <c r="T297" s="24">
        <v>42815</v>
      </c>
    </row>
    <row r="298" spans="1:20" s="1" customFormat="1" x14ac:dyDescent="0.25">
      <c r="A298" s="5">
        <v>271</v>
      </c>
      <c r="B298" s="204">
        <v>42810</v>
      </c>
      <c r="C298" s="5">
        <v>499</v>
      </c>
      <c r="D298" s="1">
        <v>122</v>
      </c>
      <c r="E298" s="1">
        <v>3000039564</v>
      </c>
      <c r="F298" s="1" t="s">
        <v>769</v>
      </c>
      <c r="G298" s="1" t="s">
        <v>843</v>
      </c>
      <c r="H298" s="1" t="s">
        <v>844</v>
      </c>
      <c r="I298" s="1">
        <v>9499740231</v>
      </c>
      <c r="J298" s="204">
        <v>42801</v>
      </c>
      <c r="K298" s="204">
        <v>42801</v>
      </c>
      <c r="L298" s="1" t="s">
        <v>772</v>
      </c>
      <c r="M298" s="1">
        <v>20.48</v>
      </c>
      <c r="N298" s="1">
        <v>20.45</v>
      </c>
      <c r="O298" s="1">
        <f t="shared" si="32"/>
        <v>20.45</v>
      </c>
      <c r="P298" s="7">
        <f t="shared" si="34"/>
        <v>42815</v>
      </c>
      <c r="Q298" s="225">
        <v>1572864</v>
      </c>
      <c r="R298" s="305">
        <f t="shared" si="33"/>
        <v>1570560</v>
      </c>
      <c r="S298" s="24">
        <v>42811</v>
      </c>
      <c r="T298" s="24">
        <v>42815</v>
      </c>
    </row>
    <row r="299" spans="1:20" s="1" customFormat="1" x14ac:dyDescent="0.25">
      <c r="A299" s="5">
        <v>272</v>
      </c>
      <c r="B299" s="204">
        <v>42810</v>
      </c>
      <c r="C299" s="5">
        <v>499</v>
      </c>
      <c r="D299" s="1">
        <v>122</v>
      </c>
      <c r="E299" s="1">
        <v>3000039564</v>
      </c>
      <c r="F299" s="1" t="s">
        <v>769</v>
      </c>
      <c r="G299" s="1" t="s">
        <v>845</v>
      </c>
      <c r="H299" s="1" t="s">
        <v>846</v>
      </c>
      <c r="I299" s="1">
        <v>9499740231</v>
      </c>
      <c r="J299" s="204">
        <v>42801</v>
      </c>
      <c r="K299" s="204">
        <v>42801</v>
      </c>
      <c r="L299" s="1" t="s">
        <v>772</v>
      </c>
      <c r="M299" s="1">
        <v>20.14</v>
      </c>
      <c r="N299" s="1">
        <v>20.079999999999998</v>
      </c>
      <c r="O299" s="1">
        <f t="shared" si="32"/>
        <v>20.079999999999998</v>
      </c>
      <c r="P299" s="7">
        <f t="shared" si="34"/>
        <v>42815</v>
      </c>
      <c r="Q299" s="225">
        <v>1546752</v>
      </c>
      <c r="R299" s="305">
        <f t="shared" si="33"/>
        <v>1542143.9999999998</v>
      </c>
      <c r="S299" s="24">
        <v>42811</v>
      </c>
      <c r="T299" s="24">
        <v>42815</v>
      </c>
    </row>
    <row r="300" spans="1:20" s="1" customFormat="1" x14ac:dyDescent="0.25">
      <c r="A300" s="5">
        <v>273</v>
      </c>
      <c r="B300" s="204">
        <v>42810</v>
      </c>
      <c r="C300" s="5">
        <v>499</v>
      </c>
      <c r="D300" s="1">
        <v>123</v>
      </c>
      <c r="E300" s="1">
        <v>3000039564</v>
      </c>
      <c r="F300" s="1" t="s">
        <v>769</v>
      </c>
      <c r="G300" s="1" t="s">
        <v>847</v>
      </c>
      <c r="H300" s="1" t="s">
        <v>848</v>
      </c>
      <c r="I300" s="1">
        <v>9499740233</v>
      </c>
      <c r="J300" s="204">
        <v>42802</v>
      </c>
      <c r="K300" s="204">
        <v>42802</v>
      </c>
      <c r="L300" s="1" t="s">
        <v>772</v>
      </c>
      <c r="M300" s="1">
        <v>20.02</v>
      </c>
      <c r="N300" s="1">
        <v>19.95</v>
      </c>
      <c r="O300" s="1">
        <f t="shared" si="32"/>
        <v>19.95</v>
      </c>
      <c r="P300" s="7">
        <f t="shared" si="34"/>
        <v>42816</v>
      </c>
      <c r="Q300" s="225">
        <v>1537536</v>
      </c>
      <c r="R300" s="305">
        <f t="shared" si="33"/>
        <v>1532160</v>
      </c>
      <c r="S300" s="24">
        <v>42811</v>
      </c>
      <c r="T300" s="24">
        <v>42815</v>
      </c>
    </row>
    <row r="301" spans="1:20" s="1" customFormat="1" x14ac:dyDescent="0.25">
      <c r="A301" s="5">
        <v>274</v>
      </c>
      <c r="B301" s="204">
        <v>42810</v>
      </c>
      <c r="C301" s="5">
        <v>499</v>
      </c>
      <c r="D301" s="1">
        <v>123</v>
      </c>
      <c r="E301" s="1">
        <v>3000039564</v>
      </c>
      <c r="F301" s="1" t="s">
        <v>769</v>
      </c>
      <c r="G301" s="1" t="s">
        <v>849</v>
      </c>
      <c r="H301" s="1" t="s">
        <v>496</v>
      </c>
      <c r="I301" s="1">
        <v>9499740233</v>
      </c>
      <c r="J301" s="204">
        <v>42802</v>
      </c>
      <c r="K301" s="204">
        <v>42802</v>
      </c>
      <c r="L301" s="1" t="s">
        <v>772</v>
      </c>
      <c r="M301" s="1">
        <v>20.28</v>
      </c>
      <c r="N301" s="1">
        <v>20.2</v>
      </c>
      <c r="O301" s="1">
        <f t="shared" si="32"/>
        <v>20.2</v>
      </c>
      <c r="P301" s="7">
        <f t="shared" si="34"/>
        <v>42816</v>
      </c>
      <c r="Q301" s="225">
        <v>1557504</v>
      </c>
      <c r="R301" s="305">
        <f t="shared" si="33"/>
        <v>1551360</v>
      </c>
      <c r="S301" s="24">
        <v>42811</v>
      </c>
      <c r="T301" s="24">
        <v>42815</v>
      </c>
    </row>
    <row r="302" spans="1:20" s="1" customFormat="1" x14ac:dyDescent="0.25">
      <c r="A302" s="5">
        <v>275</v>
      </c>
      <c r="B302" s="204">
        <v>42810</v>
      </c>
      <c r="C302" s="5">
        <v>499</v>
      </c>
      <c r="D302" s="1">
        <v>123</v>
      </c>
      <c r="E302" s="1">
        <v>3000039564</v>
      </c>
      <c r="F302" s="1" t="s">
        <v>769</v>
      </c>
      <c r="G302" s="1" t="s">
        <v>850</v>
      </c>
      <c r="H302" s="1" t="s">
        <v>851</v>
      </c>
      <c r="I302" s="1">
        <v>9499740233</v>
      </c>
      <c r="J302" s="204">
        <v>42802</v>
      </c>
      <c r="K302" s="204">
        <v>42802</v>
      </c>
      <c r="L302" s="1" t="s">
        <v>772</v>
      </c>
      <c r="M302" s="1">
        <v>20.21</v>
      </c>
      <c r="N302" s="1">
        <v>20.13</v>
      </c>
      <c r="O302" s="1">
        <f t="shared" si="32"/>
        <v>20.13</v>
      </c>
      <c r="P302" s="7">
        <f t="shared" si="34"/>
        <v>42816</v>
      </c>
      <c r="Q302" s="225">
        <v>1552128</v>
      </c>
      <c r="R302" s="305">
        <f t="shared" si="33"/>
        <v>1545984</v>
      </c>
      <c r="S302" s="24">
        <v>42811</v>
      </c>
      <c r="T302" s="24">
        <v>42815</v>
      </c>
    </row>
    <row r="303" spans="1:20" s="1" customFormat="1" x14ac:dyDescent="0.25">
      <c r="A303" s="5">
        <v>276</v>
      </c>
      <c r="B303" s="204">
        <v>42810</v>
      </c>
      <c r="C303" s="5">
        <v>499</v>
      </c>
      <c r="D303" s="1">
        <v>123</v>
      </c>
      <c r="E303" s="1">
        <v>3000039564</v>
      </c>
      <c r="F303" s="1" t="s">
        <v>769</v>
      </c>
      <c r="G303" s="1" t="s">
        <v>852</v>
      </c>
      <c r="H303" s="1" t="s">
        <v>853</v>
      </c>
      <c r="I303" s="1">
        <v>9499740233</v>
      </c>
      <c r="J303" s="204">
        <v>42802</v>
      </c>
      <c r="K303" s="204">
        <v>42802</v>
      </c>
      <c r="L303" s="1" t="s">
        <v>772</v>
      </c>
      <c r="M303" s="1">
        <v>20.190000000000001</v>
      </c>
      <c r="N303" s="1">
        <v>20.11</v>
      </c>
      <c r="O303" s="1">
        <f t="shared" si="32"/>
        <v>20.11</v>
      </c>
      <c r="P303" s="7">
        <f t="shared" si="34"/>
        <v>42816</v>
      </c>
      <c r="Q303" s="225">
        <v>1550592</v>
      </c>
      <c r="R303" s="305">
        <f t="shared" si="33"/>
        <v>1544448</v>
      </c>
      <c r="S303" s="24">
        <v>42811</v>
      </c>
      <c r="T303" s="24">
        <v>42815</v>
      </c>
    </row>
    <row r="304" spans="1:20" s="1" customFormat="1" x14ac:dyDescent="0.25">
      <c r="A304" s="5">
        <v>268</v>
      </c>
      <c r="B304" s="204">
        <v>42810</v>
      </c>
      <c r="C304" s="5">
        <v>499</v>
      </c>
      <c r="D304" s="1">
        <v>123</v>
      </c>
      <c r="E304" s="1">
        <v>3000039564</v>
      </c>
      <c r="F304" s="1" t="s">
        <v>769</v>
      </c>
      <c r="G304" s="1" t="s">
        <v>854</v>
      </c>
      <c r="H304" s="1" t="s">
        <v>855</v>
      </c>
      <c r="I304" s="1">
        <v>9499740233</v>
      </c>
      <c r="J304" s="204">
        <v>42802</v>
      </c>
      <c r="K304" s="204">
        <v>42802</v>
      </c>
      <c r="L304" s="1" t="s">
        <v>772</v>
      </c>
      <c r="M304" s="1">
        <v>19.96</v>
      </c>
      <c r="N304" s="1">
        <v>19.899999999999999</v>
      </c>
      <c r="O304" s="1">
        <f t="shared" si="32"/>
        <v>19.899999999999999</v>
      </c>
      <c r="P304" s="7">
        <f t="shared" si="34"/>
        <v>42816</v>
      </c>
      <c r="Q304" s="225">
        <v>1532928</v>
      </c>
      <c r="R304" s="305">
        <f t="shared" si="33"/>
        <v>1528320</v>
      </c>
      <c r="S304" s="24">
        <v>42811</v>
      </c>
      <c r="T304" s="24">
        <v>42815</v>
      </c>
    </row>
    <row r="305" spans="1:20" s="1" customFormat="1" x14ac:dyDescent="0.25">
      <c r="A305" s="5">
        <v>268</v>
      </c>
      <c r="B305" s="204">
        <v>42810</v>
      </c>
      <c r="C305" s="5">
        <v>499</v>
      </c>
      <c r="D305" s="1">
        <v>123</v>
      </c>
      <c r="E305" s="1">
        <v>3000039564</v>
      </c>
      <c r="F305" s="1" t="s">
        <v>769</v>
      </c>
      <c r="G305" s="1" t="s">
        <v>856</v>
      </c>
      <c r="H305" s="1" t="s">
        <v>857</v>
      </c>
      <c r="I305" s="1">
        <v>9499740233</v>
      </c>
      <c r="J305" s="204">
        <v>42802</v>
      </c>
      <c r="K305" s="204">
        <v>42802</v>
      </c>
      <c r="L305" s="1" t="s">
        <v>772</v>
      </c>
      <c r="M305" s="1">
        <v>20.47</v>
      </c>
      <c r="N305" s="1">
        <v>20.41</v>
      </c>
      <c r="O305" s="1">
        <f t="shared" si="32"/>
        <v>20.41</v>
      </c>
      <c r="P305" s="7">
        <f t="shared" si="34"/>
        <v>42816</v>
      </c>
      <c r="Q305" s="225">
        <v>1572096</v>
      </c>
      <c r="R305" s="305">
        <f t="shared" si="33"/>
        <v>1567488</v>
      </c>
      <c r="S305" s="24">
        <v>42811</v>
      </c>
      <c r="T305" s="24">
        <v>42815</v>
      </c>
    </row>
    <row r="306" spans="1:20" s="1" customFormat="1" x14ac:dyDescent="0.25">
      <c r="A306" s="1">
        <v>280</v>
      </c>
      <c r="B306" s="204">
        <v>42815</v>
      </c>
      <c r="C306" s="5">
        <v>499</v>
      </c>
      <c r="F306" s="8" t="s">
        <v>623</v>
      </c>
      <c r="G306" s="1">
        <v>30596</v>
      </c>
      <c r="H306" s="1" t="s">
        <v>711</v>
      </c>
      <c r="I306" s="1">
        <v>9499740235</v>
      </c>
      <c r="J306" s="204">
        <v>42808</v>
      </c>
      <c r="K306" s="204">
        <v>42808</v>
      </c>
      <c r="L306" s="1" t="s">
        <v>362</v>
      </c>
      <c r="M306" s="1">
        <v>21.82</v>
      </c>
      <c r="N306" s="1">
        <v>21.82</v>
      </c>
      <c r="O306" s="1">
        <f t="shared" si="32"/>
        <v>21.82</v>
      </c>
      <c r="P306" s="7">
        <f t="shared" ref="P306:P316" si="35">+K306+20-1</f>
        <v>42827</v>
      </c>
      <c r="Q306" s="1">
        <v>2833327</v>
      </c>
      <c r="R306" s="305">
        <f t="shared" si="33"/>
        <v>2833327</v>
      </c>
      <c r="S306" s="1" t="s">
        <v>164</v>
      </c>
    </row>
    <row r="307" spans="1:20" s="1" customFormat="1" x14ac:dyDescent="0.25">
      <c r="A307" s="1">
        <v>280</v>
      </c>
      <c r="B307" s="204">
        <v>42815</v>
      </c>
      <c r="C307" s="5">
        <v>499</v>
      </c>
      <c r="F307" s="8" t="s">
        <v>623</v>
      </c>
      <c r="G307" s="1">
        <v>30612</v>
      </c>
      <c r="H307" s="1" t="s">
        <v>712</v>
      </c>
      <c r="I307" s="1">
        <v>9499740235</v>
      </c>
      <c r="J307" s="204">
        <v>42809</v>
      </c>
      <c r="K307" s="204">
        <v>42809</v>
      </c>
      <c r="L307" s="1" t="s">
        <v>362</v>
      </c>
      <c r="M307" s="1">
        <v>22.97</v>
      </c>
      <c r="N307" s="1">
        <v>22.97</v>
      </c>
      <c r="O307" s="1">
        <f t="shared" si="32"/>
        <v>22.97</v>
      </c>
      <c r="P307" s="7">
        <f t="shared" si="35"/>
        <v>42828</v>
      </c>
      <c r="Q307" s="1">
        <v>2982655</v>
      </c>
      <c r="R307" s="305">
        <f t="shared" si="33"/>
        <v>2982655</v>
      </c>
      <c r="S307" s="1" t="s">
        <v>164</v>
      </c>
    </row>
    <row r="308" spans="1:20" s="1" customFormat="1" x14ac:dyDescent="0.25">
      <c r="A308" s="1">
        <v>279</v>
      </c>
      <c r="B308" s="331">
        <v>42815</v>
      </c>
      <c r="C308" s="332">
        <v>499</v>
      </c>
      <c r="D308" s="332"/>
      <c r="E308" s="332">
        <v>3000039665</v>
      </c>
      <c r="F308" s="332" t="s">
        <v>809</v>
      </c>
      <c r="G308" s="332">
        <v>446</v>
      </c>
      <c r="H308" s="332" t="s">
        <v>784</v>
      </c>
      <c r="I308" s="332">
        <v>9499740232</v>
      </c>
      <c r="J308" s="331">
        <v>42801</v>
      </c>
      <c r="K308" s="331">
        <v>42801</v>
      </c>
      <c r="L308" s="332" t="s">
        <v>785</v>
      </c>
      <c r="M308" s="332">
        <v>26.72</v>
      </c>
      <c r="N308" s="332">
        <v>26.72</v>
      </c>
      <c r="O308" s="332">
        <f t="shared" si="32"/>
        <v>26.72</v>
      </c>
      <c r="P308" s="333">
        <f t="shared" si="35"/>
        <v>42820</v>
      </c>
      <c r="Q308" s="332">
        <v>2088157</v>
      </c>
      <c r="R308" s="335">
        <f t="shared" si="33"/>
        <v>2088157</v>
      </c>
      <c r="S308" s="1" t="s">
        <v>164</v>
      </c>
    </row>
    <row r="309" spans="1:20" s="1" customFormat="1" x14ac:dyDescent="0.25">
      <c r="A309" s="1">
        <v>279</v>
      </c>
      <c r="B309" s="331">
        <v>42815</v>
      </c>
      <c r="C309" s="332">
        <v>499</v>
      </c>
      <c r="D309" s="332"/>
      <c r="E309" s="332">
        <v>3000039665</v>
      </c>
      <c r="F309" s="332" t="s">
        <v>809</v>
      </c>
      <c r="G309" s="332">
        <v>447</v>
      </c>
      <c r="H309" s="332" t="s">
        <v>884</v>
      </c>
      <c r="I309" s="332">
        <v>9499740232</v>
      </c>
      <c r="J309" s="331">
        <v>42801</v>
      </c>
      <c r="K309" s="331">
        <v>42801</v>
      </c>
      <c r="L309" s="332" t="s">
        <v>785</v>
      </c>
      <c r="M309" s="332">
        <v>32.82</v>
      </c>
      <c r="N309" s="332">
        <v>32.82</v>
      </c>
      <c r="O309" s="332">
        <f t="shared" si="32"/>
        <v>32.82</v>
      </c>
      <c r="P309" s="333">
        <f t="shared" si="35"/>
        <v>42820</v>
      </c>
      <c r="Q309" s="332">
        <v>2475915</v>
      </c>
      <c r="R309" s="335">
        <f t="shared" si="33"/>
        <v>2475915</v>
      </c>
      <c r="S309" s="1" t="s">
        <v>164</v>
      </c>
    </row>
    <row r="310" spans="1:20" s="1" customFormat="1" x14ac:dyDescent="0.25">
      <c r="A310" s="1">
        <v>279</v>
      </c>
      <c r="B310" s="331">
        <v>42815</v>
      </c>
      <c r="C310" s="332">
        <v>499</v>
      </c>
      <c r="D310" s="332"/>
      <c r="E310" s="332">
        <v>3000039665</v>
      </c>
      <c r="F310" s="332" t="s">
        <v>809</v>
      </c>
      <c r="G310" s="332">
        <v>448</v>
      </c>
      <c r="H310" s="332" t="s">
        <v>885</v>
      </c>
      <c r="I310" s="332" t="s">
        <v>886</v>
      </c>
      <c r="J310" s="331">
        <v>42801</v>
      </c>
      <c r="K310" s="331">
        <v>42801</v>
      </c>
      <c r="L310" s="332" t="s">
        <v>785</v>
      </c>
      <c r="M310" s="332">
        <v>27.8</v>
      </c>
      <c r="N310" s="332">
        <v>27.8</v>
      </c>
      <c r="O310" s="332">
        <f t="shared" si="32"/>
        <v>27.8</v>
      </c>
      <c r="P310" s="333">
        <f t="shared" si="35"/>
        <v>42820</v>
      </c>
      <c r="Q310" s="332">
        <v>2061376</v>
      </c>
      <c r="R310" s="335">
        <f t="shared" si="33"/>
        <v>2061375.9999999998</v>
      </c>
      <c r="S310" s="1" t="s">
        <v>164</v>
      </c>
    </row>
    <row r="311" spans="1:20" s="1" customFormat="1" x14ac:dyDescent="0.25">
      <c r="A311" s="1">
        <v>279</v>
      </c>
      <c r="B311" s="331">
        <v>42815</v>
      </c>
      <c r="C311" s="332">
        <v>499</v>
      </c>
      <c r="D311" s="332"/>
      <c r="E311" s="332">
        <v>3000039756</v>
      </c>
      <c r="F311" s="332" t="s">
        <v>809</v>
      </c>
      <c r="G311" s="332">
        <v>449</v>
      </c>
      <c r="H311" s="332" t="s">
        <v>885</v>
      </c>
      <c r="I311" s="332" t="s">
        <v>886</v>
      </c>
      <c r="J311" s="331">
        <v>42801</v>
      </c>
      <c r="K311" s="331">
        <v>42801</v>
      </c>
      <c r="L311" s="332" t="s">
        <v>785</v>
      </c>
      <c r="M311" s="332">
        <v>0.47499999999999998</v>
      </c>
      <c r="N311" s="332">
        <v>0.47499999999999998</v>
      </c>
      <c r="O311" s="332">
        <f t="shared" si="32"/>
        <v>0.47499999999999998</v>
      </c>
      <c r="P311" s="333">
        <f t="shared" si="35"/>
        <v>42820</v>
      </c>
      <c r="Q311" s="332">
        <v>34956</v>
      </c>
      <c r="R311" s="335">
        <f t="shared" si="33"/>
        <v>34956</v>
      </c>
      <c r="S311" s="1" t="s">
        <v>164</v>
      </c>
    </row>
    <row r="312" spans="1:20" s="1" customFormat="1" x14ac:dyDescent="0.25">
      <c r="A312" s="1">
        <v>279</v>
      </c>
      <c r="B312" s="331">
        <v>42815</v>
      </c>
      <c r="C312" s="332">
        <v>499</v>
      </c>
      <c r="D312" s="332"/>
      <c r="E312" s="332">
        <v>3000039756</v>
      </c>
      <c r="F312" s="332" t="s">
        <v>809</v>
      </c>
      <c r="G312" s="332">
        <v>450</v>
      </c>
      <c r="H312" s="332" t="s">
        <v>797</v>
      </c>
      <c r="I312" s="332">
        <v>9499740234</v>
      </c>
      <c r="J312" s="331">
        <v>42802</v>
      </c>
      <c r="K312" s="331">
        <v>42802</v>
      </c>
      <c r="L312" s="332" t="s">
        <v>785</v>
      </c>
      <c r="M312" s="332">
        <v>26.86</v>
      </c>
      <c r="N312" s="332">
        <v>26.86</v>
      </c>
      <c r="O312" s="332">
        <f t="shared" ref="O312:O316" si="36">IF(N312&gt;M312,M312,N312)</f>
        <v>26.86</v>
      </c>
      <c r="P312" s="333">
        <f t="shared" si="35"/>
        <v>42821</v>
      </c>
      <c r="Q312" s="332">
        <v>1976652</v>
      </c>
      <c r="R312" s="335">
        <f t="shared" ref="R312:R316" si="37">(+Q312/M312*O312)</f>
        <v>1976652</v>
      </c>
      <c r="S312" s="1" t="s">
        <v>164</v>
      </c>
    </row>
    <row r="313" spans="1:20" s="1" customFormat="1" x14ac:dyDescent="0.25">
      <c r="A313" s="1">
        <v>279</v>
      </c>
      <c r="B313" s="331">
        <v>42815</v>
      </c>
      <c r="C313" s="332">
        <v>499</v>
      </c>
      <c r="D313" s="332"/>
      <c r="E313" s="332">
        <v>3000039756</v>
      </c>
      <c r="F313" s="332" t="s">
        <v>809</v>
      </c>
      <c r="G313" s="332">
        <v>451</v>
      </c>
      <c r="H313" s="332" t="s">
        <v>798</v>
      </c>
      <c r="I313" s="332">
        <v>9499740234</v>
      </c>
      <c r="J313" s="331">
        <v>42802</v>
      </c>
      <c r="K313" s="331">
        <v>42802</v>
      </c>
      <c r="L313" s="332" t="s">
        <v>785</v>
      </c>
      <c r="M313" s="332">
        <v>33.47</v>
      </c>
      <c r="N313" s="332">
        <v>33.47</v>
      </c>
      <c r="O313" s="332">
        <f t="shared" si="36"/>
        <v>33.47</v>
      </c>
      <c r="P313" s="333">
        <f t="shared" si="35"/>
        <v>42821</v>
      </c>
      <c r="Q313" s="332">
        <v>2463089</v>
      </c>
      <c r="R313" s="335">
        <f t="shared" si="37"/>
        <v>2463089</v>
      </c>
      <c r="S313" s="1" t="s">
        <v>164</v>
      </c>
    </row>
    <row r="314" spans="1:20" s="1" customFormat="1" x14ac:dyDescent="0.25">
      <c r="A314" s="1">
        <v>279</v>
      </c>
      <c r="B314" s="331">
        <v>42815</v>
      </c>
      <c r="C314" s="332">
        <v>499</v>
      </c>
      <c r="D314" s="332"/>
      <c r="E314" s="332">
        <v>3000039756</v>
      </c>
      <c r="F314" s="332" t="s">
        <v>809</v>
      </c>
      <c r="G314" s="332">
        <v>452</v>
      </c>
      <c r="H314" s="332" t="s">
        <v>793</v>
      </c>
      <c r="I314" s="332">
        <v>9499740234</v>
      </c>
      <c r="J314" s="331">
        <v>42802</v>
      </c>
      <c r="K314" s="331">
        <v>42802</v>
      </c>
      <c r="L314" s="332" t="s">
        <v>785</v>
      </c>
      <c r="M314" s="332">
        <v>26.99</v>
      </c>
      <c r="N314" s="332">
        <v>26.99</v>
      </c>
      <c r="O314" s="332">
        <f t="shared" si="36"/>
        <v>26.99</v>
      </c>
      <c r="P314" s="333">
        <f t="shared" si="35"/>
        <v>42821</v>
      </c>
      <c r="Q314" s="332">
        <v>1986220</v>
      </c>
      <c r="R314" s="335">
        <f t="shared" si="37"/>
        <v>1986220</v>
      </c>
      <c r="S314" s="1" t="s">
        <v>164</v>
      </c>
    </row>
    <row r="315" spans="1:20" s="343" customFormat="1" x14ac:dyDescent="0.25">
      <c r="A315" s="343">
        <v>208</v>
      </c>
      <c r="B315" s="344">
        <v>42823</v>
      </c>
      <c r="C315" s="343">
        <v>499</v>
      </c>
      <c r="E315" s="343">
        <v>3000039756</v>
      </c>
      <c r="F315" s="343" t="s">
        <v>809</v>
      </c>
      <c r="G315" s="343">
        <v>453</v>
      </c>
      <c r="H315" s="343" t="s">
        <v>916</v>
      </c>
      <c r="I315" s="343">
        <v>9499740239</v>
      </c>
      <c r="J315" s="344">
        <v>42815</v>
      </c>
      <c r="K315" s="344">
        <v>42815</v>
      </c>
      <c r="L315" s="343" t="s">
        <v>785</v>
      </c>
      <c r="M315" s="343">
        <v>26.23</v>
      </c>
      <c r="N315" s="343">
        <v>26.23</v>
      </c>
      <c r="O315" s="343">
        <f t="shared" si="36"/>
        <v>26.23</v>
      </c>
      <c r="P315" s="345">
        <f t="shared" si="35"/>
        <v>42834</v>
      </c>
      <c r="Q315" s="343">
        <v>1930291</v>
      </c>
      <c r="R315" s="346">
        <f t="shared" si="37"/>
        <v>1930291</v>
      </c>
      <c r="S315" s="1" t="s">
        <v>164</v>
      </c>
    </row>
    <row r="316" spans="1:20" s="343" customFormat="1" x14ac:dyDescent="0.25">
      <c r="A316" s="343">
        <v>209</v>
      </c>
      <c r="B316" s="344">
        <v>42823</v>
      </c>
      <c r="C316" s="343">
        <v>499</v>
      </c>
      <c r="E316" s="343">
        <v>3000039756</v>
      </c>
      <c r="F316" s="343" t="s">
        <v>809</v>
      </c>
      <c r="G316" s="343">
        <v>454</v>
      </c>
      <c r="H316" s="343" t="s">
        <v>917</v>
      </c>
      <c r="I316" s="343">
        <v>9499740239</v>
      </c>
      <c r="J316" s="344">
        <v>42815</v>
      </c>
      <c r="K316" s="344">
        <v>42815</v>
      </c>
      <c r="L316" s="343" t="s">
        <v>785</v>
      </c>
      <c r="M316" s="343">
        <v>26.84</v>
      </c>
      <c r="N316" s="343">
        <v>26.84</v>
      </c>
      <c r="O316" s="343">
        <f t="shared" si="36"/>
        <v>26.84</v>
      </c>
      <c r="P316" s="345">
        <f t="shared" si="35"/>
        <v>42834</v>
      </c>
      <c r="Q316" s="343">
        <v>1975181</v>
      </c>
      <c r="R316" s="346">
        <f t="shared" si="37"/>
        <v>1975181.0000000002</v>
      </c>
      <c r="S316" s="1" t="s">
        <v>164</v>
      </c>
    </row>
    <row r="317" spans="1:20" s="1" customFormat="1" x14ac:dyDescent="0.25">
      <c r="A317" s="5">
        <v>268</v>
      </c>
      <c r="B317" s="204">
        <v>42814</v>
      </c>
      <c r="C317" s="5">
        <v>499</v>
      </c>
      <c r="D317" s="1">
        <v>124</v>
      </c>
      <c r="E317" s="1">
        <v>3000039564</v>
      </c>
      <c r="F317" s="1" t="s">
        <v>769</v>
      </c>
      <c r="G317" s="1" t="s">
        <v>871</v>
      </c>
      <c r="H317" s="1" t="s">
        <v>872</v>
      </c>
      <c r="I317" s="1">
        <v>9499740236</v>
      </c>
      <c r="J317" s="204">
        <v>42807</v>
      </c>
      <c r="K317" s="204">
        <v>42807</v>
      </c>
      <c r="L317" s="1" t="s">
        <v>772</v>
      </c>
      <c r="M317" s="1">
        <v>19.649999999999999</v>
      </c>
      <c r="N317" s="1">
        <v>19.600000000000001</v>
      </c>
      <c r="O317" s="1">
        <f>IF(N317&gt;M317,M317,N317)</f>
        <v>19.600000000000001</v>
      </c>
      <c r="P317" s="7">
        <f>+K317+15-1</f>
        <v>42821</v>
      </c>
      <c r="Q317" s="225">
        <v>1509120</v>
      </c>
      <c r="R317" s="305">
        <f>(+Q317/M317*O317)</f>
        <v>1505280</v>
      </c>
      <c r="S317" s="24">
        <v>42823</v>
      </c>
    </row>
    <row r="318" spans="1:20" s="1" customFormat="1" x14ac:dyDescent="0.25">
      <c r="A318" s="5">
        <v>269</v>
      </c>
      <c r="B318" s="204">
        <v>42815</v>
      </c>
      <c r="C318" s="5">
        <v>499</v>
      </c>
      <c r="D318" s="1">
        <v>125</v>
      </c>
      <c r="E318" s="1">
        <v>3000039564</v>
      </c>
      <c r="F318" s="1" t="s">
        <v>769</v>
      </c>
      <c r="G318" s="1" t="s">
        <v>889</v>
      </c>
      <c r="H318" s="1" t="s">
        <v>888</v>
      </c>
      <c r="I318" s="1">
        <v>9499740236</v>
      </c>
      <c r="J318" s="204">
        <v>42808</v>
      </c>
      <c r="K318" s="204">
        <v>42808</v>
      </c>
      <c r="L318" s="1" t="s">
        <v>772</v>
      </c>
      <c r="M318" s="1">
        <v>20.399999999999999</v>
      </c>
      <c r="N318" s="1">
        <v>20.32</v>
      </c>
      <c r="O318" s="1">
        <f>IF(N318&gt;M318,M318,N318)</f>
        <v>20.32</v>
      </c>
      <c r="P318" s="7">
        <f>+K318+15-1</f>
        <v>42822</v>
      </c>
      <c r="Q318" s="225">
        <v>1566720</v>
      </c>
      <c r="R318" s="305">
        <f>(+Q318/M318*O318)</f>
        <v>1560576</v>
      </c>
      <c r="S318" s="24">
        <v>42823</v>
      </c>
    </row>
    <row r="319" spans="1:20" s="1" customFormat="1" x14ac:dyDescent="0.25">
      <c r="A319" s="5">
        <v>270</v>
      </c>
      <c r="B319" s="204">
        <v>42815</v>
      </c>
      <c r="C319" s="5">
        <v>499</v>
      </c>
      <c r="D319" s="1">
        <v>126</v>
      </c>
      <c r="E319" s="1">
        <v>3000039564</v>
      </c>
      <c r="F319" s="1" t="s">
        <v>769</v>
      </c>
      <c r="G319" s="1" t="s">
        <v>887</v>
      </c>
      <c r="H319" s="1" t="s">
        <v>890</v>
      </c>
      <c r="I319" s="1">
        <v>9499740236</v>
      </c>
      <c r="J319" s="204">
        <v>42809</v>
      </c>
      <c r="K319" s="204">
        <v>42809</v>
      </c>
      <c r="L319" s="1" t="s">
        <v>772</v>
      </c>
      <c r="M319" s="1">
        <v>24.88</v>
      </c>
      <c r="N319" s="1">
        <v>24.86</v>
      </c>
      <c r="O319" s="1">
        <f>IF(N319&gt;M319,M319,N319)</f>
        <v>24.86</v>
      </c>
      <c r="P319" s="7">
        <f>+K319+15-1</f>
        <v>42823</v>
      </c>
      <c r="Q319" s="225">
        <v>1910784</v>
      </c>
      <c r="R319" s="305">
        <f>(+Q319/M319*O319)</f>
        <v>1909248</v>
      </c>
      <c r="S319" s="24">
        <v>42823</v>
      </c>
    </row>
    <row r="320" spans="1:20" s="1" customFormat="1" x14ac:dyDescent="0.25">
      <c r="A320" s="5">
        <v>271</v>
      </c>
      <c r="B320" s="204">
        <v>42817</v>
      </c>
      <c r="C320" s="5">
        <v>499</v>
      </c>
      <c r="E320" s="1">
        <v>3000039564</v>
      </c>
      <c r="F320" s="1" t="s">
        <v>769</v>
      </c>
      <c r="G320" s="1" t="s">
        <v>911</v>
      </c>
      <c r="H320" s="1" t="s">
        <v>912</v>
      </c>
      <c r="I320" s="1">
        <v>9499740238</v>
      </c>
      <c r="J320" s="204">
        <v>42810</v>
      </c>
      <c r="K320" s="204">
        <v>42810</v>
      </c>
      <c r="L320" s="1" t="s">
        <v>772</v>
      </c>
      <c r="M320" s="1">
        <v>19.98</v>
      </c>
      <c r="N320" s="1">
        <v>19.98</v>
      </c>
      <c r="O320" s="1">
        <f>IF(N320&gt;M320,M320,N320)</f>
        <v>19.98</v>
      </c>
      <c r="P320" s="7">
        <f>+K320+15-1</f>
        <v>42824</v>
      </c>
      <c r="Q320" s="225">
        <v>1534464</v>
      </c>
      <c r="R320" s="305">
        <f>(+Q320/M320*O320)</f>
        <v>1534464</v>
      </c>
      <c r="S320" s="24">
        <v>42823</v>
      </c>
    </row>
    <row r="321" spans="2:20" s="1" customFormat="1" x14ac:dyDescent="0.25">
      <c r="B321" s="204"/>
      <c r="C321" s="5"/>
      <c r="J321" s="204"/>
      <c r="K321" s="204"/>
      <c r="P321" s="7"/>
      <c r="R321" s="305"/>
    </row>
    <row r="322" spans="2:20" s="1" customFormat="1" x14ac:dyDescent="0.25">
      <c r="B322" s="204"/>
      <c r="C322" s="5"/>
      <c r="J322" s="204"/>
      <c r="K322" s="204"/>
      <c r="P322" s="7"/>
      <c r="R322" s="305"/>
    </row>
    <row r="323" spans="2:20" s="1" customFormat="1" x14ac:dyDescent="0.25">
      <c r="B323" s="204"/>
      <c r="C323" s="5"/>
      <c r="J323" s="204"/>
      <c r="K323" s="204"/>
      <c r="P323" s="7"/>
      <c r="R323" s="305"/>
    </row>
    <row r="324" spans="2:20" s="1" customFormat="1" x14ac:dyDescent="0.25">
      <c r="B324" s="204"/>
      <c r="C324" s="5"/>
      <c r="J324" s="204"/>
      <c r="K324" s="204"/>
      <c r="P324" s="7"/>
      <c r="R324" s="305"/>
    </row>
    <row r="325" spans="2:20" s="1" customFormat="1" x14ac:dyDescent="0.25">
      <c r="B325" s="204"/>
      <c r="C325" s="5"/>
      <c r="J325" s="204"/>
      <c r="K325" s="204"/>
      <c r="P325" s="7"/>
      <c r="R325" s="305"/>
    </row>
    <row r="326" spans="2:20" s="1" customFormat="1" x14ac:dyDescent="0.25">
      <c r="B326" s="204"/>
      <c r="C326" s="5"/>
      <c r="J326" s="204"/>
      <c r="K326" s="204"/>
      <c r="P326" s="7"/>
      <c r="R326" s="305"/>
    </row>
    <row r="327" spans="2:20" s="1" customFormat="1" x14ac:dyDescent="0.25">
      <c r="B327" s="204"/>
      <c r="C327" s="5"/>
      <c r="J327" s="204"/>
      <c r="K327" s="204"/>
      <c r="P327" s="7"/>
      <c r="R327" s="305"/>
    </row>
    <row r="328" spans="2:20" s="1" customFormat="1" x14ac:dyDescent="0.25">
      <c r="B328" s="204"/>
      <c r="C328" s="5"/>
      <c r="J328" s="204"/>
      <c r="K328" s="204"/>
      <c r="P328" s="7"/>
      <c r="R328" s="305"/>
    </row>
    <row r="329" spans="2:20" x14ac:dyDescent="0.25">
      <c r="S329" s="140"/>
      <c r="T329" s="140"/>
    </row>
    <row r="335" spans="2:20" x14ac:dyDescent="0.25">
      <c r="F335" s="1"/>
      <c r="H335" s="1"/>
    </row>
    <row r="336" spans="2:20" x14ac:dyDescent="0.25">
      <c r="F336" s="1"/>
      <c r="H336" s="1"/>
    </row>
    <row r="337" spans="6:8" x14ac:dyDescent="0.25">
      <c r="F337" s="1"/>
      <c r="H337" s="1"/>
    </row>
    <row r="338" spans="6:8" x14ac:dyDescent="0.25">
      <c r="F338" s="1"/>
      <c r="H338" s="1"/>
    </row>
    <row r="339" spans="6:8" x14ac:dyDescent="0.25">
      <c r="F339" s="1"/>
      <c r="H339" s="1"/>
    </row>
  </sheetData>
  <autoFilter ref="A1:AA328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5" operator="lessThan" id="{A11E0885-2237-4362-A7EC-0A2ADBF587A8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cellIs" priority="254" operator="lessThan" id="{EB87A9BD-796D-4DAB-B2D6-2CB784737830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ellIs" priority="251" operator="lessThan" id="{1A9C16BD-A316-4CC2-B5E2-61CE51DC0067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50" operator="lessThan" id="{4E25F45C-B201-41F1-AD17-AAC9E7A88A50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P53</xm:sqref>
        </x14:conditionalFormatting>
        <x14:conditionalFormatting xmlns:xm="http://schemas.microsoft.com/office/excel/2006/main">
          <x14:cfRule type="cellIs" priority="249" operator="lessThan" id="{70036F23-73D9-49F0-B513-D13C8F44AC9E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P54</xm:sqref>
        </x14:conditionalFormatting>
        <x14:conditionalFormatting xmlns:xm="http://schemas.microsoft.com/office/excel/2006/main">
          <x14:cfRule type="cellIs" priority="248" operator="lessThan" id="{F1850B36-D10F-4E14-9CA8-A0E8E1774BA7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type="cellIs" priority="246" operator="lessThan" id="{765086CF-CAE0-4198-B746-22ECC07CABA9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P59</xm:sqref>
        </x14:conditionalFormatting>
        <x14:conditionalFormatting xmlns:xm="http://schemas.microsoft.com/office/excel/2006/main">
          <x14:cfRule type="cellIs" priority="245" operator="lessThan" id="{6149035A-2093-4315-B975-E44F7B79396C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244" operator="lessThan" id="{56D6866C-FD02-42CA-8BAE-8C8E215416F1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P61</xm:sqref>
        </x14:conditionalFormatting>
        <x14:conditionalFormatting xmlns:xm="http://schemas.microsoft.com/office/excel/2006/main">
          <x14:cfRule type="cellIs" priority="243" operator="lessThan" id="{1F706176-760C-4FE6-9271-F8FAF3603EB7}">
            <xm:f>'\Users\nagesh.pai\AppData\Local\Microsoft\Windows\Temporary Internet Files\Content.Outlook\LJARJ9NT\[Out standing Bill Register 09 12 2016.xlsx]V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P62</xm:sqref>
        </x14:conditionalFormatting>
        <x14:conditionalFormatting xmlns:xm="http://schemas.microsoft.com/office/excel/2006/main">
          <x14:cfRule type="cellIs" priority="4394" operator="lessThan" id="{C16CD94A-85FD-4167-8E4C-06F359E5CFC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N2:N4 N13:N47 P51 P49 P55:P57 P63:P116</xm:sqref>
        </x14:conditionalFormatting>
        <x14:conditionalFormatting xmlns:xm="http://schemas.microsoft.com/office/excel/2006/main">
          <x14:cfRule type="cellIs" priority="186" operator="lessThan" id="{FD1E2FBD-E8D0-485F-AADD-A0797D59BC3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185" operator="lessThan" id="{3AC380D3-65EE-4FFD-AFEC-5730C4CF25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P118</xm:sqref>
        </x14:conditionalFormatting>
        <x14:conditionalFormatting xmlns:xm="http://schemas.microsoft.com/office/excel/2006/main">
          <x14:cfRule type="cellIs" priority="184" operator="lessThan" id="{3303D9ED-017B-47FA-BFE2-092801B90CE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P119</xm:sqref>
        </x14:conditionalFormatting>
        <x14:conditionalFormatting xmlns:xm="http://schemas.microsoft.com/office/excel/2006/main">
          <x14:cfRule type="cellIs" priority="183" operator="lessThan" id="{473137A5-086A-4259-83C0-F3F9FFB2E7C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P120</xm:sqref>
        </x14:conditionalFormatting>
        <x14:conditionalFormatting xmlns:xm="http://schemas.microsoft.com/office/excel/2006/main">
          <x14:cfRule type="cellIs" priority="182" operator="lessThan" id="{EA7CFADB-ECB8-4AC5-A218-2F5FC460AC9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P121</xm:sqref>
        </x14:conditionalFormatting>
        <x14:conditionalFormatting xmlns:xm="http://schemas.microsoft.com/office/excel/2006/main">
          <x14:cfRule type="cellIs" priority="181" operator="lessThan" id="{749BC89B-0A1F-430D-878E-3F7338D329A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P123</xm:sqref>
        </x14:conditionalFormatting>
        <x14:conditionalFormatting xmlns:xm="http://schemas.microsoft.com/office/excel/2006/main">
          <x14:cfRule type="cellIs" priority="180" operator="lessThan" id="{B1F720C5-DA51-410F-A5F6-F35F7C5803C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P124</xm:sqref>
        </x14:conditionalFormatting>
        <x14:conditionalFormatting xmlns:xm="http://schemas.microsoft.com/office/excel/2006/main">
          <x14:cfRule type="cellIs" priority="179" operator="lessThan" id="{B94E03C5-B719-418E-AE82-EE6A6170B3D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P125</xm:sqref>
        </x14:conditionalFormatting>
        <x14:conditionalFormatting xmlns:xm="http://schemas.microsoft.com/office/excel/2006/main">
          <x14:cfRule type="cellIs" priority="178" operator="lessThan" id="{7181CF35-BC9C-41A7-AC31-B3298BC7188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P126</xm:sqref>
        </x14:conditionalFormatting>
        <x14:conditionalFormatting xmlns:xm="http://schemas.microsoft.com/office/excel/2006/main">
          <x14:cfRule type="cellIs" priority="177" operator="lessThan" id="{D8BB9243-E8DC-4CB4-9A97-D9AF4876C3E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P127</xm:sqref>
        </x14:conditionalFormatting>
        <x14:conditionalFormatting xmlns:xm="http://schemas.microsoft.com/office/excel/2006/main">
          <x14:cfRule type="cellIs" priority="176" operator="lessThan" id="{77210E78-29B1-4ADD-B389-1CA1BE81589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P122</xm:sqref>
        </x14:conditionalFormatting>
        <x14:conditionalFormatting xmlns:xm="http://schemas.microsoft.com/office/excel/2006/main">
          <x14:cfRule type="cellIs" priority="175" operator="lessThan" id="{11A4C25F-3203-4862-B3F3-376502B985A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P128</xm:sqref>
        </x14:conditionalFormatting>
        <x14:conditionalFormatting xmlns:xm="http://schemas.microsoft.com/office/excel/2006/main">
          <x14:cfRule type="cellIs" priority="174" operator="lessThan" id="{1F6C488D-ADF9-470C-8947-6CC55112F2F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P129</xm:sqref>
        </x14:conditionalFormatting>
        <x14:conditionalFormatting xmlns:xm="http://schemas.microsoft.com/office/excel/2006/main">
          <x14:cfRule type="cellIs" priority="173" operator="lessThan" id="{4231ED9A-24B6-4BCC-85D6-226F178435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P130</xm:sqref>
        </x14:conditionalFormatting>
        <x14:conditionalFormatting xmlns:xm="http://schemas.microsoft.com/office/excel/2006/main">
          <x14:cfRule type="cellIs" priority="172" operator="lessThan" id="{B3CC9D0C-28DA-47AA-903C-E7FFD6FD109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P131</xm:sqref>
        </x14:conditionalFormatting>
        <x14:conditionalFormatting xmlns:xm="http://schemas.microsoft.com/office/excel/2006/main">
          <x14:cfRule type="cellIs" priority="171" operator="lessThan" id="{08A3F73E-AF78-484B-8254-183979F759D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P132</xm:sqref>
        </x14:conditionalFormatting>
        <x14:conditionalFormatting xmlns:xm="http://schemas.microsoft.com/office/excel/2006/main">
          <x14:cfRule type="cellIs" priority="170" operator="lessThan" id="{EA174884-2770-439E-ABD8-6777BB5F31D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P133</xm:sqref>
        </x14:conditionalFormatting>
        <x14:conditionalFormatting xmlns:xm="http://schemas.microsoft.com/office/excel/2006/main">
          <x14:cfRule type="cellIs" priority="169" operator="lessThan" id="{267B0D17-5E42-4650-8F20-5BF3909CC15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P134</xm:sqref>
        </x14:conditionalFormatting>
        <x14:conditionalFormatting xmlns:xm="http://schemas.microsoft.com/office/excel/2006/main">
          <x14:cfRule type="cellIs" priority="168" operator="lessThan" id="{7A52349D-6C49-4E90-B643-0B70E7C6172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P135</xm:sqref>
        </x14:conditionalFormatting>
        <x14:conditionalFormatting xmlns:xm="http://schemas.microsoft.com/office/excel/2006/main">
          <x14:cfRule type="cellIs" priority="167" operator="lessThan" id="{3CD64BAD-8EDF-42EE-9D20-DC78E497C7E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P136</xm:sqref>
        </x14:conditionalFormatting>
        <x14:conditionalFormatting xmlns:xm="http://schemas.microsoft.com/office/excel/2006/main">
          <x14:cfRule type="cellIs" priority="166" operator="lessThan" id="{AFAFA31E-A973-445F-825A-F78F860295E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P137</xm:sqref>
        </x14:conditionalFormatting>
        <x14:conditionalFormatting xmlns:xm="http://schemas.microsoft.com/office/excel/2006/main">
          <x14:cfRule type="cellIs" priority="165" operator="lessThan" id="{832BAB19-F368-45A6-AA15-F74F3B8ED22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P138</xm:sqref>
        </x14:conditionalFormatting>
        <x14:conditionalFormatting xmlns:xm="http://schemas.microsoft.com/office/excel/2006/main">
          <x14:cfRule type="cellIs" priority="164" operator="lessThan" id="{715CA885-1AE9-4B58-889F-17E52668EC1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63" operator="lessThan" id="{8066D44D-3295-4394-8A3C-40961BC02CB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162" operator="lessThan" id="{435ACE73-DBC2-42FB-81EF-AFB207CCD8A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P141</xm:sqref>
        </x14:conditionalFormatting>
        <x14:conditionalFormatting xmlns:xm="http://schemas.microsoft.com/office/excel/2006/main">
          <x14:cfRule type="cellIs" priority="161" operator="lessThan" id="{8828A113-67C9-4A61-A976-2B95A7D415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160" operator="lessThan" id="{A31AF899-2E2E-4EA8-B8ED-A878F0042A1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P143</xm:sqref>
        </x14:conditionalFormatting>
        <x14:conditionalFormatting xmlns:xm="http://schemas.microsoft.com/office/excel/2006/main">
          <x14:cfRule type="cellIs" priority="159" operator="lessThan" id="{F3593C3C-0589-462E-9581-0486D88A9FF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158" operator="lessThan" id="{E400CC30-31D6-45CB-9E8E-5600A4E2224B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157" operator="lessThan" id="{F406AB19-8E85-4C74-800B-F66B65FA7492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P146</xm:sqref>
        </x14:conditionalFormatting>
        <x14:conditionalFormatting xmlns:xm="http://schemas.microsoft.com/office/excel/2006/main">
          <x14:cfRule type="cellIs" priority="156" operator="lessThan" id="{EFEF614D-D5C3-410F-977C-3BAF643F8E2F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155" operator="lessThan" id="{3B6C89D0-E390-4B4D-81A3-E691C2374040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P148</xm:sqref>
        </x14:conditionalFormatting>
        <x14:conditionalFormatting xmlns:xm="http://schemas.microsoft.com/office/excel/2006/main">
          <x14:cfRule type="cellIs" priority="154" operator="lessThan" id="{415083AF-3B73-4233-B15E-5A49EC84803F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P149</xm:sqref>
        </x14:conditionalFormatting>
        <x14:conditionalFormatting xmlns:xm="http://schemas.microsoft.com/office/excel/2006/main">
          <x14:cfRule type="cellIs" priority="153" operator="lessThan" id="{83D6C502-717B-4D5A-889A-59E277FDFD24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P150</xm:sqref>
        </x14:conditionalFormatting>
        <x14:conditionalFormatting xmlns:xm="http://schemas.microsoft.com/office/excel/2006/main">
          <x14:cfRule type="cellIs" priority="152" operator="lessThan" id="{699F1CE9-FCF7-47A1-998E-05EBAE2C83DB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P151</xm:sqref>
        </x14:conditionalFormatting>
        <x14:conditionalFormatting xmlns:xm="http://schemas.microsoft.com/office/excel/2006/main">
          <x14:cfRule type="cellIs" priority="151" operator="lessThan" id="{A9773D1E-2CBF-4607-9DA3-02805C521EF5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P152</xm:sqref>
        </x14:conditionalFormatting>
        <x14:conditionalFormatting xmlns:xm="http://schemas.microsoft.com/office/excel/2006/main">
          <x14:cfRule type="cellIs" priority="150" operator="lessThan" id="{6AFBD00A-3D81-4A57-8452-9A536DBEA1A3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P153</xm:sqref>
        </x14:conditionalFormatting>
        <x14:conditionalFormatting xmlns:xm="http://schemas.microsoft.com/office/excel/2006/main">
          <x14:cfRule type="cellIs" priority="149" operator="lessThan" id="{51715FA4-E9EA-48C2-961B-C21CCEA9D5EB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P154</xm:sqref>
        </x14:conditionalFormatting>
        <x14:conditionalFormatting xmlns:xm="http://schemas.microsoft.com/office/excel/2006/main">
          <x14:cfRule type="cellIs" priority="148" operator="lessThan" id="{356B2E28-94B5-4231-8214-C893B32F664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P155</xm:sqref>
        </x14:conditionalFormatting>
        <x14:conditionalFormatting xmlns:xm="http://schemas.microsoft.com/office/excel/2006/main">
          <x14:cfRule type="cellIs" priority="147" operator="lessThan" id="{DFCCA9E1-E50E-4804-9909-4A9DED275F51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P156</xm:sqref>
        </x14:conditionalFormatting>
        <x14:conditionalFormatting xmlns:xm="http://schemas.microsoft.com/office/excel/2006/main">
          <x14:cfRule type="cellIs" priority="146" operator="lessThan" id="{B22B0062-AF65-4877-9F54-324DEE91DF3E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P157</xm:sqref>
        </x14:conditionalFormatting>
        <x14:conditionalFormatting xmlns:xm="http://schemas.microsoft.com/office/excel/2006/main">
          <x14:cfRule type="cellIs" priority="145" operator="lessThan" id="{2D3C0344-B81B-4BA2-9CD4-F631358BEB9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P158</xm:sqref>
        </x14:conditionalFormatting>
        <x14:conditionalFormatting xmlns:xm="http://schemas.microsoft.com/office/excel/2006/main">
          <x14:cfRule type="cellIs" priority="144" operator="lessThan" id="{437779E1-2D8D-45FC-9195-B7906D031363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P159</xm:sqref>
        </x14:conditionalFormatting>
        <x14:conditionalFormatting xmlns:xm="http://schemas.microsoft.com/office/excel/2006/main">
          <x14:cfRule type="cellIs" priority="143" operator="lessThan" id="{AA4E07FD-8460-468D-B007-EE61CC60C86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P160</xm:sqref>
        </x14:conditionalFormatting>
        <x14:conditionalFormatting xmlns:xm="http://schemas.microsoft.com/office/excel/2006/main">
          <x14:cfRule type="cellIs" priority="142" operator="lessThan" id="{951E2ED9-6E2C-4A95-8631-EDB0720AF577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P161</xm:sqref>
        </x14:conditionalFormatting>
        <x14:conditionalFormatting xmlns:xm="http://schemas.microsoft.com/office/excel/2006/main">
          <x14:cfRule type="cellIs" priority="141" operator="lessThan" id="{6CA9A154-5361-4FCE-9744-81AF71167AA8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P162</xm:sqref>
        </x14:conditionalFormatting>
        <x14:conditionalFormatting xmlns:xm="http://schemas.microsoft.com/office/excel/2006/main">
          <x14:cfRule type="cellIs" priority="140" operator="lessThan" id="{732FD8EA-C1AB-4239-ADF2-66B30298F773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P163</xm:sqref>
        </x14:conditionalFormatting>
        <x14:conditionalFormatting xmlns:xm="http://schemas.microsoft.com/office/excel/2006/main">
          <x14:cfRule type="cellIs" priority="139" operator="lessThan" id="{66760AC4-1B76-46E3-8A9A-707CBE9A8DD0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P164</xm:sqref>
        </x14:conditionalFormatting>
        <x14:conditionalFormatting xmlns:xm="http://schemas.microsoft.com/office/excel/2006/main">
          <x14:cfRule type="cellIs" priority="138" operator="lessThan" id="{4A7B8ABF-CE27-486A-B1F5-5ADD68DAF902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P165</xm:sqref>
        </x14:conditionalFormatting>
        <x14:conditionalFormatting xmlns:xm="http://schemas.microsoft.com/office/excel/2006/main">
          <x14:cfRule type="cellIs" priority="137" operator="lessThan" id="{B8E57721-7753-497E-BB80-F596889BF2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P166</xm:sqref>
        </x14:conditionalFormatting>
        <x14:conditionalFormatting xmlns:xm="http://schemas.microsoft.com/office/excel/2006/main">
          <x14:cfRule type="cellIs" priority="136" operator="lessThan" id="{64A61628-A058-4CA1-8055-95649FE2893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P167</xm:sqref>
        </x14:conditionalFormatting>
        <x14:conditionalFormatting xmlns:xm="http://schemas.microsoft.com/office/excel/2006/main">
          <x14:cfRule type="cellIs" priority="135" operator="lessThan" id="{287FD9E7-0EB7-4D4E-98B9-A95ECF68C7A0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P168</xm:sqref>
        </x14:conditionalFormatting>
        <x14:conditionalFormatting xmlns:xm="http://schemas.microsoft.com/office/excel/2006/main">
          <x14:cfRule type="cellIs" priority="134" operator="lessThan" id="{C34B4E09-E516-4503-ACB0-F09647B52B86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P169</xm:sqref>
        </x14:conditionalFormatting>
        <x14:conditionalFormatting xmlns:xm="http://schemas.microsoft.com/office/excel/2006/main">
          <x14:cfRule type="cellIs" priority="133" operator="lessThan" id="{26A2C2BC-94B2-4EA0-9373-137C16C5A4DA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P170</xm:sqref>
        </x14:conditionalFormatting>
        <x14:conditionalFormatting xmlns:xm="http://schemas.microsoft.com/office/excel/2006/main">
          <x14:cfRule type="cellIs" priority="132" operator="lessThan" id="{C07A4B6E-FCE1-46A6-BA21-A6C7B6F92F4E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P171</xm:sqref>
        </x14:conditionalFormatting>
        <x14:conditionalFormatting xmlns:xm="http://schemas.microsoft.com/office/excel/2006/main">
          <x14:cfRule type="cellIs" priority="131" operator="lessThan" id="{E796E091-3FA5-4125-8633-2FCC27D8D14B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P172</xm:sqref>
        </x14:conditionalFormatting>
        <x14:conditionalFormatting xmlns:xm="http://schemas.microsoft.com/office/excel/2006/main">
          <x14:cfRule type="cellIs" priority="130" operator="lessThan" id="{DD0209E0-E964-430E-ABC9-4F82ABE72EE2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P173</xm:sqref>
        </x14:conditionalFormatting>
        <x14:conditionalFormatting xmlns:xm="http://schemas.microsoft.com/office/excel/2006/main">
          <x14:cfRule type="cellIs" priority="129" operator="lessThan" id="{5BCDC3B7-2F4A-4C03-BA68-5D1BFCF7CBEB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cellIs" priority="128" operator="lessThan" id="{F2517AEC-3CE4-4721-BFF6-13A87D50EFBE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P175</xm:sqref>
        </x14:conditionalFormatting>
        <x14:conditionalFormatting xmlns:xm="http://schemas.microsoft.com/office/excel/2006/main">
          <x14:cfRule type="cellIs" priority="127" operator="lessThan" id="{B5C1A177-7590-4984-8816-D392E819366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P176</xm:sqref>
        </x14:conditionalFormatting>
        <x14:conditionalFormatting xmlns:xm="http://schemas.microsoft.com/office/excel/2006/main">
          <x14:cfRule type="cellIs" priority="126" operator="lessThan" id="{57BE4BFE-08C4-4272-9DC7-79C1B57A279A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P177</xm:sqref>
        </x14:conditionalFormatting>
        <x14:conditionalFormatting xmlns:xm="http://schemas.microsoft.com/office/excel/2006/main">
          <x14:cfRule type="cellIs" priority="125" operator="lessThan" id="{9738CABA-96B9-4F66-AFF5-BEF8F9F92A77}">
            <xm:f>'V V F LTD Out Standing 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P178</xm:sqref>
        </x14:conditionalFormatting>
        <x14:conditionalFormatting xmlns:xm="http://schemas.microsoft.com/office/excel/2006/main">
          <x14:cfRule type="cellIs" priority="124" operator="lessThan" id="{105AEC29-BC91-41E6-A4A2-3FBD444A09C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P179</xm:sqref>
        </x14:conditionalFormatting>
        <x14:conditionalFormatting xmlns:xm="http://schemas.microsoft.com/office/excel/2006/main">
          <x14:cfRule type="cellIs" priority="123" operator="lessThan" id="{FA945B67-EE83-47FC-B9C0-17026DAB57D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P180</xm:sqref>
        </x14:conditionalFormatting>
        <x14:conditionalFormatting xmlns:xm="http://schemas.microsoft.com/office/excel/2006/main">
          <x14:cfRule type="cellIs" priority="122" operator="lessThan" id="{AD45AA74-5C63-438B-8A20-FBDB4976E7D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P181</xm:sqref>
        </x14:conditionalFormatting>
        <x14:conditionalFormatting xmlns:xm="http://schemas.microsoft.com/office/excel/2006/main">
          <x14:cfRule type="cellIs" priority="121" operator="lessThan" id="{B1A7B4C5-515C-45F2-B4E7-3907C85E0A0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P182</xm:sqref>
        </x14:conditionalFormatting>
        <x14:conditionalFormatting xmlns:xm="http://schemas.microsoft.com/office/excel/2006/main">
          <x14:cfRule type="cellIs" priority="120" operator="lessThan" id="{7FC4C502-8DC7-4F00-AC7B-C853FB768D4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P183</xm:sqref>
        </x14:conditionalFormatting>
        <x14:conditionalFormatting xmlns:xm="http://schemas.microsoft.com/office/excel/2006/main">
          <x14:cfRule type="cellIs" priority="119" operator="lessThan" id="{90BC233B-46A5-40B2-BDF3-23E629A2494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P184</xm:sqref>
        </x14:conditionalFormatting>
        <x14:conditionalFormatting xmlns:xm="http://schemas.microsoft.com/office/excel/2006/main">
          <x14:cfRule type="cellIs" priority="118" operator="lessThan" id="{CAD1AE94-D285-448D-9504-9D85E8AE761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P185</xm:sqref>
        </x14:conditionalFormatting>
        <x14:conditionalFormatting xmlns:xm="http://schemas.microsoft.com/office/excel/2006/main">
          <x14:cfRule type="cellIs" priority="117" operator="lessThan" id="{B778930B-085F-4D6F-821F-92EC2124F20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P186</xm:sqref>
        </x14:conditionalFormatting>
        <x14:conditionalFormatting xmlns:xm="http://schemas.microsoft.com/office/excel/2006/main">
          <x14:cfRule type="cellIs" priority="116" operator="lessThan" id="{3A57B259-4550-4862-A904-86051A8D2D1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P187</xm:sqref>
        </x14:conditionalFormatting>
        <x14:conditionalFormatting xmlns:xm="http://schemas.microsoft.com/office/excel/2006/main">
          <x14:cfRule type="cellIs" priority="115" operator="lessThan" id="{36A67E57-B98F-4F14-A224-1E6CB4D685B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P188</xm:sqref>
        </x14:conditionalFormatting>
        <x14:conditionalFormatting xmlns:xm="http://schemas.microsoft.com/office/excel/2006/main">
          <x14:cfRule type="cellIs" priority="114" operator="lessThan" id="{C0D1E57F-BE07-4822-AAF1-E64398078E8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P189</xm:sqref>
        </x14:conditionalFormatting>
        <x14:conditionalFormatting xmlns:xm="http://schemas.microsoft.com/office/excel/2006/main">
          <x14:cfRule type="cellIs" priority="113" operator="lessThan" id="{48501C90-75E1-49BD-BFBB-7154CAD5AC5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P190</xm:sqref>
        </x14:conditionalFormatting>
        <x14:conditionalFormatting xmlns:xm="http://schemas.microsoft.com/office/excel/2006/main">
          <x14:cfRule type="cellIs" priority="112" operator="lessThan" id="{762B30F3-7A00-4E79-95BF-D62FCCE3BE2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P191</xm:sqref>
        </x14:conditionalFormatting>
        <x14:conditionalFormatting xmlns:xm="http://schemas.microsoft.com/office/excel/2006/main">
          <x14:cfRule type="cellIs" priority="111" operator="lessThan" id="{05942EBE-F2CE-4A3E-8C95-AC7731EA096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P192</xm:sqref>
        </x14:conditionalFormatting>
        <x14:conditionalFormatting xmlns:xm="http://schemas.microsoft.com/office/excel/2006/main">
          <x14:cfRule type="cellIs" priority="110" operator="lessThan" id="{DCAB336A-A0BF-402F-AA6B-179B1F0168E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P193</xm:sqref>
        </x14:conditionalFormatting>
        <x14:conditionalFormatting xmlns:xm="http://schemas.microsoft.com/office/excel/2006/main">
          <x14:cfRule type="cellIs" priority="109" operator="lessThan" id="{ABAB7234-63B6-4E8C-8A24-83F69FB6819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P194</xm:sqref>
        </x14:conditionalFormatting>
        <x14:conditionalFormatting xmlns:xm="http://schemas.microsoft.com/office/excel/2006/main">
          <x14:cfRule type="cellIs" priority="108" operator="lessThan" id="{2766E518-A080-41B1-A553-0032046494F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P195</xm:sqref>
        </x14:conditionalFormatting>
        <x14:conditionalFormatting xmlns:xm="http://schemas.microsoft.com/office/excel/2006/main">
          <x14:cfRule type="cellIs" priority="107" operator="lessThan" id="{C958E459-301D-4CFB-A188-D6E73382457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P196</xm:sqref>
        </x14:conditionalFormatting>
        <x14:conditionalFormatting xmlns:xm="http://schemas.microsoft.com/office/excel/2006/main">
          <x14:cfRule type="cellIs" priority="106" operator="lessThan" id="{39E2048C-0E6B-466F-BA87-9472630F714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P197</xm:sqref>
        </x14:conditionalFormatting>
        <x14:conditionalFormatting xmlns:xm="http://schemas.microsoft.com/office/excel/2006/main">
          <x14:cfRule type="cellIs" priority="105" operator="lessThan" id="{9CCBC160-7826-490E-B5B7-C3A5831FCB3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P198</xm:sqref>
        </x14:conditionalFormatting>
        <x14:conditionalFormatting xmlns:xm="http://schemas.microsoft.com/office/excel/2006/main">
          <x14:cfRule type="cellIs" priority="104" operator="lessThan" id="{BBD8A0F3-4E1D-4C81-8779-6C0F3F70C40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P199</xm:sqref>
        </x14:conditionalFormatting>
        <x14:conditionalFormatting xmlns:xm="http://schemas.microsoft.com/office/excel/2006/main">
          <x14:cfRule type="cellIs" priority="103" operator="lessThan" id="{188C3971-6E58-4F05-A05D-DEF685BEB92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P200</xm:sqref>
        </x14:conditionalFormatting>
        <x14:conditionalFormatting xmlns:xm="http://schemas.microsoft.com/office/excel/2006/main">
          <x14:cfRule type="cellIs" priority="102" operator="lessThan" id="{E711EA91-3D7F-4891-8F23-99220BEBAE1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P201</xm:sqref>
        </x14:conditionalFormatting>
        <x14:conditionalFormatting xmlns:xm="http://schemas.microsoft.com/office/excel/2006/main">
          <x14:cfRule type="cellIs" priority="101" operator="lessThan" id="{D262D1D4-5404-441D-8204-2DA88283896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P202</xm:sqref>
        </x14:conditionalFormatting>
        <x14:conditionalFormatting xmlns:xm="http://schemas.microsoft.com/office/excel/2006/main">
          <x14:cfRule type="cellIs" priority="100" operator="lessThan" id="{3F6918CA-0827-4629-A575-6A01D886734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P203</xm:sqref>
        </x14:conditionalFormatting>
        <x14:conditionalFormatting xmlns:xm="http://schemas.microsoft.com/office/excel/2006/main">
          <x14:cfRule type="cellIs" priority="99" operator="lessThan" id="{4CA99BF2-119D-4817-97BA-D4A309ED27F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P204</xm:sqref>
        </x14:conditionalFormatting>
        <x14:conditionalFormatting xmlns:xm="http://schemas.microsoft.com/office/excel/2006/main">
          <x14:cfRule type="cellIs" priority="98" operator="lessThan" id="{56358BFD-5F18-497D-9630-3BB7278B619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P205</xm:sqref>
        </x14:conditionalFormatting>
        <x14:conditionalFormatting xmlns:xm="http://schemas.microsoft.com/office/excel/2006/main">
          <x14:cfRule type="cellIs" priority="97" operator="lessThan" id="{1666672C-7F9D-437A-9BBE-F04EA02E2DE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P206</xm:sqref>
        </x14:conditionalFormatting>
        <x14:conditionalFormatting xmlns:xm="http://schemas.microsoft.com/office/excel/2006/main">
          <x14:cfRule type="cellIs" priority="96" operator="lessThan" id="{E29405A6-F48D-4464-A2CE-529444F5E01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P207</xm:sqref>
        </x14:conditionalFormatting>
        <x14:conditionalFormatting xmlns:xm="http://schemas.microsoft.com/office/excel/2006/main">
          <x14:cfRule type="cellIs" priority="95" operator="lessThan" id="{1FD2FE50-E33E-49F2-AED1-5C2FAC7C337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P208</xm:sqref>
        </x14:conditionalFormatting>
        <x14:conditionalFormatting xmlns:xm="http://schemas.microsoft.com/office/excel/2006/main">
          <x14:cfRule type="cellIs" priority="94" operator="lessThan" id="{0A5AEF55-A902-4A06-88CD-2491FF8257A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P209</xm:sqref>
        </x14:conditionalFormatting>
        <x14:conditionalFormatting xmlns:xm="http://schemas.microsoft.com/office/excel/2006/main">
          <x14:cfRule type="cellIs" priority="93" operator="lessThan" id="{5C080119-2709-46A6-A911-0F26A090DEB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P210</xm:sqref>
        </x14:conditionalFormatting>
        <x14:conditionalFormatting xmlns:xm="http://schemas.microsoft.com/office/excel/2006/main">
          <x14:cfRule type="cellIs" priority="92" operator="lessThan" id="{0D3D37A0-DA15-4A96-8AD1-3855486D6D9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P212</xm:sqref>
        </x14:conditionalFormatting>
        <x14:conditionalFormatting xmlns:xm="http://schemas.microsoft.com/office/excel/2006/main">
          <x14:cfRule type="cellIs" priority="91" operator="lessThan" id="{C3B49F18-ABED-48D9-BD1D-6B1EE1553BA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P213</xm:sqref>
        </x14:conditionalFormatting>
        <x14:conditionalFormatting xmlns:xm="http://schemas.microsoft.com/office/excel/2006/main">
          <x14:cfRule type="cellIs" priority="90" operator="lessThan" id="{109F5308-1305-4CCC-9CAF-0355719FDAD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P214</xm:sqref>
        </x14:conditionalFormatting>
        <x14:conditionalFormatting xmlns:xm="http://schemas.microsoft.com/office/excel/2006/main">
          <x14:cfRule type="cellIs" priority="89" operator="lessThan" id="{BA04D76B-42C2-4556-A643-1963EE12F81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P215</xm:sqref>
        </x14:conditionalFormatting>
        <x14:conditionalFormatting xmlns:xm="http://schemas.microsoft.com/office/excel/2006/main">
          <x14:cfRule type="cellIs" priority="88" operator="lessThan" id="{36548429-FFE7-449F-9759-6CC8FCA8917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P216</xm:sqref>
        </x14:conditionalFormatting>
        <x14:conditionalFormatting xmlns:xm="http://schemas.microsoft.com/office/excel/2006/main">
          <x14:cfRule type="cellIs" priority="87" operator="lessThan" id="{63FDD1C1-DA96-442A-92CF-566CE36A1B1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P211</xm:sqref>
        </x14:conditionalFormatting>
        <x14:conditionalFormatting xmlns:xm="http://schemas.microsoft.com/office/excel/2006/main">
          <x14:cfRule type="cellIs" priority="86" operator="lessThan" id="{9E5744ED-05B4-4908-93D2-44EB45BCA66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P217</xm:sqref>
        </x14:conditionalFormatting>
        <x14:conditionalFormatting xmlns:xm="http://schemas.microsoft.com/office/excel/2006/main">
          <x14:cfRule type="cellIs" priority="85" operator="lessThan" id="{2E14CCFC-612B-449C-970C-78D09A3B903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P218</xm:sqref>
        </x14:conditionalFormatting>
        <x14:conditionalFormatting xmlns:xm="http://schemas.microsoft.com/office/excel/2006/main">
          <x14:cfRule type="cellIs" priority="84" operator="lessThan" id="{901788BD-1CB9-4CA9-8AA9-935C421E62C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P219</xm:sqref>
        </x14:conditionalFormatting>
        <x14:conditionalFormatting xmlns:xm="http://schemas.microsoft.com/office/excel/2006/main">
          <x14:cfRule type="cellIs" priority="83" operator="lessThan" id="{E26DBB7C-7C76-41B4-B5A7-75CEA0016BD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P220</xm:sqref>
        </x14:conditionalFormatting>
        <x14:conditionalFormatting xmlns:xm="http://schemas.microsoft.com/office/excel/2006/main">
          <x14:cfRule type="cellIs" priority="82" operator="lessThan" id="{78632F30-6C6D-46CC-AEB6-670EFAF09AB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P221</xm:sqref>
        </x14:conditionalFormatting>
        <x14:conditionalFormatting xmlns:xm="http://schemas.microsoft.com/office/excel/2006/main">
          <x14:cfRule type="cellIs" priority="81" operator="lessThan" id="{20CB0297-9B3A-4976-B9BC-12C0A7A56DC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P222</xm:sqref>
        </x14:conditionalFormatting>
        <x14:conditionalFormatting xmlns:xm="http://schemas.microsoft.com/office/excel/2006/main">
          <x14:cfRule type="cellIs" priority="80" operator="lessThan" id="{66B3E649-3D29-49EB-B99F-EF983648F5C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P223</xm:sqref>
        </x14:conditionalFormatting>
        <x14:conditionalFormatting xmlns:xm="http://schemas.microsoft.com/office/excel/2006/main">
          <x14:cfRule type="cellIs" priority="79" operator="lessThan" id="{3AABED8F-F842-40FE-875B-B32C1426000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P224</xm:sqref>
        </x14:conditionalFormatting>
        <x14:conditionalFormatting xmlns:xm="http://schemas.microsoft.com/office/excel/2006/main">
          <x14:cfRule type="cellIs" priority="78" operator="lessThan" id="{A26E12BA-5BA6-46CF-A42D-5DD1D7826F5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P225:P233</xm:sqref>
        </x14:conditionalFormatting>
        <x14:conditionalFormatting xmlns:xm="http://schemas.microsoft.com/office/excel/2006/main">
          <x14:cfRule type="cellIs" priority="77" operator="lessThan" id="{F7F1A4D9-EB12-48E8-8010-37DB436AEAA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Q234:Q235</xm:sqref>
        </x14:conditionalFormatting>
        <x14:conditionalFormatting xmlns:xm="http://schemas.microsoft.com/office/excel/2006/main">
          <x14:cfRule type="cellIs" priority="76" operator="lessThan" id="{7221B440-5074-4422-949E-627993723C3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P234:P235</xm:sqref>
        </x14:conditionalFormatting>
        <x14:conditionalFormatting xmlns:xm="http://schemas.microsoft.com/office/excel/2006/main">
          <x14:cfRule type="cellIs" priority="73" operator="lessThan" id="{A0CE9EA1-D419-4F75-9308-B91A1E84360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P236</xm:sqref>
        </x14:conditionalFormatting>
        <x14:conditionalFormatting xmlns:xm="http://schemas.microsoft.com/office/excel/2006/main">
          <x14:cfRule type="cellIs" priority="72" operator="lessThan" id="{BE448BBC-8E83-4FAC-86CD-B692B62AB1E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Q236</xm:sqref>
        </x14:conditionalFormatting>
        <x14:conditionalFormatting xmlns:xm="http://schemas.microsoft.com/office/excel/2006/main">
          <x14:cfRule type="cellIs" priority="71" operator="lessThan" id="{E1690004-9C93-4027-9FD8-66E956CF7AC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P239:P247</xm:sqref>
        </x14:conditionalFormatting>
        <x14:conditionalFormatting xmlns:xm="http://schemas.microsoft.com/office/excel/2006/main">
          <x14:cfRule type="cellIs" priority="70" operator="lessThan" id="{3128B6AE-906B-409F-9B73-813A1289603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Q239</xm:sqref>
        </x14:conditionalFormatting>
        <x14:conditionalFormatting xmlns:xm="http://schemas.microsoft.com/office/excel/2006/main">
          <x14:cfRule type="cellIs" priority="61" operator="lessThan" id="{A9AB5849-6BF4-448B-8809-1F35276EE59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P237</xm:sqref>
        </x14:conditionalFormatting>
        <x14:conditionalFormatting xmlns:xm="http://schemas.microsoft.com/office/excel/2006/main">
          <x14:cfRule type="cellIs" priority="60" operator="lessThan" id="{0D9713E8-B4F9-46EC-9EA1-DF5AB1BC303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P238</xm:sqref>
        </x14:conditionalFormatting>
        <x14:conditionalFormatting xmlns:xm="http://schemas.microsoft.com/office/excel/2006/main">
          <x14:cfRule type="cellIs" priority="59" operator="lessThan" id="{0467FC7C-B5DD-41B5-80E0-5D4CDAC3BE3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P248</xm:sqref>
        </x14:conditionalFormatting>
        <x14:conditionalFormatting xmlns:xm="http://schemas.microsoft.com/office/excel/2006/main">
          <x14:cfRule type="cellIs" priority="53" operator="lessThan" id="{BB9D73F7-DBD9-4812-B268-FDDB71D48B4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P249:P253</xm:sqref>
        </x14:conditionalFormatting>
        <x14:conditionalFormatting xmlns:xm="http://schemas.microsoft.com/office/excel/2006/main">
          <x14:cfRule type="cellIs" priority="52" operator="lessThan" id="{925A8FE6-5183-4E95-A2F7-47B1EE6B91B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P254</xm:sqref>
        </x14:conditionalFormatting>
        <x14:conditionalFormatting xmlns:xm="http://schemas.microsoft.com/office/excel/2006/main">
          <x14:cfRule type="cellIs" priority="51" operator="lessThan" id="{853E1383-24C3-48A5-A548-A4179CE8BF5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P255</xm:sqref>
        </x14:conditionalFormatting>
        <x14:conditionalFormatting xmlns:xm="http://schemas.microsoft.com/office/excel/2006/main">
          <x14:cfRule type="cellIs" priority="50" operator="lessThan" id="{42E4D2EB-AC0A-4F28-BB12-71493311C33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P256</xm:sqref>
        </x14:conditionalFormatting>
        <x14:conditionalFormatting xmlns:xm="http://schemas.microsoft.com/office/excel/2006/main">
          <x14:cfRule type="cellIs" priority="49" operator="lessThan" id="{24AA6702-1915-4443-A8F0-A67212B8EEC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P257</xm:sqref>
        </x14:conditionalFormatting>
        <x14:conditionalFormatting xmlns:xm="http://schemas.microsoft.com/office/excel/2006/main">
          <x14:cfRule type="cellIs" priority="48" operator="lessThan" id="{9AAD67CE-68F4-4C2D-9520-E778C5AAAE7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P258:P286</xm:sqref>
        </x14:conditionalFormatting>
        <x14:conditionalFormatting xmlns:xm="http://schemas.microsoft.com/office/excel/2006/main">
          <x14:cfRule type="cellIs" priority="47" operator="lessThan" id="{31BF7FDE-C79D-4476-A307-0B3EB06EB28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P287</xm:sqref>
        </x14:conditionalFormatting>
        <x14:conditionalFormatting xmlns:xm="http://schemas.microsoft.com/office/excel/2006/main">
          <x14:cfRule type="cellIs" priority="46" operator="lessThan" id="{21F61A0B-29F3-479A-9115-1178A1AC0E5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P288</xm:sqref>
        </x14:conditionalFormatting>
        <x14:conditionalFormatting xmlns:xm="http://schemas.microsoft.com/office/excel/2006/main">
          <x14:cfRule type="cellIs" priority="45" operator="lessThan" id="{407CD013-4B35-4110-879A-B6C849C6182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P289</xm:sqref>
        </x14:conditionalFormatting>
        <x14:conditionalFormatting xmlns:xm="http://schemas.microsoft.com/office/excel/2006/main">
          <x14:cfRule type="cellIs" priority="44" operator="lessThan" id="{329E5E94-81EB-457E-AFFC-A34E72AEF72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P290</xm:sqref>
        </x14:conditionalFormatting>
        <x14:conditionalFormatting xmlns:xm="http://schemas.microsoft.com/office/excel/2006/main">
          <x14:cfRule type="cellIs" priority="43" operator="lessThan" id="{536C9B7F-CCAF-49B5-AB83-72B7C1FBDCF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P291</xm:sqref>
        </x14:conditionalFormatting>
        <x14:conditionalFormatting xmlns:xm="http://schemas.microsoft.com/office/excel/2006/main">
          <x14:cfRule type="cellIs" priority="42" operator="lessThan" id="{7D882190-368E-4AD0-B290-808A70B27C1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P292</xm:sqref>
        </x14:conditionalFormatting>
        <x14:conditionalFormatting xmlns:xm="http://schemas.microsoft.com/office/excel/2006/main">
          <x14:cfRule type="cellIs" priority="41" operator="lessThan" id="{F41D83C3-0604-4AAE-B80F-4312DBECFF2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P293</xm:sqref>
        </x14:conditionalFormatting>
        <x14:conditionalFormatting xmlns:xm="http://schemas.microsoft.com/office/excel/2006/main">
          <x14:cfRule type="cellIs" priority="40" operator="lessThan" id="{5969A90F-7E57-4299-9050-7CCBF2971D7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P293</xm:sqref>
        </x14:conditionalFormatting>
        <x14:conditionalFormatting xmlns:xm="http://schemas.microsoft.com/office/excel/2006/main">
          <x14:cfRule type="cellIs" priority="39" operator="lessThan" id="{ACC8A3F6-AAFD-429D-A46D-186E9E43953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P294</xm:sqref>
        </x14:conditionalFormatting>
        <x14:conditionalFormatting xmlns:xm="http://schemas.microsoft.com/office/excel/2006/main">
          <x14:cfRule type="cellIs" priority="38" operator="lessThan" id="{375218BF-0FEB-4835-9DA6-AA80056A231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P294</xm:sqref>
        </x14:conditionalFormatting>
        <x14:conditionalFormatting xmlns:xm="http://schemas.microsoft.com/office/excel/2006/main">
          <x14:cfRule type="cellIs" priority="37" operator="lessThan" id="{C08FBA65-6FBF-4230-9160-AC023F3B23F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P295</xm:sqref>
        </x14:conditionalFormatting>
        <x14:conditionalFormatting xmlns:xm="http://schemas.microsoft.com/office/excel/2006/main">
          <x14:cfRule type="cellIs" priority="36" operator="lessThan" id="{988655BE-C5E1-4F8C-920C-C5F065CA5A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P295</xm:sqref>
        </x14:conditionalFormatting>
        <x14:conditionalFormatting xmlns:xm="http://schemas.microsoft.com/office/excel/2006/main">
          <x14:cfRule type="cellIs" priority="35" operator="lessThan" id="{FF33A376-5AB6-4A95-91D6-B4768B0D234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P296</xm:sqref>
        </x14:conditionalFormatting>
        <x14:conditionalFormatting xmlns:xm="http://schemas.microsoft.com/office/excel/2006/main">
          <x14:cfRule type="cellIs" priority="34" operator="lessThan" id="{59C4B7FC-141A-47A5-BBF2-DC891B0E8D0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P296</xm:sqref>
        </x14:conditionalFormatting>
        <x14:conditionalFormatting xmlns:xm="http://schemas.microsoft.com/office/excel/2006/main">
          <x14:cfRule type="cellIs" priority="33" operator="lessThan" id="{5B4A217F-AC45-45B2-AC7E-891689E5D8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P297</xm:sqref>
        </x14:conditionalFormatting>
        <x14:conditionalFormatting xmlns:xm="http://schemas.microsoft.com/office/excel/2006/main">
          <x14:cfRule type="cellIs" priority="32" operator="lessThan" id="{8C7E8665-D6C7-414A-9A06-2DCAE645586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P297</xm:sqref>
        </x14:conditionalFormatting>
        <x14:conditionalFormatting xmlns:xm="http://schemas.microsoft.com/office/excel/2006/main">
          <x14:cfRule type="cellIs" priority="31" operator="lessThan" id="{76359AFE-86AF-4414-B5DF-D21F3EB77E7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P298</xm:sqref>
        </x14:conditionalFormatting>
        <x14:conditionalFormatting xmlns:xm="http://schemas.microsoft.com/office/excel/2006/main">
          <x14:cfRule type="cellIs" priority="30" operator="lessThan" id="{5CFCFF2C-D38B-4271-B727-F4E006C9060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P298</xm:sqref>
        </x14:conditionalFormatting>
        <x14:conditionalFormatting xmlns:xm="http://schemas.microsoft.com/office/excel/2006/main">
          <x14:cfRule type="cellIs" priority="29" operator="lessThan" id="{4CCCD27E-C335-4396-81B5-F12941C29F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P299</xm:sqref>
        </x14:conditionalFormatting>
        <x14:conditionalFormatting xmlns:xm="http://schemas.microsoft.com/office/excel/2006/main">
          <x14:cfRule type="cellIs" priority="28" operator="lessThan" id="{0B4C6B14-7282-442D-9501-20C1F9BCD08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P299</xm:sqref>
        </x14:conditionalFormatting>
        <x14:conditionalFormatting xmlns:xm="http://schemas.microsoft.com/office/excel/2006/main">
          <x14:cfRule type="cellIs" priority="27" operator="lessThan" id="{F606AE58-4AB6-4ABF-9641-E027791D37A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P300</xm:sqref>
        </x14:conditionalFormatting>
        <x14:conditionalFormatting xmlns:xm="http://schemas.microsoft.com/office/excel/2006/main">
          <x14:cfRule type="cellIs" priority="26" operator="lessThan" id="{5C1A7067-96CB-4D7A-AE1F-F39C67DE12E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P300</xm:sqref>
        </x14:conditionalFormatting>
        <x14:conditionalFormatting xmlns:xm="http://schemas.microsoft.com/office/excel/2006/main">
          <x14:cfRule type="cellIs" priority="25" operator="lessThan" id="{D40F7B8D-3E11-4D83-82CE-CEB3300683A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P301</xm:sqref>
        </x14:conditionalFormatting>
        <x14:conditionalFormatting xmlns:xm="http://schemas.microsoft.com/office/excel/2006/main">
          <x14:cfRule type="cellIs" priority="24" operator="lessThan" id="{6784CFD5-2AE7-4BA0-BC1D-223902E1CCE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P301</xm:sqref>
        </x14:conditionalFormatting>
        <x14:conditionalFormatting xmlns:xm="http://schemas.microsoft.com/office/excel/2006/main">
          <x14:cfRule type="cellIs" priority="23" operator="lessThan" id="{F9879364-AB5B-40BB-B707-A68D706CB46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P302</xm:sqref>
        </x14:conditionalFormatting>
        <x14:conditionalFormatting xmlns:xm="http://schemas.microsoft.com/office/excel/2006/main">
          <x14:cfRule type="cellIs" priority="22" operator="lessThan" id="{CCB99E0A-DE2C-42FE-A5E1-50194E88C4A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P302</xm:sqref>
        </x14:conditionalFormatting>
        <x14:conditionalFormatting xmlns:xm="http://schemas.microsoft.com/office/excel/2006/main">
          <x14:cfRule type="cellIs" priority="21" operator="lessThan" id="{FE1759A5-66FC-4864-BE83-BB4682DC57B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P303:P305 P321:P328</xm:sqref>
        </x14:conditionalFormatting>
        <x14:conditionalFormatting xmlns:xm="http://schemas.microsoft.com/office/excel/2006/main">
          <x14:cfRule type="cellIs" priority="20" operator="lessThan" id="{DDE92B43-A039-4119-9068-B2D7C59C18F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P303:P305 P321:P328</xm:sqref>
        </x14:conditionalFormatting>
        <x14:conditionalFormatting xmlns:xm="http://schemas.microsoft.com/office/excel/2006/main">
          <x14:cfRule type="cellIs" priority="19" operator="lessThan" id="{0EAB84F2-BB09-4FA9-A3A8-07BE8EFFFC2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P306</xm:sqref>
        </x14:conditionalFormatting>
        <x14:conditionalFormatting xmlns:xm="http://schemas.microsoft.com/office/excel/2006/main">
          <x14:cfRule type="cellIs" priority="18" operator="lessThan" id="{733B5D4C-A16E-4F4D-BF0A-B46ED202F4F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P307</xm:sqref>
        </x14:conditionalFormatting>
        <x14:conditionalFormatting xmlns:xm="http://schemas.microsoft.com/office/excel/2006/main">
          <x14:cfRule type="cellIs" priority="17" operator="lessThan" id="{8401056F-8318-460F-B297-79DFC983444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P308</xm:sqref>
        </x14:conditionalFormatting>
        <x14:conditionalFormatting xmlns:xm="http://schemas.microsoft.com/office/excel/2006/main">
          <x14:cfRule type="cellIs" priority="16" operator="lessThan" id="{5ABD6583-9490-4E8D-A2FE-419467F729D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P309</xm:sqref>
        </x14:conditionalFormatting>
        <x14:conditionalFormatting xmlns:xm="http://schemas.microsoft.com/office/excel/2006/main">
          <x14:cfRule type="cellIs" priority="15" operator="lessThan" id="{6A5542AF-123B-42EE-8842-CD2ECD8B590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P310</xm:sqref>
        </x14:conditionalFormatting>
        <x14:conditionalFormatting xmlns:xm="http://schemas.microsoft.com/office/excel/2006/main">
          <x14:cfRule type="cellIs" priority="14" operator="lessThan" id="{172C9EB5-E6CE-45B1-9090-3CFCCDCC646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P311</xm:sqref>
        </x14:conditionalFormatting>
        <x14:conditionalFormatting xmlns:xm="http://schemas.microsoft.com/office/excel/2006/main">
          <x14:cfRule type="cellIs" priority="13" operator="lessThan" id="{69CE3FA5-C14B-4671-9816-98535CAF9A1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P312</xm:sqref>
        </x14:conditionalFormatting>
        <x14:conditionalFormatting xmlns:xm="http://schemas.microsoft.com/office/excel/2006/main">
          <x14:cfRule type="cellIs" priority="12" operator="lessThan" id="{B34F7896-BBFE-4D87-B089-4C9F3848A38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P313</xm:sqref>
        </x14:conditionalFormatting>
        <x14:conditionalFormatting xmlns:xm="http://schemas.microsoft.com/office/excel/2006/main">
          <x14:cfRule type="cellIs" priority="11" operator="lessThan" id="{3C0944C0-ACAE-419D-A7E1-D468803A8AF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P314</xm:sqref>
        </x14:conditionalFormatting>
        <x14:conditionalFormatting xmlns:xm="http://schemas.microsoft.com/office/excel/2006/main">
          <x14:cfRule type="cellIs" priority="10" operator="lessThan" id="{31216A6A-DD47-467D-9A0C-26ED9F5C595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P315</xm:sqref>
        </x14:conditionalFormatting>
        <x14:conditionalFormatting xmlns:xm="http://schemas.microsoft.com/office/excel/2006/main">
          <x14:cfRule type="cellIs" priority="9" operator="lessThan" id="{663E088C-2B6B-4FF6-BD60-C0EA21C8406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P316</xm:sqref>
        </x14:conditionalFormatting>
        <x14:conditionalFormatting xmlns:xm="http://schemas.microsoft.com/office/excel/2006/main">
          <x14:cfRule type="cellIs" priority="8" operator="lessThan" id="{FDDCF9F2-97D9-4CFB-B8ED-DD888F8411A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P317</xm:sqref>
        </x14:conditionalFormatting>
        <x14:conditionalFormatting xmlns:xm="http://schemas.microsoft.com/office/excel/2006/main">
          <x14:cfRule type="cellIs" priority="7" operator="lessThan" id="{A085BFAD-649C-41EE-B454-D614EE9D12F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P317</xm:sqref>
        </x14:conditionalFormatting>
        <x14:conditionalFormatting xmlns:xm="http://schemas.microsoft.com/office/excel/2006/main">
          <x14:cfRule type="cellIs" priority="6" operator="lessThan" id="{9807FE14-D78C-4CA6-80AB-05D33E4C2F1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P318</xm:sqref>
        </x14:conditionalFormatting>
        <x14:conditionalFormatting xmlns:xm="http://schemas.microsoft.com/office/excel/2006/main">
          <x14:cfRule type="cellIs" priority="5" operator="lessThan" id="{AB149726-242E-4707-A804-C76F1F1965C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P318</xm:sqref>
        </x14:conditionalFormatting>
        <x14:conditionalFormatting xmlns:xm="http://schemas.microsoft.com/office/excel/2006/main">
          <x14:cfRule type="cellIs" priority="4" operator="lessThan" id="{09C91D77-8A2C-43C9-80E3-9FA2A2E4059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P319</xm:sqref>
        </x14:conditionalFormatting>
        <x14:conditionalFormatting xmlns:xm="http://schemas.microsoft.com/office/excel/2006/main">
          <x14:cfRule type="cellIs" priority="3" operator="lessThan" id="{E4275EE2-D3C6-4C62-BC36-25C643D4F72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P319</xm:sqref>
        </x14:conditionalFormatting>
        <x14:conditionalFormatting xmlns:xm="http://schemas.microsoft.com/office/excel/2006/main">
          <x14:cfRule type="cellIs" priority="2" operator="lessThan" id="{94668F12-08A3-4EFE-B835-532067D978D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P320</xm:sqref>
        </x14:conditionalFormatting>
        <x14:conditionalFormatting xmlns:xm="http://schemas.microsoft.com/office/excel/2006/main">
          <x14:cfRule type="cellIs" priority="1" operator="lessThan" id="{24C45B44-93CE-4820-BDEB-F0F714A0255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A4" workbookViewId="0">
      <selection activeCell="A4" sqref="A1:XFD1048576"/>
    </sheetView>
  </sheetViews>
  <sheetFormatPr defaultRowHeight="15" x14ac:dyDescent="0.25"/>
  <cols>
    <col min="1" max="1" width="5.42578125" style="1" customWidth="1"/>
    <col min="2" max="2" width="11" customWidth="1"/>
    <col min="3" max="3" width="7.85546875" customWidth="1"/>
    <col min="4" max="4" width="12.85546875" customWidth="1"/>
    <col min="5" max="5" width="21.7109375" customWidth="1"/>
    <col min="6" max="6" width="13.42578125" customWidth="1"/>
    <col min="7" max="7" width="10.7109375" customWidth="1"/>
    <col min="8" max="9" width="13.28515625" customWidth="1"/>
    <col min="11" max="11" width="14.28515625" customWidth="1"/>
    <col min="12" max="12" width="12.85546875" customWidth="1"/>
    <col min="13" max="13" width="11.85546875" customWidth="1"/>
    <col min="14" max="14" width="12.5703125" customWidth="1"/>
    <col min="15" max="16" width="15.140625" customWidth="1"/>
    <col min="17" max="17" width="13.5703125" style="1" customWidth="1"/>
  </cols>
  <sheetData>
    <row r="1" spans="1:29" s="3" customFormat="1" ht="15.75" customHeight="1" x14ac:dyDescent="0.25">
      <c r="A1" s="150">
        <v>1</v>
      </c>
      <c r="B1" s="153" t="s">
        <v>0</v>
      </c>
      <c r="C1" s="151" t="s">
        <v>7</v>
      </c>
      <c r="D1" s="4" t="s">
        <v>19</v>
      </c>
      <c r="E1" s="151" t="s">
        <v>3</v>
      </c>
      <c r="F1" s="151" t="s">
        <v>2</v>
      </c>
      <c r="G1" s="151" t="s">
        <v>1</v>
      </c>
      <c r="H1" s="152" t="s">
        <v>11</v>
      </c>
      <c r="I1" s="151" t="s">
        <v>4</v>
      </c>
      <c r="J1" s="153" t="s">
        <v>9</v>
      </c>
      <c r="K1" s="151" t="s">
        <v>10</v>
      </c>
      <c r="L1" s="151" t="s">
        <v>13</v>
      </c>
      <c r="M1" s="151" t="s">
        <v>12</v>
      </c>
      <c r="N1" s="151" t="s">
        <v>5</v>
      </c>
      <c r="O1" s="151" t="s">
        <v>14</v>
      </c>
      <c r="P1" s="9" t="s">
        <v>45</v>
      </c>
      <c r="Q1" s="151" t="s">
        <v>21</v>
      </c>
      <c r="R1" s="15"/>
    </row>
    <row r="2" spans="1:29" s="3" customFormat="1" x14ac:dyDescent="0.25">
      <c r="A2" s="134">
        <v>2</v>
      </c>
      <c r="B2" s="90">
        <v>42622</v>
      </c>
      <c r="C2" s="91">
        <v>103</v>
      </c>
      <c r="D2" s="91">
        <v>3000031665</v>
      </c>
      <c r="E2" s="91" t="s">
        <v>26</v>
      </c>
      <c r="F2" s="91">
        <v>146</v>
      </c>
      <c r="G2" s="92">
        <v>42568</v>
      </c>
      <c r="H2" s="92">
        <v>42568</v>
      </c>
      <c r="I2" s="91" t="s">
        <v>156</v>
      </c>
      <c r="J2" s="136">
        <v>32.82</v>
      </c>
      <c r="K2" s="91">
        <v>32.82</v>
      </c>
      <c r="L2" s="91">
        <f t="shared" ref="L2:L23" si="0">IF(K2&gt;J2,J2,K2)</f>
        <v>32.82</v>
      </c>
      <c r="M2" s="94">
        <f t="shared" ref="M2:M23" si="1">+H2+15-1</f>
        <v>42582</v>
      </c>
      <c r="N2" s="91">
        <v>2787178</v>
      </c>
      <c r="O2" s="155">
        <f t="shared" ref="O2:O24" si="2">(+N2/J2*L2)</f>
        <v>2787178</v>
      </c>
      <c r="P2" s="93">
        <v>42621</v>
      </c>
      <c r="Q2" s="93">
        <v>42622</v>
      </c>
    </row>
    <row r="3" spans="1:29" s="1" customFormat="1" x14ac:dyDescent="0.25">
      <c r="A3" s="150">
        <v>3</v>
      </c>
      <c r="B3" s="24">
        <v>42622</v>
      </c>
      <c r="C3" s="1">
        <v>103</v>
      </c>
      <c r="D3" s="1">
        <v>3000031665</v>
      </c>
      <c r="E3" s="1" t="s">
        <v>26</v>
      </c>
      <c r="F3" s="1">
        <v>147</v>
      </c>
      <c r="G3" s="25">
        <v>42568</v>
      </c>
      <c r="H3" s="25">
        <v>42568</v>
      </c>
      <c r="I3" s="1" t="s">
        <v>156</v>
      </c>
      <c r="J3" s="1">
        <v>28.2</v>
      </c>
      <c r="K3" s="1">
        <v>28.2</v>
      </c>
      <c r="L3" s="1">
        <f t="shared" si="0"/>
        <v>28.2</v>
      </c>
      <c r="M3" s="7">
        <f t="shared" si="1"/>
        <v>42582</v>
      </c>
      <c r="N3" s="1">
        <v>2394833</v>
      </c>
      <c r="O3" s="26">
        <f t="shared" si="2"/>
        <v>2394833</v>
      </c>
      <c r="P3" s="93">
        <v>42621</v>
      </c>
      <c r="Q3" s="93">
        <v>42622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1" customFormat="1" x14ac:dyDescent="0.25">
      <c r="A4" s="1">
        <v>4</v>
      </c>
      <c r="B4" s="24">
        <v>42622</v>
      </c>
      <c r="C4" s="1">
        <v>103</v>
      </c>
      <c r="D4" s="1">
        <v>3000031665</v>
      </c>
      <c r="E4" s="1" t="s">
        <v>26</v>
      </c>
      <c r="F4" s="1">
        <v>148</v>
      </c>
      <c r="G4" s="25">
        <v>42568</v>
      </c>
      <c r="H4" s="25">
        <v>42568</v>
      </c>
      <c r="I4" s="1" t="s">
        <v>156</v>
      </c>
      <c r="J4" s="1">
        <v>33.4</v>
      </c>
      <c r="K4" s="1">
        <v>33.4</v>
      </c>
      <c r="L4" s="1">
        <f t="shared" si="0"/>
        <v>33.4</v>
      </c>
      <c r="M4" s="7">
        <f t="shared" si="1"/>
        <v>42582</v>
      </c>
      <c r="N4" s="1">
        <v>2836434</v>
      </c>
      <c r="O4" s="26">
        <f t="shared" si="2"/>
        <v>2836434</v>
      </c>
      <c r="P4" s="93">
        <v>42621</v>
      </c>
      <c r="Q4" s="93">
        <v>42622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1" customFormat="1" x14ac:dyDescent="0.25">
      <c r="A5" s="150">
        <v>5</v>
      </c>
      <c r="B5" s="24">
        <v>42622</v>
      </c>
      <c r="C5" s="1">
        <v>103</v>
      </c>
      <c r="D5" s="1">
        <v>3000031665</v>
      </c>
      <c r="E5" s="1" t="s">
        <v>26</v>
      </c>
      <c r="F5" s="1">
        <v>149</v>
      </c>
      <c r="G5" s="25">
        <v>42568</v>
      </c>
      <c r="H5" s="25">
        <v>42568</v>
      </c>
      <c r="I5" s="1" t="s">
        <v>156</v>
      </c>
      <c r="J5" s="1">
        <v>28.4</v>
      </c>
      <c r="K5" s="1">
        <v>28.4</v>
      </c>
      <c r="L5" s="1">
        <f t="shared" si="0"/>
        <v>28.4</v>
      </c>
      <c r="M5" s="7">
        <f t="shared" si="1"/>
        <v>42582</v>
      </c>
      <c r="N5" s="1">
        <v>2411818</v>
      </c>
      <c r="O5" s="26">
        <f t="shared" si="2"/>
        <v>2411818</v>
      </c>
      <c r="P5" s="93">
        <v>42621</v>
      </c>
      <c r="Q5" s="93">
        <v>42622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1" customFormat="1" x14ac:dyDescent="0.25">
      <c r="A6" s="1">
        <v>6</v>
      </c>
      <c r="B6" s="24">
        <v>42622</v>
      </c>
      <c r="C6" s="1">
        <v>103</v>
      </c>
      <c r="D6" s="1">
        <v>3000031665</v>
      </c>
      <c r="E6" s="1" t="s">
        <v>26</v>
      </c>
      <c r="F6" s="1">
        <v>150</v>
      </c>
      <c r="G6" s="25">
        <v>42569</v>
      </c>
      <c r="H6" s="25">
        <v>42569</v>
      </c>
      <c r="I6" s="1" t="s">
        <v>156</v>
      </c>
      <c r="J6" s="1">
        <v>33.47</v>
      </c>
      <c r="K6" s="1">
        <v>33.47</v>
      </c>
      <c r="L6" s="1">
        <f t="shared" si="0"/>
        <v>33.47</v>
      </c>
      <c r="M6" s="7">
        <f t="shared" si="1"/>
        <v>42583</v>
      </c>
      <c r="N6" s="1">
        <v>2842378</v>
      </c>
      <c r="O6" s="26">
        <f t="shared" si="2"/>
        <v>2842378</v>
      </c>
      <c r="P6" s="93">
        <v>42621</v>
      </c>
      <c r="Q6" s="93">
        <v>42622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" customFormat="1" x14ac:dyDescent="0.25">
      <c r="A7" s="150">
        <v>7</v>
      </c>
      <c r="B7" s="24">
        <v>42622</v>
      </c>
      <c r="C7" s="1">
        <v>103</v>
      </c>
      <c r="D7" s="1">
        <v>3000031665</v>
      </c>
      <c r="E7" s="1" t="s">
        <v>26</v>
      </c>
      <c r="F7" s="1">
        <v>151</v>
      </c>
      <c r="G7" s="25">
        <v>42569</v>
      </c>
      <c r="H7" s="25">
        <v>42569</v>
      </c>
      <c r="I7" s="1" t="s">
        <v>156</v>
      </c>
      <c r="J7" s="1">
        <v>28.04</v>
      </c>
      <c r="K7" s="1">
        <v>28.04</v>
      </c>
      <c r="L7" s="1">
        <f t="shared" si="0"/>
        <v>28.04</v>
      </c>
      <c r="M7" s="7">
        <f t="shared" si="1"/>
        <v>42583</v>
      </c>
      <c r="N7" s="1">
        <v>2381245</v>
      </c>
      <c r="O7" s="26">
        <f t="shared" si="2"/>
        <v>2381245</v>
      </c>
      <c r="P7" s="93">
        <v>42621</v>
      </c>
      <c r="Q7" s="93">
        <v>42622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" customFormat="1" x14ac:dyDescent="0.25">
      <c r="A8" s="1">
        <v>8</v>
      </c>
      <c r="B8" s="24">
        <v>42622</v>
      </c>
      <c r="C8" s="1">
        <v>103</v>
      </c>
      <c r="D8" s="1">
        <v>3000031665</v>
      </c>
      <c r="E8" s="1" t="s">
        <v>26</v>
      </c>
      <c r="F8" s="1">
        <v>152</v>
      </c>
      <c r="G8" s="25">
        <v>42569</v>
      </c>
      <c r="H8" s="25">
        <v>42569</v>
      </c>
      <c r="I8" s="1" t="s">
        <v>156</v>
      </c>
      <c r="J8" s="1">
        <v>28.04</v>
      </c>
      <c r="K8" s="1">
        <v>28.04</v>
      </c>
      <c r="L8" s="1">
        <f t="shared" si="0"/>
        <v>28.04</v>
      </c>
      <c r="M8" s="7">
        <f t="shared" si="1"/>
        <v>42583</v>
      </c>
      <c r="N8" s="1">
        <v>2381245</v>
      </c>
      <c r="O8" s="26">
        <f t="shared" si="2"/>
        <v>2381245</v>
      </c>
      <c r="P8" s="93">
        <v>42621</v>
      </c>
      <c r="Q8" s="93">
        <v>42622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s="1" customFormat="1" x14ac:dyDescent="0.25">
      <c r="A9" s="150">
        <v>9</v>
      </c>
      <c r="B9" s="24">
        <v>42622</v>
      </c>
      <c r="C9" s="1">
        <v>103</v>
      </c>
      <c r="D9" s="1">
        <v>3000031665</v>
      </c>
      <c r="E9" s="1" t="s">
        <v>26</v>
      </c>
      <c r="F9" s="1">
        <v>153</v>
      </c>
      <c r="G9" s="25">
        <v>42571</v>
      </c>
      <c r="H9" s="25">
        <v>42571</v>
      </c>
      <c r="I9" s="1" t="s">
        <v>156</v>
      </c>
      <c r="J9" s="1">
        <v>27.35</v>
      </c>
      <c r="K9" s="1">
        <v>27.35</v>
      </c>
      <c r="L9" s="1">
        <f t="shared" si="0"/>
        <v>27.35</v>
      </c>
      <c r="M9" s="7">
        <f t="shared" si="1"/>
        <v>42585</v>
      </c>
      <c r="N9" s="1">
        <v>2322648</v>
      </c>
      <c r="O9" s="26">
        <f t="shared" si="2"/>
        <v>2322648</v>
      </c>
      <c r="P9" s="93">
        <v>42621</v>
      </c>
      <c r="Q9" s="93">
        <v>42622</v>
      </c>
      <c r="R9" s="15" t="s">
        <v>296</v>
      </c>
      <c r="S9" s="15"/>
      <c r="T9" s="15"/>
      <c r="U9" s="3"/>
      <c r="V9" s="3"/>
      <c r="W9" s="3"/>
      <c r="X9" s="3"/>
      <c r="Y9" s="3"/>
      <c r="Z9" s="3"/>
      <c r="AA9" s="3"/>
      <c r="AB9" s="3"/>
      <c r="AC9" s="3"/>
    </row>
    <row r="10" spans="1:29" s="1" customFormat="1" x14ac:dyDescent="0.25">
      <c r="A10" s="1">
        <v>10</v>
      </c>
      <c r="B10" s="24">
        <v>42628</v>
      </c>
      <c r="C10" s="1">
        <v>103</v>
      </c>
      <c r="D10" s="1">
        <v>3000031665</v>
      </c>
      <c r="E10" s="1" t="s">
        <v>26</v>
      </c>
      <c r="F10" s="1">
        <v>143</v>
      </c>
      <c r="G10" s="25">
        <v>42537</v>
      </c>
      <c r="H10" s="25">
        <v>42537</v>
      </c>
      <c r="I10" s="1" t="s">
        <v>156</v>
      </c>
      <c r="J10" s="1">
        <v>11.355</v>
      </c>
      <c r="K10" s="1">
        <v>11.355</v>
      </c>
      <c r="L10" s="1">
        <f t="shared" si="0"/>
        <v>11.355</v>
      </c>
      <c r="M10" s="7">
        <f t="shared" si="1"/>
        <v>42551</v>
      </c>
      <c r="N10" s="1">
        <v>964302</v>
      </c>
      <c r="O10" s="26">
        <f t="shared" si="2"/>
        <v>964302</v>
      </c>
      <c r="P10" s="93">
        <v>42628</v>
      </c>
      <c r="Q10" s="93">
        <v>42628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s="1" customFormat="1" x14ac:dyDescent="0.25">
      <c r="A11" s="150">
        <v>11</v>
      </c>
      <c r="B11" s="24">
        <v>42628</v>
      </c>
      <c r="C11" s="1">
        <v>103</v>
      </c>
      <c r="D11" s="1">
        <v>3000031665</v>
      </c>
      <c r="E11" s="1" t="s">
        <v>26</v>
      </c>
      <c r="F11" s="1">
        <v>144</v>
      </c>
      <c r="G11" s="25">
        <v>42537</v>
      </c>
      <c r="H11" s="25">
        <v>42537</v>
      </c>
      <c r="I11" s="1" t="s">
        <v>156</v>
      </c>
      <c r="J11" s="1">
        <v>28.06</v>
      </c>
      <c r="K11" s="1">
        <v>28.06</v>
      </c>
      <c r="L11" s="1">
        <f t="shared" si="0"/>
        <v>28.06</v>
      </c>
      <c r="M11" s="7">
        <f t="shared" si="1"/>
        <v>42551</v>
      </c>
      <c r="N11" s="1">
        <v>2382944</v>
      </c>
      <c r="O11" s="26">
        <f t="shared" si="2"/>
        <v>2382944</v>
      </c>
      <c r="P11" s="93">
        <v>42628</v>
      </c>
      <c r="Q11" s="93">
        <v>42628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s="1" customFormat="1" x14ac:dyDescent="0.25">
      <c r="A12" s="1">
        <v>12</v>
      </c>
      <c r="B12" s="24">
        <v>42628</v>
      </c>
      <c r="C12" s="1">
        <v>103</v>
      </c>
      <c r="D12" s="1">
        <v>3000031665</v>
      </c>
      <c r="E12" s="1" t="s">
        <v>26</v>
      </c>
      <c r="F12" s="1">
        <v>155</v>
      </c>
      <c r="G12" s="25">
        <v>42541</v>
      </c>
      <c r="H12" s="25">
        <v>42541</v>
      </c>
      <c r="I12" s="1" t="s">
        <v>156</v>
      </c>
      <c r="J12" s="1">
        <v>27.92</v>
      </c>
      <c r="K12" s="1">
        <v>27.92</v>
      </c>
      <c r="L12" s="1">
        <f t="shared" si="0"/>
        <v>27.92</v>
      </c>
      <c r="M12" s="7">
        <f t="shared" si="1"/>
        <v>42555</v>
      </c>
      <c r="N12" s="1">
        <v>2371055</v>
      </c>
      <c r="O12" s="26">
        <f t="shared" si="2"/>
        <v>2371055</v>
      </c>
      <c r="P12" s="93">
        <v>42628</v>
      </c>
      <c r="Q12" s="93">
        <v>42628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s="1" customFormat="1" x14ac:dyDescent="0.25">
      <c r="A13" s="150">
        <v>13</v>
      </c>
      <c r="B13" s="24">
        <v>42628</v>
      </c>
      <c r="C13" s="1">
        <v>103</v>
      </c>
      <c r="D13" s="1">
        <v>3000031665</v>
      </c>
      <c r="E13" s="1" t="s">
        <v>26</v>
      </c>
      <c r="F13" s="1">
        <v>156</v>
      </c>
      <c r="G13" s="25">
        <v>42541</v>
      </c>
      <c r="H13" s="25">
        <v>42541</v>
      </c>
      <c r="I13" s="1" t="s">
        <v>156</v>
      </c>
      <c r="J13" s="1">
        <v>27.97</v>
      </c>
      <c r="K13" s="1">
        <v>27.97</v>
      </c>
      <c r="L13" s="1">
        <f t="shared" si="0"/>
        <v>27.97</v>
      </c>
      <c r="M13" s="7">
        <f t="shared" si="1"/>
        <v>42555</v>
      </c>
      <c r="N13" s="1">
        <v>2375301</v>
      </c>
      <c r="O13" s="26">
        <f t="shared" si="2"/>
        <v>2375301</v>
      </c>
      <c r="P13" s="93">
        <v>42628</v>
      </c>
      <c r="Q13" s="93">
        <v>42628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s="1" customFormat="1" x14ac:dyDescent="0.25">
      <c r="A14" s="1">
        <v>14</v>
      </c>
      <c r="B14" s="24">
        <v>42628</v>
      </c>
      <c r="C14" s="1">
        <v>103</v>
      </c>
      <c r="D14" s="1">
        <v>3000031665</v>
      </c>
      <c r="E14" s="1" t="s">
        <v>26</v>
      </c>
      <c r="F14" s="1">
        <v>158</v>
      </c>
      <c r="G14" s="25">
        <v>42542</v>
      </c>
      <c r="H14" s="25">
        <v>42542</v>
      </c>
      <c r="I14" s="1" t="s">
        <v>156</v>
      </c>
      <c r="J14" s="1">
        <v>28</v>
      </c>
      <c r="K14" s="1">
        <v>28</v>
      </c>
      <c r="L14" s="1">
        <f t="shared" si="0"/>
        <v>28</v>
      </c>
      <c r="M14" s="7">
        <f>+H14+15-1</f>
        <v>42556</v>
      </c>
      <c r="N14" s="1">
        <v>2377848</v>
      </c>
      <c r="O14" s="26">
        <f t="shared" si="2"/>
        <v>2377848</v>
      </c>
      <c r="P14" s="93">
        <v>42628</v>
      </c>
      <c r="Q14" s="93">
        <v>42628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s="91" customFormat="1" x14ac:dyDescent="0.25">
      <c r="A15" s="156">
        <v>15</v>
      </c>
      <c r="B15" s="90">
        <v>42628</v>
      </c>
      <c r="C15" s="91">
        <v>103</v>
      </c>
      <c r="D15" s="91">
        <v>3000031665</v>
      </c>
      <c r="E15" s="91" t="s">
        <v>26</v>
      </c>
      <c r="F15" s="91">
        <v>159</v>
      </c>
      <c r="G15" s="92">
        <v>42543</v>
      </c>
      <c r="H15" s="92">
        <v>42543</v>
      </c>
      <c r="I15" s="91" t="s">
        <v>156</v>
      </c>
      <c r="J15" s="91">
        <v>28.62</v>
      </c>
      <c r="K15" s="91">
        <v>28.62</v>
      </c>
      <c r="L15" s="91">
        <f t="shared" si="0"/>
        <v>28.62</v>
      </c>
      <c r="M15" s="94">
        <f t="shared" si="1"/>
        <v>42557</v>
      </c>
      <c r="N15" s="91">
        <v>2430501</v>
      </c>
      <c r="O15" s="155">
        <f t="shared" si="2"/>
        <v>2430501</v>
      </c>
      <c r="P15" s="93">
        <v>42628</v>
      </c>
      <c r="Q15" s="93">
        <v>42628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" customFormat="1" x14ac:dyDescent="0.25">
      <c r="A16" s="1">
        <v>16</v>
      </c>
      <c r="B16" s="24">
        <v>42536</v>
      </c>
      <c r="C16" s="1">
        <v>103</v>
      </c>
      <c r="D16" s="5">
        <v>3000031665</v>
      </c>
      <c r="E16" s="5" t="s">
        <v>26</v>
      </c>
      <c r="F16" s="5">
        <v>160</v>
      </c>
      <c r="G16" s="25">
        <v>42543</v>
      </c>
      <c r="H16" s="25">
        <v>42543</v>
      </c>
      <c r="I16" s="5" t="s">
        <v>156</v>
      </c>
      <c r="J16" s="5">
        <v>28.16</v>
      </c>
      <c r="K16" s="5">
        <v>28.16</v>
      </c>
      <c r="L16" s="1">
        <f t="shared" si="0"/>
        <v>28.16</v>
      </c>
      <c r="M16" s="7">
        <f t="shared" si="1"/>
        <v>42557</v>
      </c>
      <c r="N16" s="5">
        <v>2391436</v>
      </c>
      <c r="O16" s="26">
        <f t="shared" si="2"/>
        <v>2391436</v>
      </c>
      <c r="P16" s="93">
        <v>42628</v>
      </c>
      <c r="Q16" s="93">
        <v>42628</v>
      </c>
      <c r="R16" s="3"/>
      <c r="S16" s="3"/>
      <c r="T16" s="3"/>
      <c r="U16" s="3"/>
      <c r="V16" s="3"/>
      <c r="W16" s="3"/>
      <c r="X16" s="3"/>
      <c r="Y16" s="3"/>
      <c r="Z16" s="3"/>
      <c r="AA16" s="77"/>
    </row>
    <row r="17" spans="1:27" s="1" customFormat="1" x14ac:dyDescent="0.25">
      <c r="A17" s="156">
        <v>17</v>
      </c>
      <c r="B17" s="24">
        <v>42628</v>
      </c>
      <c r="C17" s="1">
        <v>103</v>
      </c>
      <c r="D17" s="5">
        <v>3000031665</v>
      </c>
      <c r="E17" s="5" t="s">
        <v>26</v>
      </c>
      <c r="F17" s="5">
        <v>161</v>
      </c>
      <c r="G17" s="25">
        <v>42544</v>
      </c>
      <c r="H17" s="25">
        <v>42544</v>
      </c>
      <c r="I17" s="5" t="s">
        <v>156</v>
      </c>
      <c r="J17" s="5">
        <v>28.38</v>
      </c>
      <c r="K17" s="5">
        <v>28.38</v>
      </c>
      <c r="L17" s="1">
        <f t="shared" si="0"/>
        <v>28.38</v>
      </c>
      <c r="M17" s="7">
        <f t="shared" si="1"/>
        <v>42558</v>
      </c>
      <c r="N17" s="5">
        <v>2410119</v>
      </c>
      <c r="O17" s="26">
        <f t="shared" si="2"/>
        <v>2410119</v>
      </c>
      <c r="P17" s="93">
        <v>42628</v>
      </c>
      <c r="Q17" s="93">
        <v>42628</v>
      </c>
      <c r="R17" s="3"/>
      <c r="S17" s="3"/>
      <c r="T17" s="3"/>
      <c r="U17" s="3"/>
      <c r="V17" s="3"/>
      <c r="W17" s="3"/>
      <c r="X17" s="3"/>
      <c r="Y17" s="3"/>
      <c r="Z17" s="3"/>
      <c r="AA17" s="77"/>
    </row>
    <row r="18" spans="1:27" s="1" customFormat="1" x14ac:dyDescent="0.25">
      <c r="A18" s="1">
        <v>18</v>
      </c>
      <c r="B18" s="24">
        <v>42628</v>
      </c>
      <c r="C18" s="1">
        <v>103</v>
      </c>
      <c r="D18" s="5">
        <v>3000031665</v>
      </c>
      <c r="E18" s="5" t="s">
        <v>26</v>
      </c>
      <c r="F18" s="5">
        <v>162</v>
      </c>
      <c r="G18" s="25">
        <v>42544</v>
      </c>
      <c r="H18" s="25">
        <v>42544</v>
      </c>
      <c r="I18" s="5" t="s">
        <v>156</v>
      </c>
      <c r="J18" s="5">
        <v>21.965</v>
      </c>
      <c r="K18" s="5">
        <v>21.965</v>
      </c>
      <c r="L18" s="1">
        <f t="shared" si="0"/>
        <v>21.965</v>
      </c>
      <c r="M18" s="7">
        <f t="shared" si="1"/>
        <v>42558</v>
      </c>
      <c r="N18" s="5">
        <v>1865337</v>
      </c>
      <c r="O18" s="26">
        <f t="shared" si="2"/>
        <v>1865337</v>
      </c>
      <c r="P18" s="93">
        <v>42628</v>
      </c>
      <c r="Q18" s="93">
        <v>42628</v>
      </c>
      <c r="R18" s="15" t="s">
        <v>302</v>
      </c>
      <c r="S18" s="15"/>
      <c r="T18" s="15"/>
      <c r="U18" s="3"/>
      <c r="V18" s="3"/>
      <c r="W18" s="3"/>
      <c r="X18" s="3"/>
      <c r="Y18" s="3"/>
      <c r="Z18" s="3"/>
      <c r="AA18" s="77"/>
    </row>
    <row r="19" spans="1:27" s="1" customFormat="1" x14ac:dyDescent="0.25">
      <c r="A19" s="156">
        <v>19</v>
      </c>
      <c r="B19" s="24">
        <v>42598</v>
      </c>
      <c r="C19" s="1">
        <v>103</v>
      </c>
      <c r="G19" s="25">
        <v>42672</v>
      </c>
      <c r="H19" s="25">
        <v>42672</v>
      </c>
      <c r="L19" s="1">
        <f t="shared" si="0"/>
        <v>0</v>
      </c>
      <c r="M19" s="7">
        <f t="shared" si="1"/>
        <v>42686</v>
      </c>
      <c r="O19" s="26" t="e">
        <f t="shared" si="2"/>
        <v>#DIV/0!</v>
      </c>
      <c r="R19" s="3"/>
      <c r="S19" s="3"/>
      <c r="T19" s="3"/>
      <c r="U19" s="3"/>
      <c r="V19" s="3"/>
      <c r="W19" s="3"/>
      <c r="X19" s="3"/>
      <c r="Y19" s="3"/>
      <c r="Z19" s="3"/>
      <c r="AA19" s="77"/>
    </row>
    <row r="20" spans="1:27" s="1" customFormat="1" x14ac:dyDescent="0.25">
      <c r="A20" s="1">
        <v>20</v>
      </c>
      <c r="B20" s="24">
        <v>42592</v>
      </c>
      <c r="C20" s="1">
        <v>103</v>
      </c>
      <c r="G20" s="25">
        <v>42698</v>
      </c>
      <c r="H20" s="25">
        <v>42698</v>
      </c>
      <c r="L20" s="1">
        <f t="shared" si="0"/>
        <v>0</v>
      </c>
      <c r="M20" s="7">
        <f t="shared" si="1"/>
        <v>42712</v>
      </c>
      <c r="O20" s="26" t="e">
        <f t="shared" si="2"/>
        <v>#DIV/0!</v>
      </c>
      <c r="R20" s="3"/>
      <c r="S20" s="3"/>
      <c r="T20" s="3"/>
      <c r="U20" s="3"/>
      <c r="V20" s="3"/>
      <c r="W20" s="3"/>
      <c r="X20" s="3"/>
      <c r="Y20" s="3"/>
      <c r="Z20" s="3"/>
      <c r="AA20" s="77"/>
    </row>
    <row r="21" spans="1:27" s="1" customFormat="1" x14ac:dyDescent="0.25">
      <c r="A21" s="156">
        <v>21</v>
      </c>
      <c r="B21" s="24">
        <v>42586</v>
      </c>
      <c r="C21" s="1">
        <v>103</v>
      </c>
      <c r="G21" s="25">
        <v>42724</v>
      </c>
      <c r="H21" s="25">
        <v>42724</v>
      </c>
      <c r="L21" s="1">
        <f t="shared" si="0"/>
        <v>0</v>
      </c>
      <c r="M21" s="7">
        <f t="shared" si="1"/>
        <v>42738</v>
      </c>
      <c r="O21" s="26" t="e">
        <f t="shared" si="2"/>
        <v>#DIV/0!</v>
      </c>
      <c r="R21" s="3"/>
      <c r="S21" s="3"/>
      <c r="T21" s="3"/>
      <c r="U21" s="3"/>
      <c r="V21" s="3"/>
      <c r="W21" s="3"/>
      <c r="X21" s="3"/>
      <c r="Y21" s="3"/>
      <c r="Z21" s="3"/>
      <c r="AA21" s="77"/>
    </row>
    <row r="22" spans="1:27" s="1" customFormat="1" x14ac:dyDescent="0.25">
      <c r="A22" s="1">
        <v>22</v>
      </c>
      <c r="B22" s="24">
        <v>42580</v>
      </c>
      <c r="C22" s="1">
        <v>103</v>
      </c>
      <c r="G22" s="25">
        <v>42750</v>
      </c>
      <c r="H22" s="25">
        <v>42750</v>
      </c>
      <c r="L22" s="1">
        <f t="shared" si="0"/>
        <v>0</v>
      </c>
      <c r="M22" s="7">
        <f t="shared" si="1"/>
        <v>42764</v>
      </c>
      <c r="O22" s="26" t="e">
        <f t="shared" si="2"/>
        <v>#DIV/0!</v>
      </c>
      <c r="R22" s="3"/>
      <c r="S22" s="3"/>
      <c r="T22" s="3"/>
      <c r="U22" s="3"/>
      <c r="V22" s="3"/>
      <c r="W22" s="3"/>
      <c r="X22" s="3"/>
      <c r="Y22" s="3"/>
      <c r="Z22" s="3"/>
      <c r="AA22" s="77"/>
    </row>
    <row r="23" spans="1:27" s="1" customFormat="1" x14ac:dyDescent="0.25">
      <c r="A23" s="156">
        <v>23</v>
      </c>
      <c r="B23" s="24">
        <v>42574</v>
      </c>
      <c r="C23" s="1">
        <v>103</v>
      </c>
      <c r="G23" s="25">
        <v>42776</v>
      </c>
      <c r="H23" s="25">
        <v>42776</v>
      </c>
      <c r="L23" s="1">
        <f t="shared" si="0"/>
        <v>0</v>
      </c>
      <c r="M23" s="7">
        <f t="shared" si="1"/>
        <v>42790</v>
      </c>
      <c r="O23" s="26" t="e">
        <f t="shared" si="2"/>
        <v>#DIV/0!</v>
      </c>
      <c r="R23" s="3"/>
      <c r="S23" s="3"/>
      <c r="T23" s="3"/>
      <c r="U23" s="3"/>
      <c r="V23" s="3"/>
      <c r="W23" s="3"/>
      <c r="X23" s="3"/>
      <c r="Y23" s="3"/>
      <c r="Z23" s="3"/>
      <c r="AA23" s="77"/>
    </row>
    <row r="24" spans="1:27" s="1" customFormat="1" x14ac:dyDescent="0.25">
      <c r="A24" s="1">
        <v>24</v>
      </c>
      <c r="B24" s="24">
        <v>42568</v>
      </c>
      <c r="C24" s="1">
        <v>103</v>
      </c>
      <c r="G24" s="25">
        <v>42802</v>
      </c>
      <c r="H24" s="25">
        <v>42802</v>
      </c>
      <c r="O24" s="26" t="e">
        <f t="shared" si="2"/>
        <v>#DIV/0!</v>
      </c>
      <c r="R24" s="3"/>
      <c r="S24" s="3"/>
      <c r="T24" s="3"/>
      <c r="U24" s="3"/>
      <c r="V24" s="3"/>
      <c r="W24" s="3"/>
      <c r="X24" s="3"/>
      <c r="Y24" s="3"/>
      <c r="Z24" s="3"/>
      <c r="AA24" s="77"/>
    </row>
    <row r="25" spans="1:27" x14ac:dyDescent="0.25">
      <c r="A25" s="140"/>
    </row>
  </sheetData>
  <conditionalFormatting sqref="M2:M23">
    <cfRule type="cellIs" dxfId="87" priority="1" operator="lessThan">
      <formula>$M$1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opLeftCell="A25" workbookViewId="0">
      <selection activeCell="P2" sqref="P2:P42"/>
    </sheetView>
  </sheetViews>
  <sheetFormatPr defaultRowHeight="15" x14ac:dyDescent="0.25"/>
  <cols>
    <col min="2" max="2" width="11.5703125" customWidth="1"/>
    <col min="4" max="4" width="11.28515625" customWidth="1"/>
    <col min="5" max="5" width="24.5703125" customWidth="1"/>
    <col min="6" max="6" width="17.7109375" customWidth="1"/>
    <col min="7" max="7" width="11.7109375" customWidth="1"/>
    <col min="9" max="9" width="10.85546875" customWidth="1"/>
    <col min="14" max="14" width="11.7109375" customWidth="1"/>
    <col min="16" max="16" width="13.140625" customWidth="1"/>
  </cols>
  <sheetData>
    <row r="1" spans="1:18" x14ac:dyDescent="0.25">
      <c r="F1" s="318">
        <v>42821</v>
      </c>
    </row>
    <row r="2" spans="1:18" s="3" customFormat="1" x14ac:dyDescent="0.25">
      <c r="A2" s="84"/>
      <c r="B2" s="204">
        <v>42779</v>
      </c>
      <c r="C2" s="5">
        <v>114</v>
      </c>
      <c r="D2" s="5">
        <v>3000035436</v>
      </c>
      <c r="E2" s="5" t="s">
        <v>612</v>
      </c>
      <c r="F2" s="5">
        <v>320</v>
      </c>
      <c r="G2" s="204">
        <v>42767</v>
      </c>
      <c r="H2" s="204"/>
      <c r="I2" s="204">
        <v>42772</v>
      </c>
      <c r="J2" s="1" t="s">
        <v>16</v>
      </c>
      <c r="K2" s="5">
        <v>16.54</v>
      </c>
      <c r="L2" s="5">
        <v>16.54</v>
      </c>
      <c r="M2" s="5">
        <v>16.54</v>
      </c>
      <c r="N2" s="303">
        <f>+I2+15-1</f>
        <v>42786</v>
      </c>
      <c r="O2" s="5">
        <v>881582</v>
      </c>
      <c r="P2" s="36">
        <f>(+O2/K2*M2)</f>
        <v>881582</v>
      </c>
      <c r="Q2" s="225"/>
      <c r="R2" s="1"/>
    </row>
    <row r="3" spans="1:18" s="3" customFormat="1" x14ac:dyDescent="0.25">
      <c r="A3" s="13"/>
      <c r="B3" s="204">
        <v>42779</v>
      </c>
      <c r="C3" s="5">
        <v>114</v>
      </c>
      <c r="D3" s="5">
        <v>3000037981</v>
      </c>
      <c r="E3" s="5" t="s">
        <v>612</v>
      </c>
      <c r="F3" s="5">
        <v>320</v>
      </c>
      <c r="G3" s="204">
        <v>42767</v>
      </c>
      <c r="H3" s="204"/>
      <c r="I3" s="204">
        <v>42772</v>
      </c>
      <c r="J3" s="1" t="s">
        <v>16</v>
      </c>
      <c r="K3" s="5">
        <v>3.3</v>
      </c>
      <c r="L3" s="5">
        <v>3.3</v>
      </c>
      <c r="M3" s="5">
        <v>3.3</v>
      </c>
      <c r="N3" s="303">
        <f>+I3+15-1</f>
        <v>42786</v>
      </c>
      <c r="O3" s="5">
        <v>185955</v>
      </c>
      <c r="P3" s="36">
        <f>(+O3/K3*M3)</f>
        <v>185955</v>
      </c>
      <c r="Q3" s="256"/>
      <c r="R3" s="1"/>
    </row>
    <row r="4" spans="1:18" s="1" customFormat="1" x14ac:dyDescent="0.25">
      <c r="A4" s="84"/>
      <c r="B4" s="204">
        <v>42809</v>
      </c>
      <c r="C4" s="1">
        <v>103</v>
      </c>
      <c r="E4" s="1" t="s">
        <v>202</v>
      </c>
      <c r="F4" s="1" t="s">
        <v>829</v>
      </c>
      <c r="G4" s="213">
        <v>42780</v>
      </c>
      <c r="I4" s="204">
        <v>42780</v>
      </c>
      <c r="M4" s="5">
        <f>IF(L4&gt;K4,K4,L4)</f>
        <v>0</v>
      </c>
      <c r="N4" s="211">
        <f>+I4+15-1</f>
        <v>42794</v>
      </c>
      <c r="O4" s="1">
        <v>314280</v>
      </c>
      <c r="P4" s="108">
        <f>(O4- (O4*10%))</f>
        <v>282852</v>
      </c>
      <c r="Q4" s="225"/>
    </row>
    <row r="5" spans="1:18" s="1" customFormat="1" x14ac:dyDescent="0.25">
      <c r="A5" s="84"/>
      <c r="B5" s="204">
        <v>42809</v>
      </c>
      <c r="C5" s="1">
        <v>103</v>
      </c>
      <c r="E5" s="1" t="s">
        <v>202</v>
      </c>
      <c r="F5" s="1" t="s">
        <v>830</v>
      </c>
      <c r="G5" s="213">
        <v>42780</v>
      </c>
      <c r="I5" s="204">
        <v>42780</v>
      </c>
      <c r="M5" s="5">
        <f>IF(L5&gt;K5,K5,L5)</f>
        <v>0</v>
      </c>
      <c r="N5" s="211">
        <f>+I5+15-1</f>
        <v>42794</v>
      </c>
      <c r="O5" s="1">
        <v>73317</v>
      </c>
      <c r="P5" s="108">
        <f>(O5- (O5*10%))</f>
        <v>65985.3</v>
      </c>
      <c r="Q5" s="225"/>
    </row>
    <row r="6" spans="1:18" s="1" customFormat="1" x14ac:dyDescent="0.25">
      <c r="A6" s="84"/>
      <c r="B6" s="204">
        <v>42809</v>
      </c>
      <c r="C6" s="1">
        <v>103</v>
      </c>
      <c r="E6" s="1" t="s">
        <v>202</v>
      </c>
      <c r="F6" s="1" t="s">
        <v>831</v>
      </c>
      <c r="G6" s="213">
        <v>42780</v>
      </c>
      <c r="I6" s="204">
        <v>42780</v>
      </c>
      <c r="M6" s="5">
        <f>IF(L6&gt;K6,K6,L6)</f>
        <v>0</v>
      </c>
      <c r="N6" s="211">
        <f>+I6+15-1</f>
        <v>42794</v>
      </c>
      <c r="O6" s="1">
        <v>86351</v>
      </c>
      <c r="P6" s="108">
        <f>(O6- (O6*10%))</f>
        <v>77715.899999999994</v>
      </c>
      <c r="Q6" s="225"/>
    </row>
    <row r="7" spans="1:18" s="3" customFormat="1" x14ac:dyDescent="0.25">
      <c r="A7" s="13"/>
      <c r="B7" s="204">
        <v>42779</v>
      </c>
      <c r="C7" s="5">
        <v>103</v>
      </c>
      <c r="D7" s="5">
        <v>3000038697</v>
      </c>
      <c r="E7" s="5" t="s">
        <v>592</v>
      </c>
      <c r="F7" s="5">
        <v>237</v>
      </c>
      <c r="G7" s="204">
        <v>42771</v>
      </c>
      <c r="H7" s="204"/>
      <c r="I7" s="204">
        <v>42776</v>
      </c>
      <c r="J7" s="1" t="s">
        <v>61</v>
      </c>
      <c r="K7" s="5">
        <v>20</v>
      </c>
      <c r="L7" s="5">
        <v>19.97</v>
      </c>
      <c r="M7" s="5">
        <v>19.97</v>
      </c>
      <c r="N7" s="66">
        <f>+I7+20-1</f>
        <v>42795</v>
      </c>
      <c r="O7" s="5">
        <v>2600000</v>
      </c>
      <c r="P7" s="266">
        <f t="shared" ref="P7:P14" si="0">(+O7/K7*M7)</f>
        <v>2596100</v>
      </c>
      <c r="Q7" s="256"/>
      <c r="R7" s="1"/>
    </row>
    <row r="8" spans="1:18" s="1" customFormat="1" x14ac:dyDescent="0.25">
      <c r="A8" s="84"/>
      <c r="B8" s="204">
        <v>42782</v>
      </c>
      <c r="C8" s="5">
        <v>103</v>
      </c>
      <c r="D8" s="1">
        <v>3000038275</v>
      </c>
      <c r="E8" s="1" t="s">
        <v>600</v>
      </c>
      <c r="F8" s="1">
        <v>151</v>
      </c>
      <c r="G8" s="204">
        <v>42773</v>
      </c>
      <c r="H8" s="204"/>
      <c r="I8" s="204">
        <v>42777</v>
      </c>
      <c r="J8" s="1" t="s">
        <v>61</v>
      </c>
      <c r="K8" s="1">
        <v>19.920000000000002</v>
      </c>
      <c r="L8" s="1">
        <v>19.88</v>
      </c>
      <c r="M8" s="5">
        <f t="shared" ref="M8:M42" si="1">IF(L8&gt;K8,K8,L8)</f>
        <v>19.88</v>
      </c>
      <c r="N8" s="66">
        <f>+I8+20-1</f>
        <v>42796</v>
      </c>
      <c r="O8" s="1">
        <v>2350560</v>
      </c>
      <c r="P8" s="36">
        <f t="shared" si="0"/>
        <v>2345839.9999999995</v>
      </c>
      <c r="Q8" s="225"/>
    </row>
    <row r="9" spans="1:18" s="1" customFormat="1" x14ac:dyDescent="0.25">
      <c r="A9" s="84"/>
      <c r="B9" s="204">
        <v>42782</v>
      </c>
      <c r="C9" s="5">
        <v>103</v>
      </c>
      <c r="D9" s="1">
        <v>3000038106</v>
      </c>
      <c r="E9" s="1" t="s">
        <v>348</v>
      </c>
      <c r="F9" s="1">
        <v>219</v>
      </c>
      <c r="G9" s="204">
        <v>42774</v>
      </c>
      <c r="H9" s="204"/>
      <c r="I9" s="204">
        <v>42777</v>
      </c>
      <c r="J9" s="1" t="s">
        <v>16</v>
      </c>
      <c r="K9" s="1">
        <v>20.09</v>
      </c>
      <c r="L9" s="1">
        <v>20.079999999999998</v>
      </c>
      <c r="M9" s="5">
        <f t="shared" si="1"/>
        <v>20.079999999999998</v>
      </c>
      <c r="N9" s="66">
        <f>+I9+20-1</f>
        <v>42796</v>
      </c>
      <c r="O9" s="1">
        <v>1104448</v>
      </c>
      <c r="P9" s="36">
        <f t="shared" si="0"/>
        <v>1103898.2498755599</v>
      </c>
      <c r="Q9" s="225"/>
    </row>
    <row r="10" spans="1:18" s="1" customFormat="1" x14ac:dyDescent="0.25">
      <c r="A10" s="84"/>
      <c r="B10" s="204">
        <v>42800</v>
      </c>
      <c r="C10" s="1">
        <v>114</v>
      </c>
      <c r="D10" s="1">
        <v>3000038820</v>
      </c>
      <c r="E10" s="1" t="s">
        <v>348</v>
      </c>
      <c r="F10" s="16">
        <v>331</v>
      </c>
      <c r="G10" s="213">
        <v>42792</v>
      </c>
      <c r="H10" s="1" t="s">
        <v>731</v>
      </c>
      <c r="I10" s="204">
        <v>42795</v>
      </c>
      <c r="J10" s="1" t="s">
        <v>8</v>
      </c>
      <c r="K10" s="1">
        <v>12.61</v>
      </c>
      <c r="L10" s="1">
        <v>12.61</v>
      </c>
      <c r="M10" s="5">
        <f t="shared" si="1"/>
        <v>12.61</v>
      </c>
      <c r="N10" s="211">
        <f>+I10+15-1</f>
        <v>42809</v>
      </c>
      <c r="O10" s="1">
        <v>737685</v>
      </c>
      <c r="P10" s="36">
        <f t="shared" si="0"/>
        <v>737685</v>
      </c>
      <c r="Q10" s="225"/>
    </row>
    <row r="11" spans="1:18" s="1" customFormat="1" x14ac:dyDescent="0.25">
      <c r="A11" s="84"/>
      <c r="B11" s="204">
        <v>42800</v>
      </c>
      <c r="C11" s="1">
        <v>114</v>
      </c>
      <c r="D11" s="1">
        <v>3000039056</v>
      </c>
      <c r="E11" s="1" t="s">
        <v>348</v>
      </c>
      <c r="F11" s="16">
        <v>332</v>
      </c>
      <c r="G11" s="213">
        <v>42792</v>
      </c>
      <c r="H11" s="1" t="s">
        <v>731</v>
      </c>
      <c r="I11" s="204">
        <v>42795</v>
      </c>
      <c r="J11" s="1" t="s">
        <v>8</v>
      </c>
      <c r="K11" s="1">
        <v>16.03</v>
      </c>
      <c r="L11" s="1">
        <v>16.04</v>
      </c>
      <c r="M11" s="5">
        <f t="shared" si="1"/>
        <v>16.03</v>
      </c>
      <c r="N11" s="211">
        <f>+I11+15-1</f>
        <v>42809</v>
      </c>
      <c r="O11" s="1">
        <v>937755</v>
      </c>
      <c r="P11" s="36">
        <f t="shared" si="0"/>
        <v>937755</v>
      </c>
      <c r="Q11" s="225"/>
    </row>
    <row r="12" spans="1:18" s="1" customFormat="1" x14ac:dyDescent="0.25">
      <c r="A12" s="84"/>
      <c r="B12" s="204">
        <v>42800</v>
      </c>
      <c r="C12" s="1">
        <v>114</v>
      </c>
      <c r="D12" s="1">
        <v>3000039056</v>
      </c>
      <c r="E12" s="1" t="s">
        <v>348</v>
      </c>
      <c r="F12" s="1">
        <v>333</v>
      </c>
      <c r="G12" s="213">
        <v>42792</v>
      </c>
      <c r="H12" s="1" t="s">
        <v>732</v>
      </c>
      <c r="I12" s="204">
        <v>42796</v>
      </c>
      <c r="J12" s="1" t="s">
        <v>8</v>
      </c>
      <c r="K12" s="1">
        <v>28.53</v>
      </c>
      <c r="L12" s="1">
        <v>28.52</v>
      </c>
      <c r="M12" s="5">
        <f t="shared" si="1"/>
        <v>28.52</v>
      </c>
      <c r="N12" s="211">
        <f>+I12+15-1</f>
        <v>42810</v>
      </c>
      <c r="O12" s="1">
        <v>1669005</v>
      </c>
      <c r="P12" s="36">
        <f t="shared" si="0"/>
        <v>1668420</v>
      </c>
      <c r="Q12" s="225"/>
    </row>
    <row r="13" spans="1:18" s="1" customFormat="1" x14ac:dyDescent="0.25">
      <c r="A13" s="84"/>
      <c r="B13" s="204">
        <v>42782</v>
      </c>
      <c r="C13" s="5">
        <v>103</v>
      </c>
      <c r="D13" s="1">
        <v>3000038758</v>
      </c>
      <c r="E13" s="1" t="s">
        <v>371</v>
      </c>
      <c r="F13" s="1">
        <v>1196</v>
      </c>
      <c r="G13" s="204">
        <v>42774</v>
      </c>
      <c r="H13" s="204"/>
      <c r="I13" s="204">
        <v>42779</v>
      </c>
      <c r="J13" s="1" t="s">
        <v>61</v>
      </c>
      <c r="K13" s="1">
        <v>20.55</v>
      </c>
      <c r="L13" s="1">
        <v>20.46</v>
      </c>
      <c r="M13" s="5">
        <f t="shared" si="1"/>
        <v>20.46</v>
      </c>
      <c r="N13" s="66">
        <f>+I13+20-1</f>
        <v>42798</v>
      </c>
      <c r="O13" s="1">
        <v>2733151</v>
      </c>
      <c r="P13" s="36">
        <f t="shared" si="0"/>
        <v>2721180.9956204379</v>
      </c>
      <c r="Q13" s="225"/>
    </row>
    <row r="14" spans="1:18" s="1" customFormat="1" x14ac:dyDescent="0.25">
      <c r="A14" s="84"/>
      <c r="B14" s="204">
        <v>42782</v>
      </c>
      <c r="C14" s="5">
        <v>103</v>
      </c>
      <c r="D14" s="1">
        <v>3000037858</v>
      </c>
      <c r="E14" s="1" t="s">
        <v>371</v>
      </c>
      <c r="F14" s="1">
        <v>1198</v>
      </c>
      <c r="G14" s="204">
        <v>42774</v>
      </c>
      <c r="H14" s="204"/>
      <c r="I14" s="204">
        <v>42779</v>
      </c>
      <c r="J14" s="1" t="s">
        <v>61</v>
      </c>
      <c r="K14" s="1">
        <v>20.07</v>
      </c>
      <c r="L14" s="1">
        <v>20.05</v>
      </c>
      <c r="M14" s="5">
        <f t="shared" si="1"/>
        <v>20.05</v>
      </c>
      <c r="N14" s="66">
        <f>+I14+20-1</f>
        <v>42798</v>
      </c>
      <c r="O14" s="1">
        <v>2669311</v>
      </c>
      <c r="P14" s="36">
        <f t="shared" si="0"/>
        <v>2666650.9990034876</v>
      </c>
      <c r="Q14" s="225"/>
    </row>
    <row r="15" spans="1:18" s="1" customFormat="1" x14ac:dyDescent="0.25">
      <c r="A15" s="84"/>
      <c r="B15" s="204">
        <v>42786</v>
      </c>
      <c r="C15" s="1">
        <v>103</v>
      </c>
      <c r="D15" s="1">
        <v>3000038694</v>
      </c>
      <c r="E15" s="1" t="s">
        <v>201</v>
      </c>
      <c r="F15" s="16" t="s">
        <v>626</v>
      </c>
      <c r="G15" s="204">
        <v>42782</v>
      </c>
      <c r="H15" s="204"/>
      <c r="I15" s="204">
        <v>42781</v>
      </c>
      <c r="J15" s="1" t="s">
        <v>61</v>
      </c>
      <c r="M15" s="5">
        <f t="shared" si="1"/>
        <v>0</v>
      </c>
      <c r="N15" s="66">
        <f>+I15+20-1</f>
        <v>42800</v>
      </c>
      <c r="O15" s="1">
        <v>19205</v>
      </c>
      <c r="P15" s="38"/>
      <c r="Q15" s="225"/>
    </row>
    <row r="16" spans="1:18" s="1" customFormat="1" x14ac:dyDescent="0.25">
      <c r="A16" s="84"/>
      <c r="B16" s="204">
        <v>42786</v>
      </c>
      <c r="C16" s="1">
        <v>103</v>
      </c>
      <c r="D16" s="1">
        <v>3000038694</v>
      </c>
      <c r="E16" s="1" t="s">
        <v>201</v>
      </c>
      <c r="F16" s="16">
        <v>333</v>
      </c>
      <c r="G16" s="204">
        <v>42772</v>
      </c>
      <c r="H16" s="204"/>
      <c r="I16" s="204">
        <v>42781</v>
      </c>
      <c r="J16" s="1" t="s">
        <v>61</v>
      </c>
      <c r="K16" s="1">
        <v>15.82</v>
      </c>
      <c r="L16" s="1">
        <v>15.83</v>
      </c>
      <c r="M16" s="5">
        <f t="shared" si="1"/>
        <v>15.82</v>
      </c>
      <c r="N16" s="66">
        <f>+I16+20-1</f>
        <v>42800</v>
      </c>
      <c r="O16" s="1">
        <v>2057391</v>
      </c>
      <c r="P16" s="36">
        <f>(+O16/K16*M16)-19205</f>
        <v>2038186</v>
      </c>
      <c r="Q16" s="225"/>
    </row>
    <row r="17" spans="1:17" s="1" customFormat="1" x14ac:dyDescent="0.25">
      <c r="A17" s="84"/>
      <c r="B17" s="204">
        <v>42786</v>
      </c>
      <c r="C17" s="1">
        <v>103</v>
      </c>
      <c r="D17" s="1">
        <v>3000038694</v>
      </c>
      <c r="E17" s="1" t="s">
        <v>201</v>
      </c>
      <c r="F17" s="1">
        <v>353</v>
      </c>
      <c r="G17" s="204">
        <v>42778</v>
      </c>
      <c r="H17" s="204"/>
      <c r="I17" s="204">
        <v>42781</v>
      </c>
      <c r="J17" s="1" t="s">
        <v>61</v>
      </c>
      <c r="K17" s="1">
        <v>20.29</v>
      </c>
      <c r="L17" s="1">
        <v>20.27</v>
      </c>
      <c r="M17" s="5">
        <f t="shared" si="1"/>
        <v>20.27</v>
      </c>
      <c r="N17" s="66">
        <f>+I17+20-1</f>
        <v>42800</v>
      </c>
      <c r="O17" s="1">
        <v>2638714</v>
      </c>
      <c r="P17" s="36">
        <f t="shared" ref="P17:P42" si="2">(+O17/K17*M17)</f>
        <v>2636113.0004928536</v>
      </c>
      <c r="Q17" s="225"/>
    </row>
    <row r="18" spans="1:17" s="1" customFormat="1" x14ac:dyDescent="0.25">
      <c r="A18" s="84"/>
      <c r="B18" s="204">
        <v>42793</v>
      </c>
      <c r="C18" s="1">
        <v>114</v>
      </c>
      <c r="D18" s="1">
        <v>3000036794</v>
      </c>
      <c r="E18" s="1" t="s">
        <v>49</v>
      </c>
      <c r="F18" s="16">
        <v>49</v>
      </c>
      <c r="G18" s="213">
        <v>42784</v>
      </c>
      <c r="H18" s="1" t="s">
        <v>667</v>
      </c>
      <c r="I18" s="204">
        <v>42786</v>
      </c>
      <c r="J18" s="1" t="s">
        <v>8</v>
      </c>
      <c r="K18" s="1">
        <v>19.89</v>
      </c>
      <c r="L18" s="1">
        <v>19.89</v>
      </c>
      <c r="M18" s="5">
        <f t="shared" si="1"/>
        <v>19.89</v>
      </c>
      <c r="N18" s="211">
        <f>+I18+15-1</f>
        <v>42800</v>
      </c>
      <c r="O18" s="1">
        <v>1099917</v>
      </c>
      <c r="P18" s="36">
        <f t="shared" si="2"/>
        <v>1099917</v>
      </c>
      <c r="Q18" s="225"/>
    </row>
    <row r="19" spans="1:17" s="1" customFormat="1" x14ac:dyDescent="0.25">
      <c r="A19" s="84"/>
      <c r="B19" s="204">
        <v>42793</v>
      </c>
      <c r="C19" s="1">
        <v>114</v>
      </c>
      <c r="D19" s="1">
        <v>3000038234</v>
      </c>
      <c r="E19" s="1" t="s">
        <v>49</v>
      </c>
      <c r="F19" s="16">
        <v>50</v>
      </c>
      <c r="G19" s="213">
        <v>42784</v>
      </c>
      <c r="H19" s="1" t="s">
        <v>667</v>
      </c>
      <c r="I19" s="204">
        <v>42786</v>
      </c>
      <c r="J19" s="1" t="s">
        <v>8</v>
      </c>
      <c r="K19" s="1">
        <v>8</v>
      </c>
      <c r="L19" s="1">
        <v>7.93</v>
      </c>
      <c r="M19" s="5">
        <f t="shared" si="1"/>
        <v>7.93</v>
      </c>
      <c r="N19" s="211">
        <f>+I19+15-1</f>
        <v>42800</v>
      </c>
      <c r="O19" s="1">
        <v>448000</v>
      </c>
      <c r="P19" s="36">
        <f t="shared" si="2"/>
        <v>444080</v>
      </c>
      <c r="Q19" s="225"/>
    </row>
    <row r="20" spans="1:17" s="1" customFormat="1" x14ac:dyDescent="0.25">
      <c r="A20" s="84"/>
      <c r="B20" s="204">
        <v>42786</v>
      </c>
      <c r="C20" s="5">
        <v>103</v>
      </c>
      <c r="D20" s="1">
        <v>3000038740</v>
      </c>
      <c r="E20" s="1" t="s">
        <v>624</v>
      </c>
      <c r="F20" s="1">
        <v>1190</v>
      </c>
      <c r="G20" s="204">
        <v>42778</v>
      </c>
      <c r="H20" s="204"/>
      <c r="I20" s="204">
        <v>42782</v>
      </c>
      <c r="J20" s="1" t="s">
        <v>61</v>
      </c>
      <c r="K20" s="1">
        <v>16.5</v>
      </c>
      <c r="L20" s="1">
        <v>16.5</v>
      </c>
      <c r="M20" s="5">
        <f t="shared" si="1"/>
        <v>16.5</v>
      </c>
      <c r="N20" s="66">
        <f>+I20+20-1</f>
        <v>42801</v>
      </c>
      <c r="O20" s="1">
        <v>2177970</v>
      </c>
      <c r="P20" s="36">
        <f t="shared" si="2"/>
        <v>2177970</v>
      </c>
      <c r="Q20" s="225"/>
    </row>
    <row r="21" spans="1:17" s="1" customFormat="1" x14ac:dyDescent="0.25">
      <c r="A21" s="84"/>
      <c r="B21" s="204">
        <v>42786</v>
      </c>
      <c r="C21" s="5">
        <v>103</v>
      </c>
      <c r="D21" s="1">
        <v>3000038740</v>
      </c>
      <c r="E21" s="1" t="s">
        <v>624</v>
      </c>
      <c r="F21" s="1">
        <v>1191</v>
      </c>
      <c r="G21" s="204">
        <v>42778</v>
      </c>
      <c r="H21" s="204"/>
      <c r="I21" s="204">
        <v>42782</v>
      </c>
      <c r="J21" s="1" t="s">
        <v>61</v>
      </c>
      <c r="K21" s="1">
        <v>16.5</v>
      </c>
      <c r="L21" s="1">
        <v>16.5</v>
      </c>
      <c r="M21" s="5">
        <f t="shared" si="1"/>
        <v>16.5</v>
      </c>
      <c r="N21" s="66">
        <f>+I21+20-1</f>
        <v>42801</v>
      </c>
      <c r="O21" s="1">
        <v>2177970</v>
      </c>
      <c r="P21" s="36">
        <f t="shared" si="2"/>
        <v>2177970</v>
      </c>
      <c r="Q21" s="225"/>
    </row>
    <row r="22" spans="1:17" s="1" customFormat="1" x14ac:dyDescent="0.25">
      <c r="A22" s="84"/>
      <c r="B22" s="204">
        <v>42793</v>
      </c>
      <c r="C22" s="1">
        <v>114</v>
      </c>
      <c r="D22" s="1">
        <v>3000038821</v>
      </c>
      <c r="E22" s="1" t="s">
        <v>621</v>
      </c>
      <c r="F22" s="1">
        <v>983</v>
      </c>
      <c r="G22" s="213">
        <v>42783</v>
      </c>
      <c r="H22" s="1" t="s">
        <v>666</v>
      </c>
      <c r="I22" s="204">
        <v>42787</v>
      </c>
      <c r="J22" s="1" t="s">
        <v>8</v>
      </c>
      <c r="K22" s="1">
        <v>27.46</v>
      </c>
      <c r="L22" s="1">
        <v>27.25</v>
      </c>
      <c r="M22" s="5">
        <f t="shared" si="1"/>
        <v>27.25</v>
      </c>
      <c r="N22" s="211">
        <f>+I22+15-1</f>
        <v>42801</v>
      </c>
      <c r="O22" s="1">
        <v>1606410</v>
      </c>
      <c r="P22" s="36">
        <f t="shared" si="2"/>
        <v>1594125</v>
      </c>
      <c r="Q22" s="225"/>
    </row>
    <row r="23" spans="1:17" s="1" customFormat="1" x14ac:dyDescent="0.25">
      <c r="A23" s="84"/>
      <c r="B23" s="204">
        <v>42793</v>
      </c>
      <c r="C23" s="1">
        <v>114</v>
      </c>
      <c r="D23" s="1" t="s">
        <v>679</v>
      </c>
      <c r="E23" s="1" t="s">
        <v>621</v>
      </c>
      <c r="F23" s="1">
        <v>984</v>
      </c>
      <c r="G23" s="213">
        <v>42783</v>
      </c>
      <c r="H23" s="1" t="s">
        <v>680</v>
      </c>
      <c r="I23" s="204">
        <v>42788</v>
      </c>
      <c r="J23" s="1" t="s">
        <v>8</v>
      </c>
      <c r="K23" s="1">
        <v>27.47</v>
      </c>
      <c r="L23" s="1">
        <v>27.26</v>
      </c>
      <c r="M23" s="5">
        <f t="shared" si="1"/>
        <v>27.26</v>
      </c>
      <c r="N23" s="211">
        <f>+I23+15-1</f>
        <v>42802</v>
      </c>
      <c r="O23" s="1">
        <v>1606995</v>
      </c>
      <c r="P23" s="36">
        <f t="shared" si="2"/>
        <v>1594710</v>
      </c>
      <c r="Q23" s="225"/>
    </row>
    <row r="24" spans="1:17" s="1" customFormat="1" x14ac:dyDescent="0.25">
      <c r="A24" s="84"/>
      <c r="B24" s="204">
        <v>42796</v>
      </c>
      <c r="C24" s="1">
        <v>103</v>
      </c>
      <c r="D24" s="1">
        <v>3000038299</v>
      </c>
      <c r="E24" s="1" t="s">
        <v>621</v>
      </c>
      <c r="F24" s="1">
        <v>148</v>
      </c>
      <c r="G24" s="213">
        <v>42789</v>
      </c>
      <c r="H24" s="1" t="s">
        <v>721</v>
      </c>
      <c r="I24" s="204">
        <v>42789</v>
      </c>
      <c r="J24" s="1" t="s">
        <v>16</v>
      </c>
      <c r="K24" s="1">
        <v>20.85</v>
      </c>
      <c r="L24" s="1">
        <v>20.82</v>
      </c>
      <c r="M24" s="5">
        <f t="shared" si="1"/>
        <v>20.82</v>
      </c>
      <c r="N24" s="66">
        <f>+I24+20-1</f>
        <v>42808</v>
      </c>
      <c r="O24" s="1">
        <v>1150414</v>
      </c>
      <c r="P24" s="36">
        <f t="shared" si="2"/>
        <v>1148758.728057554</v>
      </c>
      <c r="Q24" s="225"/>
    </row>
    <row r="25" spans="1:17" s="1" customFormat="1" x14ac:dyDescent="0.25">
      <c r="A25" s="84"/>
      <c r="B25" s="204">
        <v>42809</v>
      </c>
      <c r="C25" s="1">
        <v>103</v>
      </c>
      <c r="D25" s="1" t="s">
        <v>822</v>
      </c>
      <c r="E25" s="1" t="s">
        <v>621</v>
      </c>
      <c r="F25" s="1">
        <v>157</v>
      </c>
      <c r="G25" s="213">
        <v>42794</v>
      </c>
      <c r="H25" s="1" t="s">
        <v>823</v>
      </c>
      <c r="I25" s="204">
        <v>42799</v>
      </c>
      <c r="J25" s="1" t="s">
        <v>16</v>
      </c>
      <c r="K25" s="1">
        <v>26.36</v>
      </c>
      <c r="L25" s="1">
        <v>26.18</v>
      </c>
      <c r="M25" s="5">
        <f t="shared" si="1"/>
        <v>26.18</v>
      </c>
      <c r="N25" s="211">
        <f>+I25+15-1</f>
        <v>42813</v>
      </c>
      <c r="O25" s="1">
        <v>1492635</v>
      </c>
      <c r="P25" s="36">
        <f t="shared" si="2"/>
        <v>1482442.5</v>
      </c>
      <c r="Q25" s="225"/>
    </row>
    <row r="26" spans="1:17" s="1" customFormat="1" x14ac:dyDescent="0.25">
      <c r="A26" s="84"/>
      <c r="B26" s="204">
        <v>42793</v>
      </c>
      <c r="C26" s="1">
        <v>114</v>
      </c>
      <c r="D26" s="1">
        <v>3000038500</v>
      </c>
      <c r="E26" s="1" t="s">
        <v>138</v>
      </c>
      <c r="F26" s="16">
        <v>9143</v>
      </c>
      <c r="G26" s="213">
        <v>42785</v>
      </c>
      <c r="H26" s="1" t="s">
        <v>682</v>
      </c>
      <c r="I26" s="204">
        <v>42787</v>
      </c>
      <c r="J26" s="1" t="s">
        <v>8</v>
      </c>
      <c r="K26" s="1">
        <v>10.77</v>
      </c>
      <c r="L26" s="1">
        <v>10.68</v>
      </c>
      <c r="M26" s="5">
        <f t="shared" si="1"/>
        <v>10.68</v>
      </c>
      <c r="N26" s="211">
        <f>+I26+15-1</f>
        <v>42801</v>
      </c>
      <c r="O26" s="1">
        <v>640815</v>
      </c>
      <c r="P26" s="36">
        <f t="shared" si="2"/>
        <v>635460</v>
      </c>
      <c r="Q26" s="225"/>
    </row>
    <row r="27" spans="1:17" s="1" customFormat="1" x14ac:dyDescent="0.25">
      <c r="A27" s="84"/>
      <c r="B27" s="204">
        <v>42786</v>
      </c>
      <c r="C27" s="1">
        <v>103</v>
      </c>
      <c r="D27" s="1">
        <v>3000038799</v>
      </c>
      <c r="E27" s="1" t="s">
        <v>530</v>
      </c>
      <c r="F27" s="1">
        <v>1352</v>
      </c>
      <c r="G27" s="204">
        <v>42779</v>
      </c>
      <c r="H27" s="204"/>
      <c r="I27" s="204">
        <v>42783</v>
      </c>
      <c r="J27" s="1" t="s">
        <v>61</v>
      </c>
      <c r="K27" s="1">
        <v>19.989999999999998</v>
      </c>
      <c r="L27" s="1">
        <v>19.920000000000002</v>
      </c>
      <c r="M27" s="5">
        <f t="shared" si="1"/>
        <v>19.920000000000002</v>
      </c>
      <c r="N27" s="66">
        <f>+I27+20-1</f>
        <v>42802</v>
      </c>
      <c r="O27" s="1">
        <v>2658670</v>
      </c>
      <c r="P27" s="36">
        <f t="shared" si="2"/>
        <v>2649360</v>
      </c>
      <c r="Q27" s="225"/>
    </row>
    <row r="28" spans="1:17" s="1" customFormat="1" x14ac:dyDescent="0.25">
      <c r="A28" s="84"/>
      <c r="B28" s="204">
        <v>42793</v>
      </c>
      <c r="C28" s="1">
        <v>114</v>
      </c>
      <c r="D28" s="1">
        <v>3000036563</v>
      </c>
      <c r="E28" s="1" t="s">
        <v>599</v>
      </c>
      <c r="F28" s="1">
        <v>3356</v>
      </c>
      <c r="G28" s="213">
        <v>42782</v>
      </c>
      <c r="H28" s="1" t="s">
        <v>681</v>
      </c>
      <c r="I28" s="204">
        <v>42788</v>
      </c>
      <c r="J28" s="1" t="s">
        <v>8</v>
      </c>
      <c r="K28" s="1">
        <v>27.7</v>
      </c>
      <c r="L28" s="1">
        <v>27.49</v>
      </c>
      <c r="M28" s="5">
        <f t="shared" si="1"/>
        <v>27.49</v>
      </c>
      <c r="N28" s="211">
        <f t="shared" ref="N28:N33" si="3">+I28+15-1</f>
        <v>42802</v>
      </c>
      <c r="O28" s="1">
        <v>1551200</v>
      </c>
      <c r="P28" s="36">
        <f t="shared" si="2"/>
        <v>1539440</v>
      </c>
      <c r="Q28" s="225"/>
    </row>
    <row r="29" spans="1:17" s="1" customFormat="1" x14ac:dyDescent="0.25">
      <c r="A29" s="84"/>
      <c r="B29" s="204">
        <v>42800</v>
      </c>
      <c r="C29" s="1">
        <v>114</v>
      </c>
      <c r="D29" s="1">
        <v>3000039058</v>
      </c>
      <c r="E29" s="1" t="s">
        <v>599</v>
      </c>
      <c r="F29" s="16">
        <v>3364</v>
      </c>
      <c r="G29" s="213">
        <v>42789</v>
      </c>
      <c r="H29" s="1" t="s">
        <v>737</v>
      </c>
      <c r="I29" s="204">
        <v>42792</v>
      </c>
      <c r="J29" s="1" t="s">
        <v>8</v>
      </c>
      <c r="K29" s="1">
        <v>2.2250000000000001</v>
      </c>
      <c r="L29" s="1">
        <v>2.2250000000000001</v>
      </c>
      <c r="M29" s="5">
        <f t="shared" si="1"/>
        <v>2.2250000000000001</v>
      </c>
      <c r="N29" s="211">
        <f t="shared" si="3"/>
        <v>42806</v>
      </c>
      <c r="O29" s="1">
        <v>130163</v>
      </c>
      <c r="P29" s="36">
        <f t="shared" si="2"/>
        <v>130163</v>
      </c>
      <c r="Q29" s="225"/>
    </row>
    <row r="30" spans="1:17" s="1" customFormat="1" x14ac:dyDescent="0.25">
      <c r="A30" s="84"/>
      <c r="B30" s="204">
        <v>42800</v>
      </c>
      <c r="C30" s="1">
        <v>114</v>
      </c>
      <c r="D30" s="1">
        <v>3000038502</v>
      </c>
      <c r="E30" s="1" t="s">
        <v>599</v>
      </c>
      <c r="F30" s="16">
        <v>3364</v>
      </c>
      <c r="G30" s="213">
        <v>42789</v>
      </c>
      <c r="H30" s="1" t="s">
        <v>737</v>
      </c>
      <c r="I30" s="204">
        <v>42792</v>
      </c>
      <c r="J30" s="1" t="s">
        <v>8</v>
      </c>
      <c r="K30" s="1">
        <v>5.8</v>
      </c>
      <c r="L30" s="1">
        <v>5.6349999999999998</v>
      </c>
      <c r="M30" s="5">
        <f t="shared" si="1"/>
        <v>5.6349999999999998</v>
      </c>
      <c r="N30" s="211">
        <f t="shared" si="3"/>
        <v>42806</v>
      </c>
      <c r="O30" s="1">
        <v>345100</v>
      </c>
      <c r="P30" s="36">
        <f t="shared" si="2"/>
        <v>335282.5</v>
      </c>
      <c r="Q30" s="225"/>
    </row>
    <row r="31" spans="1:17" s="1" customFormat="1" x14ac:dyDescent="0.25">
      <c r="A31" s="84"/>
      <c r="B31" s="204">
        <v>42800</v>
      </c>
      <c r="C31" s="1">
        <v>114</v>
      </c>
      <c r="D31" s="1">
        <v>3000038822</v>
      </c>
      <c r="E31" s="1" t="s">
        <v>599</v>
      </c>
      <c r="F31" s="16">
        <v>3364</v>
      </c>
      <c r="G31" s="213">
        <v>42789</v>
      </c>
      <c r="H31" s="1" t="s">
        <v>737</v>
      </c>
      <c r="I31" s="204">
        <v>42792</v>
      </c>
      <c r="J31" s="1" t="s">
        <v>8</v>
      </c>
      <c r="K31" s="1">
        <v>20</v>
      </c>
      <c r="L31" s="1">
        <v>20</v>
      </c>
      <c r="M31" s="5">
        <f t="shared" si="1"/>
        <v>20</v>
      </c>
      <c r="N31" s="211">
        <f t="shared" si="3"/>
        <v>42806</v>
      </c>
      <c r="O31" s="1">
        <v>1170000</v>
      </c>
      <c r="P31" s="36">
        <f t="shared" si="2"/>
        <v>1170000</v>
      </c>
      <c r="Q31" s="225"/>
    </row>
    <row r="32" spans="1:17" s="1" customFormat="1" x14ac:dyDescent="0.25">
      <c r="A32" s="84"/>
      <c r="B32" s="204">
        <v>42793</v>
      </c>
      <c r="C32" s="1">
        <v>114</v>
      </c>
      <c r="D32" s="1">
        <v>3000038602</v>
      </c>
      <c r="E32" s="1" t="s">
        <v>30</v>
      </c>
      <c r="F32" s="1">
        <v>739</v>
      </c>
      <c r="G32" s="213">
        <v>42785</v>
      </c>
      <c r="H32" s="1" t="s">
        <v>683</v>
      </c>
      <c r="I32" s="204">
        <v>42788</v>
      </c>
      <c r="J32" s="1" t="s">
        <v>229</v>
      </c>
      <c r="K32" s="1">
        <v>28.53</v>
      </c>
      <c r="L32" s="1">
        <v>28.41</v>
      </c>
      <c r="M32" s="5">
        <f t="shared" si="1"/>
        <v>28.41</v>
      </c>
      <c r="N32" s="211">
        <f t="shared" si="3"/>
        <v>42802</v>
      </c>
      <c r="O32" s="1">
        <v>1455030</v>
      </c>
      <c r="P32" s="36">
        <f t="shared" si="2"/>
        <v>1448910</v>
      </c>
      <c r="Q32" s="225"/>
    </row>
    <row r="33" spans="1:17" s="1" customFormat="1" x14ac:dyDescent="0.25">
      <c r="A33" s="84"/>
      <c r="B33" s="204">
        <v>42793</v>
      </c>
      <c r="C33" s="1">
        <v>114</v>
      </c>
      <c r="D33" s="1">
        <v>3000038602</v>
      </c>
      <c r="E33" s="1" t="s">
        <v>30</v>
      </c>
      <c r="F33" s="1">
        <v>740</v>
      </c>
      <c r="G33" s="213">
        <v>42785</v>
      </c>
      <c r="H33" s="1" t="s">
        <v>684</v>
      </c>
      <c r="I33" s="204">
        <v>42788</v>
      </c>
      <c r="J33" s="1" t="s">
        <v>229</v>
      </c>
      <c r="K33" s="1">
        <v>30.16</v>
      </c>
      <c r="L33" s="1">
        <v>30.04</v>
      </c>
      <c r="M33" s="5">
        <f t="shared" si="1"/>
        <v>30.04</v>
      </c>
      <c r="N33" s="211">
        <f t="shared" si="3"/>
        <v>42802</v>
      </c>
      <c r="O33" s="1">
        <v>1538160</v>
      </c>
      <c r="P33" s="36">
        <f t="shared" si="2"/>
        <v>1532040</v>
      </c>
      <c r="Q33" s="225"/>
    </row>
    <row r="34" spans="1:17" s="1" customFormat="1" x14ac:dyDescent="0.25">
      <c r="A34" s="84"/>
      <c r="B34" s="204">
        <v>42795</v>
      </c>
      <c r="C34" s="1">
        <v>114</v>
      </c>
      <c r="D34" s="1" t="s">
        <v>691</v>
      </c>
      <c r="E34" s="1" t="s">
        <v>30</v>
      </c>
      <c r="F34" s="1">
        <v>746</v>
      </c>
      <c r="G34" s="213">
        <v>42787</v>
      </c>
      <c r="H34" s="1" t="s">
        <v>692</v>
      </c>
      <c r="I34" s="204">
        <v>42790</v>
      </c>
      <c r="J34" s="1" t="s">
        <v>229</v>
      </c>
      <c r="K34" s="1">
        <v>32.119999999999997</v>
      </c>
      <c r="L34" s="1">
        <v>31.98</v>
      </c>
      <c r="M34" s="5">
        <f t="shared" si="1"/>
        <v>31.98</v>
      </c>
      <c r="N34" s="66">
        <f>+I34+20-1</f>
        <v>42809</v>
      </c>
      <c r="O34" s="1">
        <v>1638120</v>
      </c>
      <c r="P34" s="36">
        <f t="shared" si="2"/>
        <v>1630980.0000000002</v>
      </c>
      <c r="Q34" s="225"/>
    </row>
    <row r="35" spans="1:17" s="1" customFormat="1" x14ac:dyDescent="0.25">
      <c r="A35" s="84"/>
      <c r="B35" s="204">
        <v>42795</v>
      </c>
      <c r="C35" s="1">
        <v>114</v>
      </c>
      <c r="D35" s="1">
        <v>3000038609</v>
      </c>
      <c r="E35" s="1" t="s">
        <v>30</v>
      </c>
      <c r="F35" s="1">
        <v>741</v>
      </c>
      <c r="G35" s="213">
        <v>42786</v>
      </c>
      <c r="H35" s="1" t="s">
        <v>642</v>
      </c>
      <c r="I35" s="204">
        <v>42790</v>
      </c>
      <c r="J35" s="1" t="s">
        <v>16</v>
      </c>
      <c r="K35" s="1">
        <v>28.49</v>
      </c>
      <c r="L35" s="1">
        <v>28.38</v>
      </c>
      <c r="M35" s="5">
        <f t="shared" si="1"/>
        <v>28.38</v>
      </c>
      <c r="N35" s="66">
        <f>+I35+20-1</f>
        <v>42809</v>
      </c>
      <c r="O35" s="1">
        <v>1452990</v>
      </c>
      <c r="P35" s="36">
        <f t="shared" si="2"/>
        <v>1447380</v>
      </c>
      <c r="Q35" s="225"/>
    </row>
    <row r="36" spans="1:17" s="1" customFormat="1" x14ac:dyDescent="0.25">
      <c r="A36" s="84"/>
      <c r="B36" s="204">
        <v>42800</v>
      </c>
      <c r="C36" s="1">
        <v>114</v>
      </c>
      <c r="D36" s="1">
        <v>3000038931</v>
      </c>
      <c r="E36" s="1" t="s">
        <v>30</v>
      </c>
      <c r="F36" s="1">
        <v>757</v>
      </c>
      <c r="G36" s="213">
        <v>42790</v>
      </c>
      <c r="H36" s="1" t="s">
        <v>684</v>
      </c>
      <c r="I36" s="204">
        <v>42790</v>
      </c>
      <c r="J36" s="1" t="s">
        <v>229</v>
      </c>
      <c r="K36" s="1">
        <v>30.28</v>
      </c>
      <c r="L36" s="1">
        <v>30.22</v>
      </c>
      <c r="M36" s="5">
        <f t="shared" si="1"/>
        <v>30.22</v>
      </c>
      <c r="N36" s="211">
        <f>+I36+15-1</f>
        <v>42804</v>
      </c>
      <c r="O36" s="1">
        <v>1544280</v>
      </c>
      <c r="P36" s="36">
        <f t="shared" si="2"/>
        <v>1541220</v>
      </c>
      <c r="Q36" s="225"/>
    </row>
    <row r="37" spans="1:17" s="1" customFormat="1" x14ac:dyDescent="0.25">
      <c r="A37" s="84"/>
      <c r="B37" s="204">
        <v>42800</v>
      </c>
      <c r="C37" s="1">
        <v>114</v>
      </c>
      <c r="D37" s="1">
        <v>3000038931</v>
      </c>
      <c r="E37" s="1" t="s">
        <v>30</v>
      </c>
      <c r="F37" s="1">
        <v>762</v>
      </c>
      <c r="G37" s="213">
        <v>42792</v>
      </c>
      <c r="H37" s="1" t="s">
        <v>642</v>
      </c>
      <c r="I37" s="204">
        <v>42796</v>
      </c>
      <c r="J37" s="1" t="s">
        <v>229</v>
      </c>
      <c r="K37" s="1">
        <v>28.72</v>
      </c>
      <c r="L37" s="1">
        <v>28.67</v>
      </c>
      <c r="M37" s="5">
        <f t="shared" si="1"/>
        <v>28.67</v>
      </c>
      <c r="N37" s="211">
        <f>+I37+15-1</f>
        <v>42810</v>
      </c>
      <c r="O37" s="1">
        <v>1464720</v>
      </c>
      <c r="P37" s="36">
        <f t="shared" si="2"/>
        <v>1462170</v>
      </c>
      <c r="Q37" s="225"/>
    </row>
    <row r="38" spans="1:17" s="1" customFormat="1" x14ac:dyDescent="0.25">
      <c r="A38" s="84"/>
      <c r="B38" s="204">
        <v>42793</v>
      </c>
      <c r="C38" s="1">
        <v>103</v>
      </c>
      <c r="D38" s="1">
        <v>3000038742</v>
      </c>
      <c r="E38" s="1" t="s">
        <v>364</v>
      </c>
      <c r="F38" s="1">
        <v>177</v>
      </c>
      <c r="G38" s="213">
        <v>42780</v>
      </c>
      <c r="H38" s="1" t="s">
        <v>671</v>
      </c>
      <c r="I38" s="204">
        <v>42785</v>
      </c>
      <c r="J38" s="1" t="s">
        <v>61</v>
      </c>
      <c r="K38" s="1">
        <v>19.77</v>
      </c>
      <c r="L38" s="1">
        <v>19.79</v>
      </c>
      <c r="M38" s="5">
        <f t="shared" si="1"/>
        <v>19.77</v>
      </c>
      <c r="N38" s="66">
        <f>+I38+20-1</f>
        <v>42804</v>
      </c>
      <c r="O38" s="1">
        <v>2609640</v>
      </c>
      <c r="P38" s="36">
        <f t="shared" si="2"/>
        <v>2609640</v>
      </c>
      <c r="Q38" s="225"/>
    </row>
    <row r="39" spans="1:17" s="1" customFormat="1" x14ac:dyDescent="0.25">
      <c r="A39" s="84"/>
      <c r="B39" s="204">
        <v>42793</v>
      </c>
      <c r="C39" s="1">
        <v>103</v>
      </c>
      <c r="D39" s="1">
        <v>3000038619</v>
      </c>
      <c r="E39" s="1" t="s">
        <v>199</v>
      </c>
      <c r="F39" s="1">
        <v>5956</v>
      </c>
      <c r="G39" s="213">
        <v>42784</v>
      </c>
      <c r="H39" s="1" t="s">
        <v>670</v>
      </c>
      <c r="I39" s="204">
        <v>42787</v>
      </c>
      <c r="J39" s="1" t="s">
        <v>61</v>
      </c>
      <c r="K39" s="1">
        <v>20.175000000000001</v>
      </c>
      <c r="L39" s="1">
        <v>20.13</v>
      </c>
      <c r="M39" s="5">
        <f t="shared" si="1"/>
        <v>20.13</v>
      </c>
      <c r="N39" s="66">
        <f>+I39+20-1</f>
        <v>42806</v>
      </c>
      <c r="O39" s="1">
        <v>2737344</v>
      </c>
      <c r="P39" s="36">
        <f t="shared" si="2"/>
        <v>2731238.4</v>
      </c>
      <c r="Q39" s="225"/>
    </row>
    <row r="40" spans="1:17" s="1" customFormat="1" x14ac:dyDescent="0.25">
      <c r="A40" s="84"/>
      <c r="B40" s="204">
        <v>42795</v>
      </c>
      <c r="C40" s="1">
        <v>103</v>
      </c>
      <c r="D40" s="1">
        <v>3000038619</v>
      </c>
      <c r="E40" s="1" t="s">
        <v>199</v>
      </c>
      <c r="F40" s="1">
        <v>5959</v>
      </c>
      <c r="G40" s="213">
        <v>42787</v>
      </c>
      <c r="H40" s="1" t="s">
        <v>689</v>
      </c>
      <c r="I40" s="204">
        <v>42791</v>
      </c>
      <c r="J40" s="1" t="s">
        <v>61</v>
      </c>
      <c r="K40" s="1">
        <v>20.135000000000002</v>
      </c>
      <c r="L40" s="1">
        <v>20.12</v>
      </c>
      <c r="M40" s="5">
        <f t="shared" si="1"/>
        <v>20.12</v>
      </c>
      <c r="N40" s="66">
        <f>+I40+20-1</f>
        <v>42810</v>
      </c>
      <c r="O40" s="1">
        <v>2731917</v>
      </c>
      <c r="P40" s="36">
        <f t="shared" si="2"/>
        <v>2729881.7998510054</v>
      </c>
      <c r="Q40" s="225"/>
    </row>
    <row r="41" spans="1:17" s="1" customFormat="1" x14ac:dyDescent="0.25">
      <c r="A41" s="84"/>
      <c r="B41" s="204">
        <v>42800</v>
      </c>
      <c r="C41" s="1">
        <v>114</v>
      </c>
      <c r="D41" s="1">
        <v>3000038238</v>
      </c>
      <c r="E41" s="1" t="s">
        <v>18</v>
      </c>
      <c r="F41" s="1">
        <v>207</v>
      </c>
      <c r="G41" s="213">
        <v>42790</v>
      </c>
      <c r="H41" s="1" t="s">
        <v>734</v>
      </c>
      <c r="I41" s="204">
        <v>42793</v>
      </c>
      <c r="J41" s="1" t="s">
        <v>8</v>
      </c>
      <c r="K41" s="1">
        <v>27.71</v>
      </c>
      <c r="L41" s="1">
        <v>27.69</v>
      </c>
      <c r="M41" s="5">
        <f t="shared" si="1"/>
        <v>27.69</v>
      </c>
      <c r="N41" s="211">
        <f>+I41+15-1</f>
        <v>42807</v>
      </c>
      <c r="O41" s="1">
        <v>1593325</v>
      </c>
      <c r="P41" s="36">
        <f t="shared" si="2"/>
        <v>1592175</v>
      </c>
      <c r="Q41" s="225"/>
    </row>
    <row r="42" spans="1:17" s="1" customFormat="1" x14ac:dyDescent="0.25">
      <c r="A42" s="84"/>
      <c r="B42" s="204">
        <v>42800</v>
      </c>
      <c r="C42" s="1">
        <v>114</v>
      </c>
      <c r="D42" s="1">
        <v>3000038823</v>
      </c>
      <c r="E42" s="1" t="s">
        <v>18</v>
      </c>
      <c r="F42" s="1">
        <v>209</v>
      </c>
      <c r="G42" s="213">
        <v>42790</v>
      </c>
      <c r="H42" s="1" t="s">
        <v>735</v>
      </c>
      <c r="I42" s="204">
        <v>42797</v>
      </c>
      <c r="J42" s="1" t="s">
        <v>8</v>
      </c>
      <c r="K42" s="1">
        <v>20.58</v>
      </c>
      <c r="L42" s="1">
        <v>20.59</v>
      </c>
      <c r="M42" s="5">
        <f t="shared" si="1"/>
        <v>20.58</v>
      </c>
      <c r="N42" s="211">
        <f>+I42+15-1</f>
        <v>42811</v>
      </c>
      <c r="O42" s="1">
        <v>1203930</v>
      </c>
      <c r="P42" s="36">
        <f t="shared" si="2"/>
        <v>1203930</v>
      </c>
      <c r="Q42" s="225"/>
    </row>
    <row r="59" spans="6:6" x14ac:dyDescent="0.25">
      <c r="F59" s="318"/>
    </row>
    <row r="149" spans="6:6" x14ac:dyDescent="0.25">
      <c r="F149" s="31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3" operator="lessThan" id="{E7EC6B58-52B8-40EC-B700-86B72FF86D1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ellIs" priority="102" operator="lessThan" id="{CBC8DD80-11B4-4536-AA32-AB68A19DB31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cellIs" priority="101" operator="lessThan" id="{B0569FFD-AFA4-4828-A97B-3FD7A303687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cellIs" priority="100" operator="lessThan" id="{B81D594D-8BA4-4357-97B8-7627C127323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99" operator="lessThan" id="{667AA840-E807-4963-B449-73D380EB507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ellIs" priority="98" operator="lessThan" id="{D4E5184C-B8E3-4B61-A448-DC1197C3811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ellIs" priority="97" operator="lessThan" id="{BBEBAF99-C904-4867-9AC9-F490F17EFF9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cellIs" priority="96" operator="lessThan" id="{7DD469AA-4488-48EE-B099-B0AC83DB3167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cellIs" priority="95" operator="lessThan" id="{4C5FE444-9046-48AF-8198-E696D2C33A1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ellIs" priority="94" operator="lessThan" id="{5F3BEC24-5BB9-47E2-959B-4E658279FA4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ellIs" priority="93" operator="lessThan" id="{6D51C009-A31A-4286-91DA-9042CD16E27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ellIs" priority="92" operator="lessThan" id="{01113431-CA53-4D3F-90E3-9B3D5D8624C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ellIs" priority="91" operator="lessThan" id="{3807EFFE-0319-4A82-8E82-36AC6343F97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ellIs" priority="90" operator="lessThan" id="{1F9DF591-C878-4C6E-8A57-5B1FAE0FFB3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ellIs" priority="89" operator="lessThan" id="{EDE07F4E-084D-47AC-BCD4-4E86809AB64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ellIs" priority="88" operator="lessThan" id="{A8D67DD9-9B57-4D15-B856-1B807424653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ellIs" priority="87" operator="lessThan" id="{1044DD40-5212-4E25-91D2-5154D5EA3DA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86" operator="lessThan" id="{DB04EB33-CFC0-4397-A6CB-0E84A9375A2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85" operator="lessThan" id="{F62039F9-AEB1-4659-B545-3C13517C3E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84" operator="lessThan" id="{8E62EBB0-FDFB-4D69-9514-3A723AB45BA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ellIs" priority="83" operator="lessThan" id="{2071E284-A768-4696-AF32-75DD67CC351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ellIs" priority="82" operator="lessThan" id="{4A7D3209-7501-4A2A-AF6B-95B08FF9DAD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ellIs" priority="81" operator="lessThan" id="{1A8A3CCC-CAA8-436D-859A-DAD24710C08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ellIs" priority="80" operator="lessThan" id="{CCFF382F-C0F0-4D0F-AE73-82377C87A56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ellIs" priority="73" operator="lessThan" id="{0F749DAA-456D-44D2-9A2D-14B807BBF13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72" operator="lessThan" id="{EFBF81AB-D7C1-4646-BF9B-B1EB6D027FD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ellIs" priority="71" operator="lessThan" id="{E2A9071F-91AE-4924-93E9-41714C16C59A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ellIs" priority="70" operator="lessThan" id="{F53A2B42-8FCE-4801-BF65-EFB7487BE1D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69" operator="lessThan" id="{9837DA72-B1C0-47A6-ABCE-B917344C6B0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68" operator="lessThan" id="{89D6D600-1104-4627-99CC-CB37B548436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67" operator="lessThan" id="{A1D88DBE-120A-4C2E-8CDA-849FA36D467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ellIs" priority="66" operator="lessThan" id="{BF173104-705A-47FA-BBFE-A0CD48065CE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65" operator="lessThan" id="{58866363-D834-4E40-BA08-C3B7702999FE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64" operator="lessThan" id="{68B7BF8B-44FE-4C6A-A858-461C864B95F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63" operator="lessThan" id="{F4F8DB5F-F5F7-4A3D-A614-B39AE80BD2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62" operator="lessThan" id="{1669CA70-DC3D-4AAA-8843-01BEBBE4CDE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61" operator="lessThan" id="{C9DF3DA6-BF17-4E27-BDDF-46854E7A554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60" operator="lessThan" id="{19AECE65-9DAC-4423-A9D0-289C3592B058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ellIs" priority="59" operator="lessThan" id="{2DCA0874-4C05-43ED-9006-E474BDCA8323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ellIs" priority="58" operator="lessThan" id="{1FC39246-8F66-40CA-99F6-7AFAA17C866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57" operator="lessThan" id="{8D4E0B9D-80B3-45A6-9960-9170009C608C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ellIs" priority="56" operator="lessThan" id="{ED78476E-7761-462C-9641-BE7C26499EE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ellIs" priority="55" operator="lessThan" id="{8D83977C-B01C-4948-A1A6-CEF7C22F7AE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ellIs" priority="54" operator="lessThan" id="{5672365D-3334-4DE8-A03F-C74713B8CEA8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ellIs" priority="53" operator="lessThan" id="{1C634C51-713E-4EF0-8007-902D3B19E8AA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52" operator="lessThan" id="{130B39A4-B867-4145-A248-88951D61802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ellIs" priority="51" operator="lessThan" id="{7ECC04F3-9D32-410C-8081-26018EA74419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ellIs" priority="50" operator="lessThan" id="{A793D8E4-7E8C-498A-80D4-1B16BAC411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ellIs" priority="49" operator="lessThan" id="{BADFEA29-E331-4FB3-BCAB-292F848D63E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ellIs" priority="48" operator="lessThan" id="{4FB65BC3-A6CB-4AE0-B03C-94AD3D3B872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ellIs" priority="47" operator="lessThan" id="{C943CCF8-DDB4-4822-BE3B-82DFA21D761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ellIs" priority="46" operator="lessThan" id="{FA56933C-D22E-4B24-8C49-8EBD1F65B97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ellIs" priority="45" operator="lessThan" id="{22F58920-B45F-4101-9909-B5E39CA5227B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ellIs" priority="44" operator="lessThan" id="{763CB658-8A8E-4A2C-AFCE-7A18F19B473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ellIs" priority="43" operator="lessThan" id="{B4869F82-F545-4EA7-B3B2-DEA264E174E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ellIs" priority="42" operator="lessThan" id="{B27AE7F4-BE66-46E3-9FA3-21F4914A74F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41" operator="lessThan" id="{98D51CEE-FBFE-4A3C-8507-6E0B194379E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40" operator="lessThan" id="{3A0B0F0B-1495-4D56-8FD9-590ECF25A903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39" operator="lessThan" id="{BE3C0249-58E8-463A-B496-5FECB7308FED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38" operator="lessThan" id="{0F2E1646-6B32-483A-AA4E-C9185C7FF73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37" operator="lessThan" id="{E3762C56-6CCF-4EA9-84E7-3823A185D55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36" operator="lessThan" id="{4A1C9925-0EC5-41B3-946E-E8F65F33703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35" operator="lessThan" id="{D8333674-EA83-4405-BDCA-93CB90131E4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34" operator="lessThan" id="{13DB1C1B-2FF9-41BE-9784-500D0E7CF21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33" operator="lessThan" id="{D65FA0C6-20DC-4BBF-AD6B-21855FAD2FF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32" operator="lessThan" id="{7C29927E-1201-4431-8467-38BF5A09A81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P34</xm:sqref>
        </x14:conditionalFormatting>
        <x14:conditionalFormatting xmlns:xm="http://schemas.microsoft.com/office/excel/2006/main">
          <x14:cfRule type="cellIs" priority="31" operator="lessThan" id="{AED3C25F-5098-47FF-809E-1D8FD2AD767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lessThan" id="{2E45C949-09CE-4273-BBF5-D1B49464A226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ellIs" priority="29" operator="lessThan" id="{980734BC-E9BA-45E3-A929-B29E56259C2D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P35</xm:sqref>
        </x14:conditionalFormatting>
        <x14:conditionalFormatting xmlns:xm="http://schemas.microsoft.com/office/excel/2006/main">
          <x14:cfRule type="cellIs" priority="28" operator="lessThan" id="{84773306-68E3-457E-B7D1-6095786AAB62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ellIs" priority="27" operator="lessThan" id="{DD2FBB96-C8E2-4B47-B431-F94C6A66FD8B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ellIs" priority="26" operator="lessThan" id="{1A2F8716-E3B8-4222-9A5D-CADAC6919B6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P37</xm:sqref>
        </x14:conditionalFormatting>
        <x14:conditionalFormatting xmlns:xm="http://schemas.microsoft.com/office/excel/2006/main">
          <x14:cfRule type="cellIs" priority="25" operator="lessThan" id="{36CE023A-9E5B-40BB-B7FD-C565A3FAC1F1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P38</xm:sqref>
        </x14:conditionalFormatting>
        <x14:conditionalFormatting xmlns:xm="http://schemas.microsoft.com/office/excel/2006/main">
          <x14:cfRule type="cellIs" priority="24" operator="lessThan" id="{9A03A8BB-A25A-49DD-AEEC-90B5585F3D6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ellIs" priority="23" operator="lessThan" id="{44E04BA3-C888-456C-9175-FAB1808A0385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ellIs" priority="22" operator="lessThan" id="{9148E1FE-C67C-4DE1-8FA9-222ECF7CE2D4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P39</xm:sqref>
        </x14:conditionalFormatting>
        <x14:conditionalFormatting xmlns:xm="http://schemas.microsoft.com/office/excel/2006/main">
          <x14:cfRule type="cellIs" priority="21" operator="lessThan" id="{6BFB5408-00ED-4478-B6C1-3D76E236054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cellIs" priority="20" operator="lessThan" id="{8F3E064C-4C84-4AF2-A432-CC7218C2521C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cellIs" priority="19" operator="lessThan" id="{9781EF8D-5726-4D53-8ECE-1AB83C6AA115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P40</xm:sqref>
        </x14:conditionalFormatting>
        <x14:conditionalFormatting xmlns:xm="http://schemas.microsoft.com/office/excel/2006/main">
          <x14:cfRule type="cellIs" priority="18" operator="lessThan" id="{1A26043A-9AE4-4FF2-955F-1E9986780070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N40</xm:sqref>
        </x14:conditionalFormatting>
        <x14:conditionalFormatting xmlns:xm="http://schemas.microsoft.com/office/excel/2006/main">
          <x14:cfRule type="cellIs" priority="17" operator="lessThan" id="{E964AF6B-7711-423F-8DDC-2714FDDF7751}">
            <xm:f>'V V F India Out Standing'!$N$1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N40</xm:sqref>
        </x14:conditionalFormatting>
        <x14:conditionalFormatting xmlns:xm="http://schemas.microsoft.com/office/excel/2006/main">
          <x14:cfRule type="cellIs" priority="16" operator="lessThan" id="{44208BB5-CE32-4F48-BD1A-D712D0E256D6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5" operator="lessThan" id="{E19DE2CD-B9DE-4EA1-AD54-F559D15A9DA7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14" operator="lessThan" id="{4C3F6794-22BB-4CC8-A5E3-33D36C4F9539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ellIs" priority="3" operator="lessThan" id="{389F78B5-62A7-4426-AA11-B964C1A8B93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ellIs" priority="2" operator="lessThan" id="{5E3F9D01-6BB8-4CA5-A639-45E3553A70AE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1" operator="lessThan" id="{2E611FFC-3278-4532-A595-9D853008640F}">
            <xm:f>'V V F India Out Standing'!#REF!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 V F India Out Standing</vt:lpstr>
      <vt:lpstr>closed</vt:lpstr>
      <vt:lpstr>V V F LTD Out Standing </vt:lpstr>
      <vt:lpstr>VVF Ltd - closed</vt:lpstr>
      <vt:lpstr>Maheshwari 7 crores For Navsari</vt:lpstr>
      <vt:lpstr>27.03.2017 Allocation</vt:lpstr>
      <vt:lpstr>closed!Print_Area</vt:lpstr>
      <vt:lpstr>'V V F India Out Standing'!Print_Area</vt:lpstr>
      <vt:lpstr>'V V F LTD Out Standing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Gracian Pereira</dc:creator>
  <cp:lastModifiedBy>Poonam  Ghune</cp:lastModifiedBy>
  <cp:lastPrinted>2017-03-30T11:08:48Z</cp:lastPrinted>
  <dcterms:created xsi:type="dcterms:W3CDTF">2014-05-13T07:42:49Z</dcterms:created>
  <dcterms:modified xsi:type="dcterms:W3CDTF">2017-04-13T10:20:09Z</dcterms:modified>
</cp:coreProperties>
</file>